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X:\Research\ny\Miller\MODELS\CLIENT\"/>
    </mc:Choice>
  </mc:AlternateContent>
  <xr:revisionPtr revIDLastSave="0" documentId="13_ncr:1_{76CEF591-27BB-461C-82D7-451EB2892C72}" xr6:coauthVersionLast="47" xr6:coauthVersionMax="47" xr10:uidLastSave="{00000000-0000-0000-0000-000000000000}"/>
  <bookViews>
    <workbookView xWindow="5235" yWindow="5235" windowWidth="43200" windowHeight="17235" xr2:uid="{87742B4F-8D9E-4C83-81FF-AE63D6E841BB}"/>
  </bookViews>
  <sheets>
    <sheet name="Cover" sheetId="1" r:id="rId1"/>
    <sheet name="Worksheet" sheetId="2" r:id="rId2"/>
    <sheet name="NVDA" sheetId="3" r:id="rId3"/>
    <sheet name="Datacenter" sheetId="4" r:id="rId4"/>
    <sheet name="Gaming" sheetId="5" r:id="rId5"/>
    <sheet name="Automotive" sheetId="6" r:id="rId6"/>
  </sheets>
  <definedNames>
    <definedName name="_________________________2003Q4_T10">#REF!</definedName>
    <definedName name="_________________________TOP10">#REF!</definedName>
    <definedName name="________________________2003Q4_T10">#REF!</definedName>
    <definedName name="________________________TOP10">#REF!</definedName>
    <definedName name="_______________________2003Q4_T10">#REF!</definedName>
    <definedName name="_______________________TOP10">#REF!</definedName>
    <definedName name="______________________2003Q4_T10">#REF!</definedName>
    <definedName name="______________________TOP10">#REF!</definedName>
    <definedName name="_____________________2003Q4_T10">#REF!</definedName>
    <definedName name="_____________________TOP10">#REF!</definedName>
    <definedName name="____________________2003Q4_T10">#REF!</definedName>
    <definedName name="____________________TOP10">#REF!</definedName>
    <definedName name="___________________2003Q4_T10">#REF!</definedName>
    <definedName name="___________________TOP10">#REF!</definedName>
    <definedName name="__________________2003Q4_T10">#REF!</definedName>
    <definedName name="__________________TOP10">#REF!</definedName>
    <definedName name="_________________2003Q4_T10">#REF!</definedName>
    <definedName name="_________________TOP10">#REF!</definedName>
    <definedName name="________________2003Q4_T10">#REF!</definedName>
    <definedName name="________________TOP10">#REF!</definedName>
    <definedName name="_______________2003Q4_T10">#REF!</definedName>
    <definedName name="_______________TOP10">#REF!</definedName>
    <definedName name="______________2003Q4_T10">#REF!</definedName>
    <definedName name="______________TOP10">#REF!</definedName>
    <definedName name="_____________2003Q4_T10">#REF!</definedName>
    <definedName name="_____________TOP10">#REF!</definedName>
    <definedName name="____________2003Q4_T10">#REF!</definedName>
    <definedName name="____________TOP10">#REF!</definedName>
    <definedName name="___________2003Q4_T10">#REF!</definedName>
    <definedName name="___________TOP10">#REF!</definedName>
    <definedName name="__________2003Q4_T10">#REF!</definedName>
    <definedName name="__________TOP10">#REF!</definedName>
    <definedName name="_________2003Q4_T10">#REF!</definedName>
    <definedName name="_________TOP10">#REF!</definedName>
    <definedName name="________2003Q4_T10">#REF!</definedName>
    <definedName name="________TOP10">#REF!</definedName>
    <definedName name="_______2003Q4_T10">#REF!</definedName>
    <definedName name="_______CSC2">#REF!</definedName>
    <definedName name="_______DAT1">#REF!</definedName>
    <definedName name="_______DAT2">#REF!</definedName>
    <definedName name="_______DAT3">#REF!</definedName>
    <definedName name="_______DAT4">#REF!</definedName>
    <definedName name="_______DAT5">#REF!</definedName>
    <definedName name="_______DAT6">#REF!</definedName>
    <definedName name="_______DAT7">#REF!</definedName>
    <definedName name="_______DAT8">#REF!</definedName>
    <definedName name="_______DCF2">#REF!</definedName>
    <definedName name="_______eps1998">#REF!</definedName>
    <definedName name="_______eps1999">#REF!</definedName>
    <definedName name="_______eps2000">#REF!</definedName>
    <definedName name="_______eps2001">#REF!</definedName>
    <definedName name="_______EPS94">#REF!</definedName>
    <definedName name="_______EPS95">#REF!</definedName>
    <definedName name="_______EPS96">#REF!</definedName>
    <definedName name="_______EPS97">#REF!</definedName>
    <definedName name="_______EPS98">#REF!</definedName>
    <definedName name="_______rev1997">#REF!</definedName>
    <definedName name="_______rev1998">#REF!</definedName>
    <definedName name="_______rev1999">#REF!</definedName>
    <definedName name="_______rev2000">#REF!</definedName>
    <definedName name="_______rev2001">#REF!</definedName>
    <definedName name="_______rev2002">#REF!</definedName>
    <definedName name="_______rev2003">#REF!</definedName>
    <definedName name="_______REV89">#REF!</definedName>
    <definedName name="_______REV90">#REF!</definedName>
    <definedName name="_______REV91">#REF!</definedName>
    <definedName name="_______REV92">#REF!</definedName>
    <definedName name="_______REV93">#REF!</definedName>
    <definedName name="_______REV94">#REF!</definedName>
    <definedName name="_______REV95">#REF!</definedName>
    <definedName name="_______REV96">#REF!</definedName>
    <definedName name="_______REV97">#REF!</definedName>
    <definedName name="_______REV98">#REF!</definedName>
    <definedName name="_______TOP10">#REF!</definedName>
    <definedName name="______2003Q4_T10">#REF!</definedName>
    <definedName name="______CSC2">#REF!</definedName>
    <definedName name="______DAT1">#REF!</definedName>
    <definedName name="______DAT2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CF2">#REF!</definedName>
    <definedName name="______eps1998">#REF!</definedName>
    <definedName name="______eps1999">#REF!</definedName>
    <definedName name="______eps2000">#REF!</definedName>
    <definedName name="______eps2001">#REF!</definedName>
    <definedName name="______EPS94">#REF!</definedName>
    <definedName name="______EPS95">#REF!</definedName>
    <definedName name="______EPS96">#REF!</definedName>
    <definedName name="______EPS97">#REF!</definedName>
    <definedName name="______EPS98">#REF!</definedName>
    <definedName name="______rev1997">#REF!</definedName>
    <definedName name="______rev1998">#REF!</definedName>
    <definedName name="______rev1999">#REF!</definedName>
    <definedName name="______rev2000">#REF!</definedName>
    <definedName name="______rev2001">#REF!</definedName>
    <definedName name="______rev2002">#REF!</definedName>
    <definedName name="______rev2003">#REF!</definedName>
    <definedName name="______REV89">#REF!</definedName>
    <definedName name="______REV90">#REF!</definedName>
    <definedName name="______REV91">#REF!</definedName>
    <definedName name="______REV92">#REF!</definedName>
    <definedName name="______REV93">#REF!</definedName>
    <definedName name="______REV94">#REF!</definedName>
    <definedName name="______REV95">#REF!</definedName>
    <definedName name="______REV96">#REF!</definedName>
    <definedName name="______REV97">#REF!</definedName>
    <definedName name="______REV98">#REF!</definedName>
    <definedName name="______TOP10">#REF!</definedName>
    <definedName name="_____2003Q4_T10">#REF!</definedName>
    <definedName name="_____CSC2">#REF!</definedName>
    <definedName name="_____DAT1">#REF!</definedName>
    <definedName name="_____DAT2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CF2">#REF!</definedName>
    <definedName name="_____eps1998">#REF!</definedName>
    <definedName name="_____eps1999">#REF!</definedName>
    <definedName name="_____eps2000">#REF!</definedName>
    <definedName name="_____eps2001">#REF!</definedName>
    <definedName name="_____EPS94">#REF!</definedName>
    <definedName name="_____EPS95">#REF!</definedName>
    <definedName name="_____EPS96">#REF!</definedName>
    <definedName name="_____EPS97">#REF!</definedName>
    <definedName name="_____EPS98">#REF!</definedName>
    <definedName name="_____rev1997">#REF!</definedName>
    <definedName name="_____rev1998">#REF!</definedName>
    <definedName name="_____rev1999">#REF!</definedName>
    <definedName name="_____rev2000">#REF!</definedName>
    <definedName name="_____rev2001">#REF!</definedName>
    <definedName name="_____rev2002">#REF!</definedName>
    <definedName name="_____rev2003">#REF!</definedName>
    <definedName name="_____REV89">#REF!</definedName>
    <definedName name="_____REV90">#REF!</definedName>
    <definedName name="_____REV91">#REF!</definedName>
    <definedName name="_____REV92">#REF!</definedName>
    <definedName name="_____REV93">#REF!</definedName>
    <definedName name="_____REV94">#REF!</definedName>
    <definedName name="_____REV95">#REF!</definedName>
    <definedName name="_____REV96">#REF!</definedName>
    <definedName name="_____REV97">#REF!</definedName>
    <definedName name="_____REV98">#REF!</definedName>
    <definedName name="_____TOP10">#REF!</definedName>
    <definedName name="____2003Q4_T10">#REF!</definedName>
    <definedName name="____CSC2">#REF!</definedName>
    <definedName name="____DAT1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CF2">#REF!</definedName>
    <definedName name="____eps1998">#REF!</definedName>
    <definedName name="____eps1999">#REF!</definedName>
    <definedName name="____eps2000">#REF!</definedName>
    <definedName name="____eps2001">#REF!</definedName>
    <definedName name="____EPS94">#REF!</definedName>
    <definedName name="____EPS95">#REF!</definedName>
    <definedName name="____EPS96">#REF!</definedName>
    <definedName name="____EPS97">#REF!</definedName>
    <definedName name="____EPS98">#REF!</definedName>
    <definedName name="____Q1" hidden="1">{"'Standalone List Price Trends'!$A$1:$X$56"}</definedName>
    <definedName name="____Q2" hidden="1">{"'Standalone List Price Trends'!$A$1:$X$56"}</definedName>
    <definedName name="____Q3" hidden="1">{"'Standalone List Price Trends'!$A$1:$X$56"}</definedName>
    <definedName name="____Q4" hidden="1">{"'Standalone List Price Trends'!$A$1:$X$56"}</definedName>
    <definedName name="____Q5" hidden="1">{"'Standalone List Price Trends'!$A$1:$X$56"}</definedName>
    <definedName name="____Q9" hidden="1">{"'Standalone List Price Trends'!$A$1:$X$56"}</definedName>
    <definedName name="____rev1997">#REF!</definedName>
    <definedName name="____rev1998">#REF!</definedName>
    <definedName name="____rev1999">#REF!</definedName>
    <definedName name="____rev2000">#REF!</definedName>
    <definedName name="____rev2001">#REF!</definedName>
    <definedName name="____rev2002">#REF!</definedName>
    <definedName name="____rev2003">#REF!</definedName>
    <definedName name="____REV89">#REF!</definedName>
    <definedName name="____REV90">#REF!</definedName>
    <definedName name="____REV91">#REF!</definedName>
    <definedName name="____REV92">#REF!</definedName>
    <definedName name="____REV93">#REF!</definedName>
    <definedName name="____REV94">#REF!</definedName>
    <definedName name="____REV95">#REF!</definedName>
    <definedName name="____REV96">#REF!</definedName>
    <definedName name="____REV97">#REF!</definedName>
    <definedName name="____REV98">#REF!</definedName>
    <definedName name="____rw1" hidden="1">{"'Standalone List Price Trends'!$A$1:$X$56"}</definedName>
    <definedName name="____rw2" hidden="1">{"'Standalone List Price Trends'!$A$1:$X$56"}</definedName>
    <definedName name="____rw3" hidden="1">{"'Standalone List Price Trends'!$A$1:$X$56"}</definedName>
    <definedName name="____rw4" hidden="1">{"'Standalone List Price Trends'!$A$1:$X$56"}</definedName>
    <definedName name="____TOP10">#REF!</definedName>
    <definedName name="____W.O.R.K.B.O.O.K..C.O.N.T.E.N.T.S____">#REF!</definedName>
    <definedName name="___2003Q4_T10">#REF!</definedName>
    <definedName name="___CSC2">#REF!</definedName>
    <definedName name="___DAT1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CF2">#REF!</definedName>
    <definedName name="___eps1998">#REF!</definedName>
    <definedName name="___eps1999">#REF!</definedName>
    <definedName name="___eps2000">#REF!</definedName>
    <definedName name="___eps2001">#REF!</definedName>
    <definedName name="___EPS94">#REF!</definedName>
    <definedName name="___EPS95">#REF!</definedName>
    <definedName name="___EPS96">#REF!</definedName>
    <definedName name="___EPS97">#REF!</definedName>
    <definedName name="___EPS98">#REF!</definedName>
    <definedName name="___Q1" hidden="1">{"'Standalone List Price Trends'!$A$1:$X$56"}</definedName>
    <definedName name="___Q2" hidden="1">{"'Standalone List Price Trends'!$A$1:$X$56"}</definedName>
    <definedName name="___Q3" hidden="1">{"'Standalone List Price Trends'!$A$1:$X$56"}</definedName>
    <definedName name="___Q4" hidden="1">{"'Standalone List Price Trends'!$A$1:$X$56"}</definedName>
    <definedName name="___Q5" hidden="1">{"'Standalone List Price Trends'!$A$1:$X$56"}</definedName>
    <definedName name="___Q9" hidden="1">{"'Standalone List Price Trends'!$A$1:$X$56"}</definedName>
    <definedName name="___rev1997">#REF!</definedName>
    <definedName name="___rev1998">#REF!</definedName>
    <definedName name="___rev1999">#REF!</definedName>
    <definedName name="___rev2000">#REF!</definedName>
    <definedName name="___rev2001">#REF!</definedName>
    <definedName name="___rev2002">#REF!</definedName>
    <definedName name="___rev2003">#REF!</definedName>
    <definedName name="___REV89">#REF!</definedName>
    <definedName name="___REV90">#REF!</definedName>
    <definedName name="___REV91">#REF!</definedName>
    <definedName name="___REV92">#REF!</definedName>
    <definedName name="___REV93">#REF!</definedName>
    <definedName name="___REV94">#REF!</definedName>
    <definedName name="___REV95">#REF!</definedName>
    <definedName name="___REV96">#REF!</definedName>
    <definedName name="___REV97">#REF!</definedName>
    <definedName name="___REV98">#REF!</definedName>
    <definedName name="___rw1" hidden="1">{"'Standalone List Price Trends'!$A$1:$X$56"}</definedName>
    <definedName name="___rw2" hidden="1">{"'Standalone List Price Trends'!$A$1:$X$56"}</definedName>
    <definedName name="___rw3" hidden="1">{"'Standalone List Price Trends'!$A$1:$X$56"}</definedName>
    <definedName name="___rw4" hidden="1">{"'Standalone List Price Trends'!$A$1:$X$56"}</definedName>
    <definedName name="___TOP10">#REF!</definedName>
    <definedName name="__123Graph_A" hidden="1">#REF!</definedName>
    <definedName name="__123Graph_ACURRENT" hidden="1">#REF!</definedName>
    <definedName name="__123Graph_AGRPH_EXPIRE" hidden="1">#REF!</definedName>
    <definedName name="__123Graph_ALOSSCHART" hidden="1">#REF!</definedName>
    <definedName name="__123Graph_B" hidden="1">#REF!</definedName>
    <definedName name="__123Graph_BCURRENT" hidden="1">#REF!</definedName>
    <definedName name="__123Graph_BLOSSCHART" hidden="1">#REF!</definedName>
    <definedName name="__123Graph_CLOSSCHART" hidden="1">#REF!</definedName>
    <definedName name="__123Graph_DLOSSCHART" hidden="1">#REF!</definedName>
    <definedName name="__123Graph_ELOSSCHART" hidden="1">#REF!</definedName>
    <definedName name="__123Graph_FLOSSCHART" hidden="1">#REF!</definedName>
    <definedName name="__123Graph_X" hidden="1">#REF!</definedName>
    <definedName name="__123Graph_XCURRENT" hidden="1">#REF!</definedName>
    <definedName name="__123Graph_XGRPH_EXPIRE" hidden="1">#REF!</definedName>
    <definedName name="__2003Q4_T10">#REF!</definedName>
    <definedName name="__CAT1">#REF!</definedName>
    <definedName name="__CAT2">#REF!</definedName>
    <definedName name="__CAT3">#REF!</definedName>
    <definedName name="__CSC2">#REF!</definedName>
    <definedName name="__DAT1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CF2">#REF!</definedName>
    <definedName name="__eps01">#REF!</definedName>
    <definedName name="__eps1998">#REF!</definedName>
    <definedName name="__eps1999">#REF!</definedName>
    <definedName name="__eps2000">#REF!</definedName>
    <definedName name="__eps2001">#REF!</definedName>
    <definedName name="__EPS94">#REF!</definedName>
    <definedName name="__EPS95">#REF!</definedName>
    <definedName name="__EPS96">#REF!</definedName>
    <definedName name="__EPS97">#REF!</definedName>
    <definedName name="__EPS98">#REF!</definedName>
    <definedName name="__eps99">#REF!</definedName>
    <definedName name="__FDS_HYPERLINK_TOGGLE_STATE__" hidden="1">"ON"</definedName>
    <definedName name="__FDS_UNIQUE_RANGE_ID_GENERATOR_COUNTER" hidden="1">268</definedName>
    <definedName name="__FDS_USED_FOR_REUSING_RANGE_IDS_RECYCLE" hidden="1">{264,263,262}</definedName>
    <definedName name="__fig4">#REF!</definedName>
    <definedName name="__grm98">#REF!</definedName>
    <definedName name="__grm99">#REF!</definedName>
    <definedName name="__net96">#REF!</definedName>
    <definedName name="__net97">#REF!</definedName>
    <definedName name="__net98">#REF!</definedName>
    <definedName name="__net99">#REF!</definedName>
    <definedName name="__NIA92">#REF!</definedName>
    <definedName name="__NIA93">#REF!</definedName>
    <definedName name="__NIA94">#REF!</definedName>
    <definedName name="__opm97">#REF!</definedName>
    <definedName name="__opm98">#REF!</definedName>
    <definedName name="__opm99">#REF!</definedName>
    <definedName name="__Q1" hidden="1">{"'Standalone List Price Trends'!$A$1:$X$56"}</definedName>
    <definedName name="__Q2" hidden="1">{"'Standalone List Price Trends'!$A$1:$X$56"}</definedName>
    <definedName name="__Q3" hidden="1">{"'Standalone List Price Trends'!$A$1:$X$56"}</definedName>
    <definedName name="__Q4" hidden="1">{"'Standalone List Price Trends'!$A$1:$X$56"}</definedName>
    <definedName name="__Q5" hidden="1">{"'Standalone List Price Trends'!$A$1:$X$56"}</definedName>
    <definedName name="__Q9" hidden="1">{"'Standalone List Price Trends'!$A$1:$X$56"}</definedName>
    <definedName name="__rev1997">#REF!</definedName>
    <definedName name="__rev1998">#REF!</definedName>
    <definedName name="__rev1999">#REF!</definedName>
    <definedName name="__rev2000">#REF!</definedName>
    <definedName name="__rev2001">#REF!</definedName>
    <definedName name="__rev2002">#REF!</definedName>
    <definedName name="__rev2003">#REF!</definedName>
    <definedName name="__REV89">#REF!</definedName>
    <definedName name="__REV90">#REF!</definedName>
    <definedName name="__REV91">#REF!</definedName>
    <definedName name="__REV92">#REF!</definedName>
    <definedName name="__REV93">#REF!</definedName>
    <definedName name="__REV94">#REF!</definedName>
    <definedName name="__REV95">#REF!</definedName>
    <definedName name="__REV96">#REF!</definedName>
    <definedName name="__REV97">#REF!</definedName>
    <definedName name="__REV98">#REF!</definedName>
    <definedName name="__rev99">#REF!</definedName>
    <definedName name="__rw1" hidden="1">{"'Standalone List Price Trends'!$A$1:$X$56"}</definedName>
    <definedName name="__rw2" hidden="1">{"'Standalone List Price Trends'!$A$1:$X$56"}</definedName>
    <definedName name="__rw3" hidden="1">{"'Standalone List Price Trends'!$A$1:$X$56"}</definedName>
    <definedName name="__rw4" hidden="1">{"'Standalone List Price Trends'!$A$1:$X$56"}</definedName>
    <definedName name="__spx96">#REF!</definedName>
    <definedName name="__tax96">#REF!</definedName>
    <definedName name="__tax97">#REF!</definedName>
    <definedName name="__tax98">#REF!</definedName>
    <definedName name="__tax99">#REF!</definedName>
    <definedName name="__tbl2">#REF!</definedName>
    <definedName name="__tbl3">#REF!</definedName>
    <definedName name="__tbl4">#REF!</definedName>
    <definedName name="__tbl5">#REF!</definedName>
    <definedName name="__TOP10">#REF!</definedName>
    <definedName name="__X2">#REF!</definedName>
    <definedName name="__X3">#REF!</definedName>
    <definedName name="__X6">#REF!</definedName>
    <definedName name="__X7">#REF!</definedName>
    <definedName name="_1__FDSAUDITLINK__" hidden="1">{"fdsup://directions/FAT Viewer?action=UPDATE&amp;creator=factset&amp;DYN_ARGS=TRUE&amp;DOC_NAME=FAT:FQL_AUDITING_CLIENT_TEMPLATE.FAT&amp;display_string=Audit&amp;VAR:KEY=SLSJETOHCD&amp;VAR:QUERY=KENTRl9JTlRBTkcoUVRSX1IsMzczMTUpQFdTRl9JTlRBTkcoUVRSLDM3MzE1KSk=&amp;WINDOW=FIRST_POPUP&amp;H","EIGHT=450&amp;WIDTH=450&amp;START_MAXIMIZED=FALSE&amp;VAR:CALENDAR=US&amp;VAR:SYMBOL=AMD&amp;VAR:INDEX=0"}</definedName>
    <definedName name="_1_31_2005">#REF!</definedName>
    <definedName name="_10__FDSAUDITLINK__" hidden="1">{"fdsup://directions/FAT Viewer?action=UPDATE&amp;creator=factset&amp;DYN_ARGS=TRUE&amp;DOC_NAME=FAT:FQL_AUDITING_CLIENT_TEMPLATE.FAT&amp;display_string=Audit&amp;VAR:KEY=CNWVYNAVGH&amp;VAR:QUERY=KENTRl9JTlRBTkcoUVRSX1IsMzcwNDIpQFdTRl9JTlRBTkcoUVRSLDM3MDQyKSk=&amp;WINDOW=FIRST_POPUP&amp;H","EIGHT=450&amp;WIDTH=450&amp;START_MAXIMIZED=FALSE&amp;VAR:CALENDAR=US&amp;VAR:SYMBOL=AMD&amp;VAR:INDEX=0"}</definedName>
    <definedName name="_100__FDSAUDITLINK__" hidden="1">{"fdsup://directions/FAT Viewer?action=UPDATE&amp;creator=factset&amp;DYN_ARGS=TRUE&amp;DOC_NAME=FAT:FQL_AUDITING_CLIENT_TEMPLATE.FAT&amp;display_string=Audit&amp;VAR:KEY=QVQTEXITWV&amp;VAR:QUERY=KENTRl9DT01fU0hTX09VVF9FUFNfRElMKFFUUl9SLDM1MjE2KUBXU0ZfQ09NX1NIU19PVVRfRVBTX0RJTChRV","FIsMzUyMTYpKQ==&amp;WINDOW=FIRST_POPUP&amp;HEIGHT=450&amp;WIDTH=450&amp;START_MAXIMIZED=FALSE&amp;VAR:CALENDAR=US&amp;VAR:SYMBOL=AMD&amp;VAR:INDEX=0"}</definedName>
    <definedName name="_101__FDSAUDITLINK__" hidden="1">{"fdsup://directions/FAT Viewer?action=UPDATE&amp;creator=factset&amp;DYN_ARGS=TRUE&amp;DOC_NAME=FAT:FQL_AUDITING_CLIENT_TEMPLATE.FAT&amp;display_string=Audit&amp;VAR:KEY=UPSXULUVKD&amp;VAR:QUERY=KENTRl9JTlRBTkcoUVRSX1IsMzUyMTYpQFdTRl9JTlRBTkcoUVRSLDM1MjE2KSk=&amp;WINDOW=FIRST_POPUP&amp;H","EIGHT=450&amp;WIDTH=450&amp;START_MAXIMIZED=FALSE&amp;VAR:CALENDAR=US&amp;VAR:SYMBOL=AMD&amp;VAR:INDEX=0"}</definedName>
    <definedName name="_102__FDSAUDITLINK__" hidden="1">{"fdsup://directions/FAT Viewer?action=UPDATE&amp;creator=factset&amp;DYN_ARGS=TRUE&amp;DOC_NAME=FAT:FQL_AUDITING_CLIENT_TEMPLATE.FAT&amp;display_string=Audit&amp;VAR:KEY=KJUPGDIXCF&amp;VAR:QUERY=KENTRl9DT01fU0hTX09VVF9FUFNfRElMKFFUUl9SLDM1MTg1KUBXU0ZfQ09NX1NIU19PVVRfRVBTX0RJTChRV","FIsMzUxODUpKQ==&amp;WINDOW=FIRST_POPUP&amp;HEIGHT=450&amp;WIDTH=450&amp;START_MAXIMIZED=FALSE&amp;VAR:CALENDAR=US&amp;VAR:SYMBOL=AMD&amp;VAR:INDEX=0"}</definedName>
    <definedName name="_103__FDSAUDITLINK__" hidden="1">{"fdsup://directions/FAT Viewer?action=UPDATE&amp;creator=factset&amp;DYN_ARGS=TRUE&amp;DOC_NAME=FAT:FQL_AUDITING_CLIENT_TEMPLATE.FAT&amp;display_string=Audit&amp;VAR:KEY=ABOXABGVSX&amp;VAR:QUERY=KENTRl9JTlRBTkcoUVRSX1IsMzUxODUpQFdTRl9JTlRBTkcoUVRSLDM1MTg1KSk=&amp;WINDOW=FIRST_POPUP&amp;H","EIGHT=450&amp;WIDTH=450&amp;START_MAXIMIZED=FALSE&amp;VAR:CALENDAR=US&amp;VAR:SYMBOL=AMD&amp;VAR:INDEX=0"}</definedName>
    <definedName name="_104__FDSAUDITLINK__" hidden="1">{"fdsup://directions/FAT Viewer?action=UPDATE&amp;creator=factset&amp;DYN_ARGS=TRUE&amp;DOC_NAME=FAT:FQL_AUDITING_CLIENT_TEMPLATE.FAT&amp;display_string=Audit&amp;VAR:KEY=QVUDAZEJGJ&amp;VAR:QUERY=KENTRl9DT01fU0hTX09VVF9FUFNfRElMKFFUUl9SLDM1MTUzKUBXU0ZfQ09NX1NIU19PVVRfRVBTX0RJTChRV","FIsMzUxNTMpKQ==&amp;WINDOW=FIRST_POPUP&amp;HEIGHT=450&amp;WIDTH=450&amp;START_MAXIMIZED=FALSE&amp;VAR:CALENDAR=US&amp;VAR:SYMBOL=AMD&amp;VAR:INDEX=0"}</definedName>
    <definedName name="_105__FDSAUDITLINK__" hidden="1">{"fdsup://directions/FAT Viewer?action=UPDATE&amp;creator=factset&amp;DYN_ARGS=TRUE&amp;DOC_NAME=FAT:FQL_AUDITING_CLIENT_TEMPLATE.FAT&amp;display_string=Audit&amp;VAR:KEY=GVYZWJIDSH&amp;VAR:QUERY=KENTRl9JTlRBTkcoUVRSX1IsMzUxNTMpQFdTRl9JTlRBTkcoUVRSLDM1MTUzKSk=&amp;WINDOW=FIRST_POPUP&amp;H","EIGHT=450&amp;WIDTH=450&amp;START_MAXIMIZED=FALSE&amp;VAR:CALENDAR=US&amp;VAR:SYMBOL=AMD&amp;VAR:INDEX=0"}</definedName>
    <definedName name="_106__FDSAUDITLINK__" hidden="1">{"fdsup://directions/FAT Viewer?action=UPDATE&amp;creator=factset&amp;DYN_ARGS=TRUE&amp;DOC_NAME=FAT:FQL_AUDITING_CLIENT_TEMPLATE.FAT&amp;display_string=Audit&amp;VAR:KEY=MBAJMZWVYZ&amp;VAR:QUERY=KENTRl9DT01fU0hTX09VVF9FUFNfRElMKFFUUl9SLDM1MTI0KUBXU0ZfQ09NX1NIU19PVVRfRVBTX0RJTChRV","FIsMzUxMjQpKQ==&amp;WINDOW=FIRST_POPUP&amp;HEIGHT=450&amp;WIDTH=450&amp;START_MAXIMIZED=FALSE&amp;VAR:CALENDAR=US&amp;VAR:SYMBOL=AMD&amp;VAR:INDEX=0"}</definedName>
    <definedName name="_107__FDSAUDITLINK__" hidden="1">{"fdsup://directions/FAT Viewer?action=UPDATE&amp;creator=factset&amp;DYN_ARGS=TRUE&amp;DOC_NAME=FAT:FQL_AUDITING_CLIENT_TEMPLATE.FAT&amp;display_string=Audit&amp;VAR:KEY=ALEXABERMN&amp;VAR:QUERY=KENTRl9JTlRBTkcoUVRSX1IsMzUxMjQpQFdTRl9JTlRBTkcoUVRSLDM1MTI0KSk=&amp;WINDOW=FIRST_POPUP&amp;H","EIGHT=450&amp;WIDTH=450&amp;START_MAXIMIZED=FALSE&amp;VAR:CALENDAR=US&amp;VAR:SYMBOL=AMD&amp;VAR:INDEX=0"}</definedName>
    <definedName name="_108__FDSAUDITLINK__" hidden="1">{"fdsup://directions/FAT Viewer?action=UPDATE&amp;creator=factset&amp;DYN_ARGS=TRUE&amp;DOC_NAME=FAT:FQL_AUDITING_CLIENT_TEMPLATE.FAT&amp;display_string=Audit&amp;VAR:KEY=UPCLCVQBYT&amp;VAR:QUERY=KENTRl9DT01fU0hTX09VVF9FUFNfRElMKFFUUl9SLDM1MDk1KUBXU0ZfQ09NX1NIU19PVVRfRVBTX0RJTChRV","FIsMzUwOTUpKQ==&amp;WINDOW=FIRST_POPUP&amp;HEIGHT=450&amp;WIDTH=450&amp;START_MAXIMIZED=FALSE&amp;VAR:CALENDAR=US&amp;VAR:SYMBOL=AMD&amp;VAR:INDEX=0"}</definedName>
    <definedName name="_109__FDSAUDITLINK__" hidden="1">{"fdsup://directions/FAT Viewer?action=UPDATE&amp;creator=factset&amp;DYN_ARGS=TRUE&amp;DOC_NAME=FAT:FQL_AUDITING_CLIENT_TEMPLATE.FAT&amp;display_string=Audit&amp;VAR:KEY=KTOLQZONEN&amp;VAR:QUERY=KENTRl9JTlRBTkcoUVRSX1IsMzUwOTUpQFdTRl9JTlRBTkcoUVRSLDM1MDk1KSk=&amp;WINDOW=FIRST_POPUP&amp;H","EIGHT=450&amp;WIDTH=450&amp;START_MAXIMIZED=FALSE&amp;VAR:CALENDAR=US&amp;VAR:SYMBOL=AMD&amp;VAR:INDEX=0"}</definedName>
    <definedName name="_11__FDSAUDITLINK__" hidden="1">{"fdsup://directions/FAT Viewer?action=UPDATE&amp;creator=factset&amp;DYN_ARGS=TRUE&amp;DOC_NAME=FAT:FQL_AUDITING_CLIENT_TEMPLATE.FAT&amp;display_string=Audit&amp;VAR:KEY=YRMPIDWTSD&amp;VAR:QUERY=KENTRl9JTlRBTkcoUVRSX1IsMzcwMTEpQFdTRl9JTlRBTkcoUVRSLDM3MDExKSk=&amp;WINDOW=FIRST_POPUP&amp;H","EIGHT=450&amp;WIDTH=450&amp;START_MAXIMIZED=FALSE&amp;VAR:CALENDAR=US&amp;VAR:SYMBOL=AMD&amp;VAR:INDEX=0"}</definedName>
    <definedName name="_110__FDSAUDITLINK__" hidden="1">{"fdsup://directions/FAT Viewer?action=UPDATE&amp;creator=factset&amp;DYN_ARGS=TRUE&amp;DOC_NAME=FAT:FQL_AUDITING_CLIENT_TEMPLATE.FAT&amp;display_string=Audit&amp;VAR:KEY=OFKLQVKBOZ&amp;VAR:QUERY=KENTRl9DT01fU0hTX09VVF9FUFNfRElMKFFUUl9SLDM1MDYyKUBXU0ZfQ09NX1NIU19PVVRfRVBTX0RJTChRV","FIsMzUwNjIpKQ==&amp;WINDOW=FIRST_POPUP&amp;HEIGHT=450&amp;WIDTH=450&amp;START_MAXIMIZED=FALSE&amp;VAR:CALENDAR=US&amp;VAR:SYMBOL=AMD&amp;VAR:INDEX=0"}</definedName>
    <definedName name="_111__FDSAUDITLINK__" hidden="1">{"fdsup://directions/FAT Viewer?action=UPDATE&amp;creator=factset&amp;DYN_ARGS=TRUE&amp;DOC_NAME=FAT:FQL_AUDITING_CLIENT_TEMPLATE.FAT&amp;display_string=Audit&amp;VAR:KEY=CZKDYXCHSL&amp;VAR:QUERY=KENTRl9JTlRBTkcoUVRSX1IsMzUwNjIpQFdTRl9JTlRBTkcoUVRSLDM1MDYyKSk=&amp;WINDOW=FIRST_POPUP&amp;H","EIGHT=450&amp;WIDTH=450&amp;START_MAXIMIZED=FALSE&amp;VAR:CALENDAR=US&amp;VAR:SYMBOL=AMD&amp;VAR:INDEX=0"}</definedName>
    <definedName name="_112__FDSAUDITLINK__" hidden="1">{"fdsup://directions/FAT Viewer?action=UPDATE&amp;creator=factset&amp;DYN_ARGS=TRUE&amp;DOC_NAME=FAT:FQL_AUDITING_CLIENT_TEMPLATE.FAT&amp;display_string=Audit&amp;VAR:KEY=UBKVCJQNQV&amp;VAR:QUERY=KENTRl9DT01fU0hTX09VVF9FUFNfRElMKFFUUl9SLDM1MDMzKUBXU0ZfQ09NX1NIU19PVVRfRVBTX0RJTChRV","FIsMzUwMzMpKQ==&amp;WINDOW=FIRST_POPUP&amp;HEIGHT=450&amp;WIDTH=450&amp;START_MAXIMIZED=FALSE&amp;VAR:CALENDAR=US&amp;VAR:SYMBOL=AMD&amp;VAR:INDEX=0"}</definedName>
    <definedName name="_113__FDSAUDITLINK__" hidden="1">{"fdsup://directions/FAT Viewer?action=UPDATE&amp;creator=factset&amp;DYN_ARGS=TRUE&amp;DOC_NAME=FAT:FQL_AUDITING_CLIENT_TEMPLATE.FAT&amp;display_string=Audit&amp;VAR:KEY=EVCZIJUDGB&amp;VAR:QUERY=KENTRl9JTlRBTkcoUVRSX1IsMzUwMzMpQFdTRl9JTlRBTkcoUVRSLDM1MDMzKSk=&amp;WINDOW=FIRST_POPUP&amp;H","EIGHT=450&amp;WIDTH=450&amp;START_MAXIMIZED=FALSE&amp;VAR:CALENDAR=US&amp;VAR:SYMBOL=AMD&amp;VAR:INDEX=0"}</definedName>
    <definedName name="_114__FDSAUDITLINK__" hidden="1">{"fdsup://directions/FAT Viewer?action=UPDATE&amp;creator=factset&amp;DYN_ARGS=TRUE&amp;DOC_NAME=FAT:FQL_AUDITING_CLIENT_TEMPLATE.FAT&amp;display_string=Audit&amp;VAR:KEY=WPYZATQRMT&amp;VAR:QUERY=KENTRl9DT01fU0hTX09VVF9FUFNfRElMKFFUUl9SLDM1MDAzKUBXU0ZfQ09NX1NIU19PVVRfRVBTX0RJTChRV","FIsMzUwMDMpKQ==&amp;WINDOW=FIRST_POPUP&amp;HEIGHT=450&amp;WIDTH=450&amp;START_MAXIMIZED=FALSE&amp;VAR:CALENDAR=US&amp;VAR:SYMBOL=AMD&amp;VAR:INDEX=0"}</definedName>
    <definedName name="_115__FDSAUDITLINK__" hidden="1">{"fdsup://directions/FAT Viewer?action=UPDATE&amp;creator=factset&amp;DYN_ARGS=TRUE&amp;DOC_NAME=FAT:FQL_AUDITING_CLIENT_TEMPLATE.FAT&amp;display_string=Audit&amp;VAR:KEY=KTEJWHONMB&amp;VAR:QUERY=KENTRl9JTlRBTkcoUVRSX1IsMzUwMDMpQFdTRl9JTlRBTkcoUVRSLDM1MDAzKSk=&amp;WINDOW=FIRST_POPUP&amp;H","EIGHT=450&amp;WIDTH=450&amp;START_MAXIMIZED=FALSE&amp;VAR:CALENDAR=US&amp;VAR:SYMBOL=AMD&amp;VAR:INDEX=0"}</definedName>
    <definedName name="_116__FDSAUDITLINK__" hidden="1">{"fdsup://directions/FAT Viewer?action=UPDATE&amp;creator=factset&amp;DYN_ARGS=TRUE&amp;DOC_NAME=FAT:FQL_AUDITING_CLIENT_TEMPLATE.FAT&amp;display_string=Audit&amp;VAR:KEY=CFYHMXQVYL&amp;VAR:QUERY=KENTRl9DT01fU0hTX09VVF9FUFNfRElMKFFUUl9SLDM0OTcxKUBXU0ZfQ09NX1NIU19PVVRfRVBTX0RJTChRV","FIsMzQ5NzEpKQ==&amp;WINDOW=FIRST_POPUP&amp;HEIGHT=450&amp;WIDTH=450&amp;START_MAXIMIZED=FALSE&amp;VAR:CALENDAR=US&amp;VAR:SYMBOL=AMD&amp;VAR:INDEX=0"}</definedName>
    <definedName name="_117__FDSAUDITLINK__" hidden="1">{"fdsup://directions/FAT Viewer?action=UPDATE&amp;creator=factset&amp;DYN_ARGS=TRUE&amp;DOC_NAME=FAT:FQL_AUDITING_CLIENT_TEMPLATE.FAT&amp;display_string=Audit&amp;VAR:KEY=CXUJMXYJML&amp;VAR:QUERY=KENTRl9JTlRBTkcoUVRSX1IsMzQ5NzEpQFdTRl9JTlRBTkcoUVRSLDM0OTcxKSk=&amp;WINDOW=FIRST_POPUP&amp;H","EIGHT=450&amp;WIDTH=450&amp;START_MAXIMIZED=FALSE&amp;VAR:CALENDAR=US&amp;VAR:SYMBOL=AMD&amp;VAR:INDEX=0"}</definedName>
    <definedName name="_118__FDSAUDITLINK__" hidden="1">{"fdsup://directions/FAT Viewer?action=UPDATE&amp;creator=factset&amp;DYN_ARGS=TRUE&amp;DOC_NAME=FAT:FQL_AUDITING_CLIENT_TEMPLATE.FAT&amp;display_string=Audit&amp;VAR:KEY=EPIHINADAP&amp;VAR:QUERY=KENTRl9DT01fU0hTX09VVF9FUFNfRElMKFFUUl9SLDM0OTQyKUBXU0ZfQ09NX1NIU19PVVRfRVBTX0RJTChRV","FIsMzQ5NDIpKQ==&amp;WINDOW=FIRST_POPUP&amp;HEIGHT=450&amp;WIDTH=450&amp;START_MAXIMIZED=FALSE&amp;VAR:CALENDAR=US&amp;VAR:SYMBOL=AMD&amp;VAR:INDEX=0"}</definedName>
    <definedName name="_119__FDSAUDITLINK__" hidden="1">{"fdsup://directions/FAT Viewer?action=UPDATE&amp;creator=factset&amp;DYN_ARGS=TRUE&amp;DOC_NAME=FAT:FQL_AUDITING_CLIENT_TEMPLATE.FAT&amp;display_string=Audit&amp;VAR:KEY=KRILYHABUH&amp;VAR:QUERY=KENTRl9JTlRBTkcoUVRSX1IsMzQ5NDIpQFdTRl9JTlRBTkcoUVRSLDM0OTQyKSk=&amp;WINDOW=FIRST_POPUP&amp;H","EIGHT=450&amp;WIDTH=450&amp;START_MAXIMIZED=FALSE&amp;VAR:CALENDAR=US&amp;VAR:SYMBOL=AMD&amp;VAR:INDEX=0"}</definedName>
    <definedName name="_12__FDSAUDITLINK__" hidden="1">{"fdsup://directions/FAT Viewer?action=UPDATE&amp;creator=factset&amp;DYN_ARGS=TRUE&amp;DOC_NAME=FAT:FQL_AUDITING_CLIENT_TEMPLATE.FAT&amp;display_string=Audit&amp;VAR:KEY=IJUHMJENAX&amp;VAR:QUERY=KENTRl9JTlRBTkcoUVRSX1IsMzY5ODApQFdTRl9JTlRBTkcoUVRSLDM2OTgwKSk=&amp;WINDOW=FIRST_POPUP&amp;H","EIGHT=450&amp;WIDTH=450&amp;START_MAXIMIZED=FALSE&amp;VAR:CALENDAR=US&amp;VAR:SYMBOL=AMD&amp;VAR:INDEX=0"}</definedName>
    <definedName name="_120__FDSAUDITLINK__" hidden="1">{"fdsup://directions/FAT Viewer?action=UPDATE&amp;creator=factset&amp;DYN_ARGS=TRUE&amp;DOC_NAME=FAT:FQL_AUDITING_CLIENT_TEMPLATE.FAT&amp;display_string=Audit&amp;VAR:KEY=OVKBAJITKP&amp;VAR:QUERY=KENTRl9DT01fU0hTX09VVF9FUFNfRElMKFFUUl9SLDM0OTExKUBXU0ZfQ09NX1NIU19PVVRfRVBTX0RJTChRV","FIsMzQ5MTEpKQ==&amp;WINDOW=FIRST_POPUP&amp;HEIGHT=450&amp;WIDTH=450&amp;START_MAXIMIZED=FALSE&amp;VAR:CALENDAR=US&amp;VAR:SYMBOL=AMD&amp;VAR:INDEX=0"}</definedName>
    <definedName name="_121__FDSAUDITLINK__" hidden="1">{"fdsup://directions/FAT Viewer?action=UPDATE&amp;creator=factset&amp;DYN_ARGS=TRUE&amp;DOC_NAME=FAT:FQL_AUDITING_CLIENT_TEMPLATE.FAT&amp;display_string=Audit&amp;VAR:KEY=ILULSZIBYT&amp;VAR:QUERY=KENTRl9JTlRBTkcoUVRSX1IsMzQ5MTEpQFdTRl9JTlRBTkcoUVRSLDM0OTExKSk=&amp;WINDOW=FIRST_POPUP&amp;H","EIGHT=450&amp;WIDTH=450&amp;START_MAXIMIZED=FALSE&amp;VAR:CALENDAR=US&amp;VAR:SYMBOL=AMD&amp;VAR:INDEX=0"}</definedName>
    <definedName name="_122__FDSAUDITLINK__" hidden="1">{"fdsup://directions/FAT Viewer?action=UPDATE&amp;creator=factset&amp;DYN_ARGS=TRUE&amp;DOC_NAME=FAT:FQL_AUDITING_CLIENT_TEMPLATE.FAT&amp;display_string=Audit&amp;VAR:KEY=CDUFYHABSB&amp;VAR:QUERY=KENTRl9DT01fU0hTX09VVF9FUFNfRElMKFFUUl9SLDM0ODgwKUBXU0ZfQ09NX1NIU19PVVRfRVBTX0RJTChRV","FIsMzQ4ODApKQ==&amp;WINDOW=FIRST_POPUP&amp;HEIGHT=450&amp;WIDTH=450&amp;START_MAXIMIZED=FALSE&amp;VAR:CALENDAR=US&amp;VAR:SYMBOL=AMD&amp;VAR:INDEX=0"}</definedName>
    <definedName name="_123__FDSAUDITLINK__" hidden="1">{"fdsup://directions/FAT Viewer?action=UPDATE&amp;creator=factset&amp;DYN_ARGS=TRUE&amp;DOC_NAME=FAT:FQL_AUDITING_CLIENT_TEMPLATE.FAT&amp;display_string=Audit&amp;VAR:KEY=ILSPEVSLMP&amp;VAR:QUERY=KENTRl9JTlRBTkcoUVRSX1IsMzQ4ODApQFdTRl9JTlRBTkcoUVRSLDM0ODgwKSk=&amp;WINDOW=FIRST_POPUP&amp;H","EIGHT=450&amp;WIDTH=450&amp;START_MAXIMIZED=FALSE&amp;VAR:CALENDAR=US&amp;VAR:SYMBOL=AMD&amp;VAR:INDEX=0"}</definedName>
    <definedName name="_124__FDSAUDITLINK__" hidden="1">{"fdsup://directions/FAT Viewer?action=UPDATE&amp;creator=factset&amp;DYN_ARGS=TRUE&amp;DOC_NAME=FAT:FQL_AUDITING_CLIENT_TEMPLATE.FAT&amp;display_string=Audit&amp;VAR:KEY=SNIBITWPEL&amp;VAR:QUERY=KENTRl9DT01fU0hTX09VVF9FUFNfRElMKFFUUl9SLDM0ODUwKUBXU0ZfQ09NX1NIU19PVVRfRVBTX0RJTChRV","FIsMzQ4NTApKQ==&amp;WINDOW=FIRST_POPUP&amp;HEIGHT=450&amp;WIDTH=450&amp;START_MAXIMIZED=FALSE&amp;VAR:CALENDAR=US&amp;VAR:SYMBOL=AMD&amp;VAR:INDEX=0"}</definedName>
    <definedName name="_125__FDSAUDITLINK__" hidden="1">{"fdsup://directions/FAT Viewer?action=UPDATE&amp;creator=factset&amp;DYN_ARGS=TRUE&amp;DOC_NAME=FAT:FQL_AUDITING_CLIENT_TEMPLATE.FAT&amp;display_string=Audit&amp;VAR:KEY=YTWNWHGHMX&amp;VAR:QUERY=KENTRl9JTlRBTkcoUVRSX1IsMzQ4NTApQFdTRl9JTlRBTkcoUVRSLDM0ODUwKSk=&amp;WINDOW=FIRST_POPUP&amp;H","EIGHT=450&amp;WIDTH=450&amp;START_MAXIMIZED=FALSE&amp;VAR:CALENDAR=US&amp;VAR:SYMBOL=AMD&amp;VAR:INDEX=0"}</definedName>
    <definedName name="_126__FDSAUDITLINK__" hidden="1">{"fdsup://directions/FAT Viewer?action=UPDATE&amp;creator=factset&amp;DYN_ARGS=TRUE&amp;DOC_NAME=FAT:FQL_AUDITING_CLIENT_TEMPLATE.FAT&amp;display_string=Audit&amp;VAR:KEY=OBINCZUZKN&amp;VAR:QUERY=KENTRl9DT01fU0hTX09VVF9FUFNfRElMKFFUUl9SLDM0ODE3KUBXU0ZfQ09NX1NIU19PVVRfRVBTX0RJTChRV","FIsMzQ4MTcpKQ==&amp;WINDOW=FIRST_POPUP&amp;HEIGHT=450&amp;WIDTH=450&amp;START_MAXIMIZED=FALSE&amp;VAR:CALENDAR=US&amp;VAR:SYMBOL=AMD&amp;VAR:INDEX=0"}</definedName>
    <definedName name="_127__FDSAUDITLINK__" hidden="1">{"fdsup://directions/FAT Viewer?action=UPDATE&amp;creator=factset&amp;DYN_ARGS=TRUE&amp;DOC_NAME=FAT:FQL_AUDITING_CLIENT_TEMPLATE.FAT&amp;display_string=Audit&amp;VAR:KEY=SXSZONGJKP&amp;VAR:QUERY=KENTRl9JTlRBTkcoUVRSX1IsMzQ4MTcpQFdTRl9JTlRBTkcoUVRSLDM0ODE3KSk=&amp;WINDOW=FIRST_POPUP&amp;H","EIGHT=450&amp;WIDTH=450&amp;START_MAXIMIZED=FALSE&amp;VAR:CALENDAR=US&amp;VAR:SYMBOL=AMD&amp;VAR:INDEX=0"}</definedName>
    <definedName name="_128__FDSAUDITLINK__" hidden="1">{"fdsup://directions/FAT Viewer?action=UPDATE&amp;creator=factset&amp;DYN_ARGS=TRUE&amp;DOC_NAME=FAT:FQL_AUDITING_CLIENT_TEMPLATE.FAT&amp;display_string=Audit&amp;VAR:KEY=WDUVAFIDWR&amp;VAR:QUERY=KENTRl9DT01fU0hTX09VVF9FUFNfRElMKFFUUl9SLDM0Nzg5KUBXU0ZfQ09NX1NIU19PVVRfRVBTX0RJTChRV","FIsMzQ3ODkpKQ==&amp;WINDOW=FIRST_POPUP&amp;HEIGHT=450&amp;WIDTH=450&amp;START_MAXIMIZED=FALSE&amp;VAR:CALENDAR=US&amp;VAR:SYMBOL=AMD&amp;VAR:INDEX=0"}</definedName>
    <definedName name="_129__FDSAUDITLINK__" hidden="1">{"fdsup://directions/FAT Viewer?action=UPDATE&amp;creator=factset&amp;DYN_ARGS=TRUE&amp;DOC_NAME=FAT:FQL_AUDITING_CLIENT_TEMPLATE.FAT&amp;display_string=Audit&amp;VAR:KEY=OFMJAJGDCF&amp;VAR:QUERY=KENTRl9JTlRBTkcoUVRSX1IsMzQ3ODkpQFdTRl9JTlRBTkcoUVRSLDM0Nzg5KSk=&amp;WINDOW=FIRST_POPUP&amp;H","EIGHT=450&amp;WIDTH=450&amp;START_MAXIMIZED=FALSE&amp;VAR:CALENDAR=US&amp;VAR:SYMBOL=AMD&amp;VAR:INDEX=0"}</definedName>
    <definedName name="_13__FDSAUDITLINK__" hidden="1">{"fdsup://directions/FAT Viewer?action=UPDATE&amp;creator=factset&amp;DYN_ARGS=TRUE&amp;DOC_NAME=FAT:FQL_AUDITING_CLIENT_TEMPLATE.FAT&amp;display_string=Audit&amp;VAR:KEY=MNIZYREHEB&amp;VAR:QUERY=KENTRl9JTlRBTkcoUVRSX1IsMzY5NTApQFdTRl9JTlRBTkcoUVRSLDM2OTUwKSk=&amp;WINDOW=FIRST_POPUP&amp;H","EIGHT=450&amp;WIDTH=450&amp;START_MAXIMIZED=FALSE&amp;VAR:CALENDAR=US&amp;VAR:SYMBOL=AMD&amp;VAR:INDEX=0"}</definedName>
    <definedName name="_130__FDSAUDITLINK__" hidden="1">{"fdsup://directions/FAT Viewer?action=UPDATE&amp;creator=factset&amp;DYN_ARGS=TRUE&amp;DOC_NAME=FAT:FQL_AUDITING_CLIENT_TEMPLATE.FAT&amp;display_string=Audit&amp;VAR:KEY=UBGDEHYLST&amp;VAR:QUERY=KENTRl9DT01fU0hTX09VVF9FUFNfRElMKFFUUl9SLDM0NzU4KUBXU0ZfQ09NX1NIU19PVVRfRVBTX0RJTChRV","FIsMzQ3NTgpKQ==&amp;WINDOW=FIRST_POPUP&amp;HEIGHT=450&amp;WIDTH=450&amp;START_MAXIMIZED=FALSE&amp;VAR:CALENDAR=US&amp;VAR:SYMBOL=AMD&amp;VAR:INDEX=0"}</definedName>
    <definedName name="_131__FDSAUDITLINK__" hidden="1">{"fdsup://directions/FAT Viewer?action=UPDATE&amp;creator=factset&amp;DYN_ARGS=TRUE&amp;DOC_NAME=FAT:FQL_AUDITING_CLIENT_TEMPLATE.FAT&amp;display_string=Audit&amp;VAR:KEY=OXOBWZINSB&amp;VAR:QUERY=KENTRl9JTlRBTkcoUVRSX1IsMzQ3NTgpQFdTRl9JTlRBTkcoUVRSLDM0NzU4KSk=&amp;WINDOW=FIRST_POPUP&amp;H","EIGHT=450&amp;WIDTH=450&amp;START_MAXIMIZED=FALSE&amp;VAR:CALENDAR=US&amp;VAR:SYMBOL=AMD&amp;VAR:INDEX=0"}</definedName>
    <definedName name="_132__FDSAUDITLINK__" hidden="1">{"fdsup://directions/FAT Viewer?action=UPDATE&amp;creator=factset&amp;DYN_ARGS=TRUE&amp;DOC_NAME=FAT:FQL_AUDITING_CLIENT_TEMPLATE.FAT&amp;display_string=Audit&amp;VAR:KEY=WRYRMPATCV&amp;VAR:QUERY=KENTRl9DT01fU0hTX09VVF9FUFNfRElMKFFUUl9SLDM0NzMwKUBXU0ZfQ09NX1NIU19PVVRfRVBTX0RJTChRV","FIsMzQ3MzApKQ==&amp;WINDOW=FIRST_POPUP&amp;HEIGHT=450&amp;WIDTH=450&amp;START_MAXIMIZED=FALSE&amp;VAR:CALENDAR=US&amp;VAR:SYMBOL=AMD&amp;VAR:INDEX=0"}</definedName>
    <definedName name="_133__FDSAUDITLINK__" hidden="1">{"fdsup://directions/FAT Viewer?action=UPDATE&amp;creator=factset&amp;DYN_ARGS=TRUE&amp;DOC_NAME=FAT:FQL_AUDITING_CLIENT_TEMPLATE.FAT&amp;display_string=Audit&amp;VAR:KEY=QHYFWHAFGT&amp;VAR:QUERY=KENTRl9JTlRBTkcoUVRSX1IsMzQ3MzApQFdTRl9JTlRBTkcoUVRSLDM0NzMwKSk=&amp;WINDOW=FIRST_POPUP&amp;H","EIGHT=450&amp;WIDTH=450&amp;START_MAXIMIZED=FALSE&amp;VAR:CALENDAR=US&amp;VAR:SYMBOL=AMD&amp;VAR:INDEX=0"}</definedName>
    <definedName name="_134__FDSAUDITLINK__" hidden="1">{"fdsup://directions/FAT Viewer?action=UPDATE&amp;creator=factset&amp;DYN_ARGS=TRUE&amp;DOC_NAME=FAT:FQL_AUDITING_CLIENT_TEMPLATE.FAT&amp;display_string=Audit&amp;VAR:KEY=UTENADMRKB&amp;VAR:QUERY=KENTRl9DT01fU0hTX09VVF9FUFNfRElMKFFUUl9SLDM0Njk4KUBXU0ZfQ09NX1NIU19PVVRfRVBTX0RJTChRV","FIsMzQ2OTgpKQ==&amp;WINDOW=FIRST_POPUP&amp;HEIGHT=450&amp;WIDTH=450&amp;START_MAXIMIZED=FALSE&amp;VAR:CALENDAR=US&amp;VAR:SYMBOL=AMD&amp;VAR:INDEX=0"}</definedName>
    <definedName name="_135__FDSAUDITLINK__" hidden="1">{"fdsup://directions/FAT Viewer?action=UPDATE&amp;creator=factset&amp;DYN_ARGS=TRUE&amp;DOC_NAME=FAT:FQL_AUDITING_CLIENT_TEMPLATE.FAT&amp;display_string=Audit&amp;VAR:KEY=WBAJAJEJSV&amp;VAR:QUERY=KENTRl9JTlRBTkcoUVRSX1IsMzQ2OTgpQFdTRl9JTlRBTkcoUVRSLDM0Njk4KSk=&amp;WINDOW=FIRST_POPUP&amp;H","EIGHT=450&amp;WIDTH=450&amp;START_MAXIMIZED=FALSE&amp;VAR:CALENDAR=US&amp;VAR:SYMBOL=AMD&amp;VAR:INDEX=0"}</definedName>
    <definedName name="_136__FDSAUDITLINK__" hidden="1">{"fdsup://directions/FAT Viewer?action=UPDATE&amp;creator=factset&amp;DYN_ARGS=TRUE&amp;DOC_NAME=FAT:FQL_AUDITING_CLIENT_TEMPLATE.FAT&amp;display_string=Audit&amp;VAR:KEY=MRIHORKVUX&amp;VAR:QUERY=KENTRl9DT01fU0hTX09VVF9FUFNfRElMKFFUUl9SLDM0NjY4KUBXU0ZfQ09NX1NIU19PVVRfRVBTX0RJTChRV","FIsMzQ2NjgpKQ==&amp;WINDOW=FIRST_POPUP&amp;HEIGHT=450&amp;WIDTH=450&amp;START_MAXIMIZED=FALSE&amp;VAR:CALENDAR=US&amp;VAR:SYMBOL=AMD&amp;VAR:INDEX=0"}</definedName>
    <definedName name="_137__FDSAUDITLINK__" hidden="1">{"fdsup://directions/FAT Viewer?action=UPDATE&amp;creator=factset&amp;DYN_ARGS=TRUE&amp;DOC_NAME=FAT:FQL_AUDITING_CLIENT_TEMPLATE.FAT&amp;display_string=Audit&amp;VAR:KEY=EXMLMJMHMV&amp;VAR:QUERY=KENTRl9JTlRBTkcoUVRSX1IsMzQ2NjgpQFdTRl9JTlRBTkcoUVRSLDM0NjY4KSk=&amp;WINDOW=FIRST_POPUP&amp;H","EIGHT=450&amp;WIDTH=450&amp;START_MAXIMIZED=FALSE&amp;VAR:CALENDAR=US&amp;VAR:SYMBOL=AMD&amp;VAR:INDEX=0"}</definedName>
    <definedName name="_138__FDSAUDITLINK__" hidden="1">{"fdsup://directions/FAT Viewer?action=UPDATE&amp;creator=factset&amp;DYN_ARGS=TRUE&amp;DOC_NAME=FAT:FQL_AUDITING_CLIENT_TEMPLATE.FAT&amp;display_string=Audit&amp;VAR:KEY=EHINILYXGT&amp;VAR:QUERY=KENTRl9DT01fU0hTX09VVF9FUFNfRElMKFFUUl9SLDM0NjM4KUBXU0ZfQ09NX1NIU19PVVRfRVBTX0RJTChRV","FIsMzQ2MzgpKQ==&amp;WINDOW=FIRST_POPUP&amp;HEIGHT=450&amp;WIDTH=450&amp;START_MAXIMIZED=FALSE&amp;VAR:CALENDAR=US&amp;VAR:SYMBOL=AMD&amp;VAR:INDEX=0"}</definedName>
    <definedName name="_139__FDSAUDITLINK__" hidden="1">{"fdsup://directions/FAT Viewer?action=UPDATE&amp;creator=factset&amp;DYN_ARGS=TRUE&amp;DOC_NAME=FAT:FQL_AUDITING_CLIENT_TEMPLATE.FAT&amp;display_string=Audit&amp;VAR:KEY=KHOXAJADGZ&amp;VAR:QUERY=KENTRl9JTlRBTkcoUVRSX1IsMzQ2MzgpQFdTRl9JTlRBTkcoUVRSLDM0NjM4KSk=&amp;WINDOW=FIRST_POPUP&amp;H","EIGHT=450&amp;WIDTH=450&amp;START_MAXIMIZED=FALSE&amp;VAR:CALENDAR=US&amp;VAR:SYMBOL=AMD&amp;VAR:INDEX=0"}</definedName>
    <definedName name="_14__FDSAUDITLINK__" hidden="1">{"fdsup://directions/FAT Viewer?action=UPDATE&amp;creator=factset&amp;DYN_ARGS=TRUE&amp;DOC_NAME=FAT:FQL_AUDITING_CLIENT_TEMPLATE.FAT&amp;display_string=Audit&amp;VAR:KEY=SNSFGJCNOX&amp;VAR:QUERY=KENTRl9JTlRBTkcoUVRSX1IsMzY5MjIpQFdTRl9JTlRBTkcoUVRSLDM2OTIyKSk=&amp;WINDOW=FIRST_POPUP&amp;H","EIGHT=450&amp;WIDTH=450&amp;START_MAXIMIZED=FALSE&amp;VAR:CALENDAR=US&amp;VAR:SYMBOL=AMD&amp;VAR:INDEX=0"}</definedName>
    <definedName name="_140__FDSAUDITLINK__" hidden="1">{"fdsup://directions/FAT Viewer?action=UPDATE&amp;creator=factset&amp;DYN_ARGS=TRUE&amp;DOC_NAME=FAT:FQL_AUDITING_CLIENT_TEMPLATE.FAT&amp;display_string=Audit&amp;VAR:KEY=ALSPUTGLKP&amp;VAR:QUERY=KENTRl9DT01fU0hTX09VVF9FUFNfRElMKFFUUl9SLDM0NjA3KUBXU0ZfQ09NX1NIU19PVVRfRVBTX0RJTChRV","FIsMzQ2MDcpKQ==&amp;WINDOW=FIRST_POPUP&amp;HEIGHT=450&amp;WIDTH=450&amp;START_MAXIMIZED=FALSE&amp;VAR:CALENDAR=US&amp;VAR:SYMBOL=AMD&amp;VAR:INDEX=0"}</definedName>
    <definedName name="_141__FDSAUDITLINK__" hidden="1">{"fdsup://directions/FAT Viewer?action=UPDATE&amp;creator=factset&amp;DYN_ARGS=TRUE&amp;DOC_NAME=FAT:FQL_AUDITING_CLIENT_TEMPLATE.FAT&amp;display_string=Audit&amp;VAR:KEY=KBWPWHIVUL&amp;VAR:QUERY=KENTRl9JTlRBTkcoUVRSX1IsMzQ2MDcpQFdTRl9JTlRBTkcoUVRSLDM0NjA3KSk=&amp;WINDOW=FIRST_POPUP&amp;H","EIGHT=450&amp;WIDTH=450&amp;START_MAXIMIZED=FALSE&amp;VAR:CALENDAR=US&amp;VAR:SYMBOL=AMD&amp;VAR:INDEX=0"}</definedName>
    <definedName name="_142__FDSAUDITLINK__" hidden="1">{"fdsup://directions/FAT Viewer?action=UPDATE&amp;creator=factset&amp;DYN_ARGS=TRUE&amp;DOC_NAME=FAT:FQL_AUDITING_CLIENT_TEMPLATE.FAT&amp;display_string=Audit&amp;VAR:KEY=ARKJYHEBOT&amp;VAR:QUERY=KENTRl9DT01fU0hTX09VVF9FUFNfRElMKFFUUl9SLDM0NTc3KUBXU0ZfQ09NX1NIU19PVVRfRVBTX0RJTChRV","FIsMzQ1NzcpKQ==&amp;WINDOW=FIRST_POPUP&amp;HEIGHT=450&amp;WIDTH=450&amp;START_MAXIMIZED=FALSE&amp;VAR:CALENDAR=US&amp;VAR:SYMBOL=AMD&amp;VAR:INDEX=0"}</definedName>
    <definedName name="_143__FDSAUDITLINK__" hidden="1">{"fdsup://directions/FAT Viewer?action=UPDATE&amp;creator=factset&amp;DYN_ARGS=TRUE&amp;DOC_NAME=FAT:FQL_AUDITING_CLIENT_TEMPLATE.FAT&amp;display_string=Audit&amp;VAR:KEY=WFGTYNGXCR&amp;VAR:QUERY=KENTRl9JTlRBTkcoUVRSX1IsMzQ1NzcpQFdTRl9JTlRBTkcoUVRSLDM0NTc3KSk=&amp;WINDOW=FIRST_POPUP&amp;H","EIGHT=450&amp;WIDTH=450&amp;START_MAXIMIZED=FALSE&amp;VAR:CALENDAR=US&amp;VAR:SYMBOL=AMD&amp;VAR:INDEX=0"}</definedName>
    <definedName name="_144__FDSAUDITLINK__" hidden="1">{"fdsup://directions/FAT Viewer?action=UPDATE&amp;creator=factset&amp;DYN_ARGS=TRUE&amp;DOC_NAME=FAT:FQL_AUDITING_CLIENT_TEMPLATE.FAT&amp;display_string=Audit&amp;VAR:KEY=MFULODEBOZ&amp;VAR:QUERY=KENTRl9DT01fU0hTX09VVF9FUFNfRElMKFFUUl9SLDM0NTQ0KUBXU0ZfQ09NX1NIU19PVVRfRVBTX0RJTChRV","FIsMzQ1NDQpKQ==&amp;WINDOW=FIRST_POPUP&amp;HEIGHT=450&amp;WIDTH=450&amp;START_MAXIMIZED=FALSE&amp;VAR:CALENDAR=US&amp;VAR:SYMBOL=AMD&amp;VAR:INDEX=0"}</definedName>
    <definedName name="_145__FDSAUDITLINK__" hidden="1">{"fdsup://directions/FAT Viewer?action=UPDATE&amp;creator=factset&amp;DYN_ARGS=TRUE&amp;DOC_NAME=FAT:FQL_AUDITING_CLIENT_TEMPLATE.FAT&amp;display_string=Audit&amp;VAR:KEY=GNMJETYXED&amp;VAR:QUERY=KENTRl9JTlRBTkcoUVRSX1IsMzQ1NDQpQFdTRl9JTlRBTkcoUVRSLDM0NTQ0KSk=&amp;WINDOW=FIRST_POPUP&amp;H","EIGHT=450&amp;WIDTH=450&amp;START_MAXIMIZED=FALSE&amp;VAR:CALENDAR=US&amp;VAR:SYMBOL=AMD&amp;VAR:INDEX=0"}</definedName>
    <definedName name="_146__FDSAUDITLINK__" hidden="1">{"fdsup://directions/FAT Viewer?action=UPDATE&amp;creator=factset&amp;DYN_ARGS=TRUE&amp;DOC_NAME=FAT:FQL_AUDITING_CLIENT_TEMPLATE.FAT&amp;display_string=Audit&amp;VAR:KEY=MJGLIFKDAF&amp;VAR:QUERY=KENTRl9DT01fU0hTX09VVF9FUFNfRElMKFFUUl9SLDM0NTE1KUBXU0ZfQ09NX1NIU19PVVRfRVBTX0RJTChRV","FIsMzQ1MTUpKQ==&amp;WINDOW=FIRST_POPUP&amp;HEIGHT=450&amp;WIDTH=450&amp;START_MAXIMIZED=FALSE&amp;VAR:CALENDAR=US&amp;VAR:SYMBOL=AMD&amp;VAR:INDEX=0"}</definedName>
    <definedName name="_147__FDSAUDITLINK__" hidden="1">{"fdsup://directions/FAT Viewer?action=UPDATE&amp;creator=factset&amp;DYN_ARGS=TRUE&amp;DOC_NAME=FAT:FQL_AUDITING_CLIENT_TEMPLATE.FAT&amp;display_string=Audit&amp;VAR:KEY=ONEZOBMNEJ&amp;VAR:QUERY=KENTRl9JTlRBTkcoUVRSX1IsMzQ1MTUpQFdTRl9JTlRBTkcoUVRSLDM0NTE1KSk=&amp;WINDOW=FIRST_POPUP&amp;H","EIGHT=450&amp;WIDTH=450&amp;START_MAXIMIZED=FALSE&amp;VAR:CALENDAR=US&amp;VAR:SYMBOL=AMD&amp;VAR:INDEX=0"}</definedName>
    <definedName name="_148__FDSAUDITLINK__" hidden="1">{"fdsup://directions/FAT Viewer?action=UPDATE&amp;creator=factset&amp;DYN_ARGS=TRUE&amp;DOC_NAME=FAT:FQL_AUDITING_CLIENT_TEMPLATE.FAT&amp;display_string=Audit&amp;VAR:KEY=URQXKTSLOB&amp;VAR:QUERY=KENTRl9DT01fU0hTX09VVF9FUFNfRElMKFFUUl9SLDM0NDg1KUBXU0ZfQ09NX1NIU19PVVRfRVBTX0RJTChRV","FIsMzQ0ODUpKQ==&amp;WINDOW=FIRST_POPUP&amp;HEIGHT=450&amp;WIDTH=450&amp;START_MAXIMIZED=FALSE&amp;VAR:CALENDAR=US&amp;VAR:SYMBOL=AMD&amp;VAR:INDEX=0"}</definedName>
    <definedName name="_149__FDSAUDITLINK__" hidden="1">{"fdsup://directions/FAT Viewer?action=UPDATE&amp;creator=factset&amp;DYN_ARGS=TRUE&amp;DOC_NAME=FAT:FQL_AUDITING_CLIENT_TEMPLATE.FAT&amp;display_string=Audit&amp;VAR:KEY=CZUVWJCPEZ&amp;VAR:QUERY=KENTRl9JTlRBTkcoUVRSX1IsMzQ0ODUpQFdTRl9JTlRBTkcoUVRSLDM0NDg1KSk=&amp;WINDOW=FIRST_POPUP&amp;H","EIGHT=450&amp;WIDTH=450&amp;START_MAXIMIZED=FALSE&amp;VAR:CALENDAR=US&amp;VAR:SYMBOL=AMD&amp;VAR:INDEX=0"}</definedName>
    <definedName name="_15__FDSAUDITLINK__" hidden="1">{"fdsup://directions/FAT Viewer?action=UPDATE&amp;creator=factset&amp;DYN_ARGS=TRUE&amp;DOC_NAME=FAT:FQL_AUDITING_CLIENT_TEMPLATE.FAT&amp;display_string=Audit&amp;VAR:KEY=OLQPCZMVYF&amp;VAR:QUERY=KENTRl9JTlRBTkcoUVRSX1IsMzY4ODkpQFdTRl9JTlRBTkcoUVRSLDM2ODg5KSk=&amp;WINDOW=FIRST_POPUP&amp;H","EIGHT=450&amp;WIDTH=450&amp;START_MAXIMIZED=FALSE&amp;VAR:CALENDAR=US&amp;VAR:SYMBOL=AMD&amp;VAR:INDEX=0"}</definedName>
    <definedName name="_150__FDSAUDITLINK__" hidden="1">{"fdsup://directions/FAT Viewer?action=UPDATE&amp;creator=factset&amp;DYN_ARGS=TRUE&amp;DOC_NAME=FAT:FQL_AUDITING_CLIENT_TEMPLATE.FAT&amp;display_string=Audit&amp;VAR:KEY=WRYZCLGVAT&amp;VAR:QUERY=KENTRl9DT01fU0hTX09VVF9FUFNfRElMKFFUUl9SLDM0NDUzKUBXU0ZfQ09NX1NIU19PVVRfRVBTX0RJTChRV","FIsMzQ0NTMpKQ==&amp;WINDOW=FIRST_POPUP&amp;HEIGHT=450&amp;WIDTH=450&amp;START_MAXIMIZED=FALSE&amp;VAR:CALENDAR=US&amp;VAR:SYMBOL=AMD&amp;VAR:INDEX=0"}</definedName>
    <definedName name="_151__FDSAUDITLINK__" hidden="1">{"fdsup://directions/FAT Viewer?action=UPDATE&amp;creator=factset&amp;DYN_ARGS=TRUE&amp;DOC_NAME=FAT:FQL_AUDITING_CLIENT_TEMPLATE.FAT&amp;display_string=Audit&amp;VAR:KEY=KTEHEXUNKX&amp;VAR:QUERY=KENTRl9JTlRBTkcoUVRSX1IsMzQ0NTMpQFdTRl9JTlRBTkcoUVRSLDM0NDUzKSk=&amp;WINDOW=FIRST_POPUP&amp;H","EIGHT=450&amp;WIDTH=450&amp;START_MAXIMIZED=FALSE&amp;VAR:CALENDAR=US&amp;VAR:SYMBOL=AMD&amp;VAR:INDEX=0"}</definedName>
    <definedName name="_152__FDSAUDITLINK__" hidden="1">{"fdsup://directions/FAT Viewer?action=UPDATE&amp;creator=factset&amp;DYN_ARGS=TRUE&amp;DOC_NAME=FAT:FQL_AUDITING_CLIENT_TEMPLATE.FAT&amp;display_string=Audit&amp;VAR:KEY=SJIXWFSXQJ&amp;VAR:QUERY=KENTRl9DT01fU0hTX09VVF9FUFNfRElMKFFUUl9SLDM0NDI0KUBXU0ZfQ09NX1NIU19PVVRfRVBTX0RJTChRV","FIsMzQ0MjQpKQ==&amp;WINDOW=FIRST_POPUP&amp;HEIGHT=450&amp;WIDTH=450&amp;START_MAXIMIZED=FALSE&amp;VAR:CALENDAR=US&amp;VAR:SYMBOL=AMD&amp;VAR:INDEX=0"}</definedName>
    <definedName name="_153__FDSAUDITLINK__" hidden="1">{"fdsup://directions/FAT Viewer?action=UPDATE&amp;creator=factset&amp;DYN_ARGS=TRUE&amp;DOC_NAME=FAT:FQL_AUDITING_CLIENT_TEMPLATE.FAT&amp;display_string=Audit&amp;VAR:KEY=QVQBATWZSD&amp;VAR:QUERY=KENTRl9JTlRBTkcoUVRSX1IsMzQ0MjQpQFdTRl9JTlRBTkcoUVRSLDM0NDI0KSk=&amp;WINDOW=FIRST_POPUP&amp;H","EIGHT=450&amp;WIDTH=450&amp;START_MAXIMIZED=FALSE&amp;VAR:CALENDAR=US&amp;VAR:SYMBOL=AMD&amp;VAR:INDEX=0"}</definedName>
    <definedName name="_154__FDSAUDITLINK__" hidden="1">{"fdsup://directions/FAT Viewer?action=UPDATE&amp;creator=factset&amp;DYN_ARGS=TRUE&amp;DOC_NAME=FAT:FQL_AUDITING_CLIENT_TEMPLATE.FAT&amp;display_string=Audit&amp;VAR:KEY=OFENMVCLCJ&amp;VAR:QUERY=KENTRl9DT01fU0hTX09VVF9FUFNfRElMKFFUUl9SLDM0MzkzKUBXU0ZfQ09NX1NIU19PVVRfRVBTX0RJTChRV","FIsMzQzOTMpKQ==&amp;WINDOW=FIRST_POPUP&amp;HEIGHT=450&amp;WIDTH=450&amp;START_MAXIMIZED=FALSE&amp;VAR:CALENDAR=US&amp;VAR:SYMBOL=AMD&amp;VAR:INDEX=0"}</definedName>
    <definedName name="_155__FDSAUDITLINK__" hidden="1">{"fdsup://directions/FAT Viewer?action=UPDATE&amp;creator=factset&amp;DYN_ARGS=TRUE&amp;DOC_NAME=FAT:FQL_AUDITING_CLIENT_TEMPLATE.FAT&amp;display_string=Audit&amp;VAR:KEY=CBKLCDCTEN&amp;VAR:QUERY=KENTRl9JTlRBTkcoUVRSX1IsMzQzOTMpQFdTRl9JTlRBTkcoUVRSLDM0MzkzKSk=&amp;WINDOW=FIRST_POPUP&amp;H","EIGHT=450&amp;WIDTH=450&amp;START_MAXIMIZED=FALSE&amp;VAR:CALENDAR=US&amp;VAR:SYMBOL=AMD&amp;VAR:INDEX=0"}</definedName>
    <definedName name="_156__FDSAUDITLINK__" hidden="1">{"fdsup://directions/FAT Viewer?action=UPDATE&amp;creator=factset&amp;DYN_ARGS=TRUE&amp;DOC_NAME=FAT:FQL_AUDITING_CLIENT_TEMPLATE.FAT&amp;display_string=Audit&amp;VAR:KEY=GXSBOHUDSD&amp;VAR:QUERY=KENTRl9DT01fU0hTX09VVF9FUFNfRElMKFFUUl9SLDM0MzY1KUBXU0ZfQ09NX1NIU19PVVRfRVBTX0RJTChRV","FIsMzQzNjUpKQ==&amp;WINDOW=FIRST_POPUP&amp;HEIGHT=450&amp;WIDTH=450&amp;START_MAXIMIZED=FALSE&amp;VAR:CALENDAR=US&amp;VAR:SYMBOL=AMD&amp;VAR:INDEX=0"}</definedName>
    <definedName name="_157__FDSAUDITLINK__" hidden="1">{"fdsup://directions/FAT Viewer?action=UPDATE&amp;creator=factset&amp;DYN_ARGS=TRUE&amp;DOC_NAME=FAT:FQL_AUDITING_CLIENT_TEMPLATE.FAT&amp;display_string=Audit&amp;VAR:KEY=MBCVAPOVAP&amp;VAR:QUERY=KENTRl9JTlRBTkcoUVRSX1IsMzQzNjUpQFdTRl9JTlRBTkcoUVRSLDM0MzY1KSk=&amp;WINDOW=FIRST_POPUP&amp;H","EIGHT=450&amp;WIDTH=450&amp;START_MAXIMIZED=FALSE&amp;VAR:CALENDAR=US&amp;VAR:SYMBOL=AMD&amp;VAR:INDEX=0"}</definedName>
    <definedName name="_158__FDSAUDITLINK__" hidden="1">{"fdsup://directions/FAT Viewer?action=UPDATE&amp;creator=factset&amp;DYN_ARGS=TRUE&amp;DOC_NAME=FAT:FQL_AUDITING_CLIENT_TEMPLATE.FAT&amp;display_string=Audit&amp;VAR:KEY=UZONWTSFKD&amp;VAR:QUERY=KENTRl9DT01fU0hTX09VVF9FUFNfRElMKFFUUl9SLDM0MzM0KUBXU0ZfQ09NX1NIU19PVVRfRVBTX0RJTChRV","FIsMzQzMzQpKQ==&amp;WINDOW=FIRST_POPUP&amp;HEIGHT=450&amp;WIDTH=450&amp;START_MAXIMIZED=FALSE&amp;VAR:CALENDAR=US&amp;VAR:SYMBOL=AMD&amp;VAR:INDEX=0"}</definedName>
    <definedName name="_159__FDSAUDITLINK__" hidden="1">{"fdsup://directions/FAT Viewer?action=UPDATE&amp;creator=factset&amp;DYN_ARGS=TRUE&amp;DOC_NAME=FAT:FQL_AUDITING_CLIENT_TEMPLATE.FAT&amp;display_string=Audit&amp;VAR:KEY=CLGRYBUBOJ&amp;VAR:QUERY=KENTRl9JTlRBTkcoUVRSX1IsMzQzMzQpQFdTRl9JTlRBTkcoUVRSLDM0MzM0KSk=&amp;WINDOW=FIRST_POPUP&amp;H","EIGHT=450&amp;WIDTH=450&amp;START_MAXIMIZED=FALSE&amp;VAR:CALENDAR=US&amp;VAR:SYMBOL=AMD&amp;VAR:INDEX=0"}</definedName>
    <definedName name="_16__FDSAUDITLINK__" hidden="1">{"fdsup://directions/FAT Viewer?action=UPDATE&amp;creator=factset&amp;DYN_ARGS=TRUE&amp;DOC_NAME=FAT:FQL_AUDITING_CLIENT_TEMPLATE.FAT&amp;display_string=Audit&amp;VAR:KEY=STWROFIJSF&amp;VAR:QUERY=KENTRl9JTlRBTkcoUVRSX1IsMzY4NjApQFdTRl9JTlRBTkcoUVRSLDM2ODYwKSk=&amp;WINDOW=FIRST_POPUP&amp;H","EIGHT=450&amp;WIDTH=450&amp;START_MAXIMIZED=FALSE&amp;VAR:CALENDAR=US&amp;VAR:SYMBOL=AMD&amp;VAR:INDEX=0"}</definedName>
    <definedName name="_160__FDSAUDITLINK__" hidden="1">{"fdsup://directions/FAT Viewer?action=UPDATE&amp;creator=factset&amp;DYN_ARGS=TRUE&amp;DOC_NAME=FAT:FQL_AUDITING_CLIENT_TEMPLATE.FAT&amp;display_string=Audit&amp;VAR:KEY=WTQFQXQBEZ&amp;VAR:QUERY=KENTRl9DT01fU0hTX09VVF9FUFNfRElMKFFUUl9SLDM0MzAzKUBXU0ZfQ09NX1NIU19PVVRfRVBTX0RJTChRV","FIsMzQzMDMpKQ==&amp;WINDOW=FIRST_POPUP&amp;HEIGHT=450&amp;WIDTH=450&amp;START_MAXIMIZED=FALSE&amp;VAR:CALENDAR=US&amp;VAR:SYMBOL=AMD&amp;VAR:INDEX=0"}</definedName>
    <definedName name="_161__FDSAUDITLINK__" hidden="1">{"fdsup://directions/FAT Viewer?action=UPDATE&amp;creator=factset&amp;DYN_ARGS=TRUE&amp;DOC_NAME=FAT:FQL_AUDITING_CLIENT_TEMPLATE.FAT&amp;display_string=Audit&amp;VAR:KEY=ETIHQFITOP&amp;VAR:QUERY=KENTRl9JTlRBTkcoUVRSX1IsMzQzMDMpQFdTRl9JTlRBTkcoUVRSLDM0MzAzKSk=&amp;WINDOW=FIRST_POPUP&amp;H","EIGHT=450&amp;WIDTH=450&amp;START_MAXIMIZED=FALSE&amp;VAR:CALENDAR=US&amp;VAR:SYMBOL=AMD&amp;VAR:INDEX=0"}</definedName>
    <definedName name="_162__FDSAUDITLINK__" hidden="1">{"fdsup://directions/FAT Viewer?action=UPDATE&amp;creator=factset&amp;DYN_ARGS=TRUE&amp;DOC_NAME=FAT:FQL_AUDITING_CLIENT_TEMPLATE.FAT&amp;display_string=Audit&amp;VAR:KEY=ORIJKZEDGL&amp;VAR:QUERY=KENTRl9DT01fU0hTX09VVF9FUFNfRElMKFFUUl9SLDM0MjcxKUBXU0ZfQ09NX1NIU19PVVRfRVBTX0RJTChRV","FIsMzQyNzEpKQ==&amp;WINDOW=FIRST_POPUP&amp;HEIGHT=450&amp;WIDTH=450&amp;START_MAXIMIZED=FALSE&amp;VAR:CALENDAR=US&amp;VAR:SYMBOL=AMD&amp;VAR:INDEX=0"}</definedName>
    <definedName name="_163__FDSAUDITLINK__" hidden="1">{"fdsup://directions/FAT Viewer?action=UPDATE&amp;creator=factset&amp;DYN_ARGS=TRUE&amp;DOC_NAME=FAT:FQL_AUDITING_CLIENT_TEMPLATE.FAT&amp;display_string=Audit&amp;VAR:KEY=IXWXABCNQP&amp;VAR:QUERY=KENTRl9JTlRBTkcoUVRSX1IsMzQyNzEpQFdTRl9JTlRBTkcoUVRSLDM0MjcxKSk=&amp;WINDOW=FIRST_POPUP&amp;H","EIGHT=450&amp;WIDTH=450&amp;START_MAXIMIZED=FALSE&amp;VAR:CALENDAR=US&amp;VAR:SYMBOL=AMD&amp;VAR:INDEX=0"}</definedName>
    <definedName name="_164__FDSAUDITLINK__" hidden="1">{"fdsup://directions/FAT Viewer?action=UPDATE&amp;creator=factset&amp;DYN_ARGS=TRUE&amp;DOC_NAME=FAT:FQL_AUDITING_CLIENT_TEMPLATE.FAT&amp;display_string=Audit&amp;VAR:KEY=QFAZMXKHAR&amp;VAR:QUERY=KENTRl9DT01fU0hTX09VVF9FUFNfRElMKFFUUl9SLDM0MjQyKUBXU0ZfQ09NX1NIU19PVVRfRVBTX0RJTChRV","FIsMzQyNDIpKQ==&amp;WINDOW=FIRST_POPUP&amp;HEIGHT=450&amp;WIDTH=450&amp;START_MAXIMIZED=FALSE&amp;VAR:CALENDAR=US&amp;VAR:SYMBOL=AMD&amp;VAR:INDEX=0"}</definedName>
    <definedName name="_165__FDSAUDITLINK__" hidden="1">{"fdsup://directions/FAT Viewer?action=UPDATE&amp;creator=factset&amp;DYN_ARGS=TRUE&amp;DOC_NAME=FAT:FQL_AUDITING_CLIENT_TEMPLATE.FAT&amp;display_string=Audit&amp;VAR:KEY=ULSJOLSFOZ&amp;VAR:QUERY=KENTRl9JTlRBTkcoUVRSX1IsMzQyNDIpQFdTRl9JTlRBTkcoUVRSLDM0MjQyKSk=&amp;WINDOW=FIRST_POPUP&amp;H","EIGHT=450&amp;WIDTH=450&amp;START_MAXIMIZED=FALSE&amp;VAR:CALENDAR=US&amp;VAR:SYMBOL=AMD&amp;VAR:INDEX=0"}</definedName>
    <definedName name="_166__FDSAUDITLINK__" hidden="1">{"fdsup://directions/FAT Viewer?action=UPDATE&amp;creator=factset&amp;DYN_ARGS=TRUE&amp;DOC_NAME=FAT:FQL_AUDITING_CLIENT_TEMPLATE.FAT&amp;display_string=Audit&amp;VAR:KEY=KHEXYBOZUL&amp;VAR:QUERY=KENTRl9DT01fU0hTX09VVF9FUFNfRElMKFFUUl9SLDM0MjEyKUBXU0ZfQ09NX1NIU19PVVRfRVBTX0RJTChRV","FIsMzQyMTIpKQ==&amp;WINDOW=FIRST_POPUP&amp;HEIGHT=450&amp;WIDTH=450&amp;START_MAXIMIZED=FALSE&amp;VAR:CALENDAR=US&amp;VAR:SYMBOL=AMD&amp;VAR:INDEX=0"}</definedName>
    <definedName name="_167__FDSAUDITLINK__" hidden="1">{"fdsup://directions/FAT Viewer?action=UPDATE&amp;creator=factset&amp;DYN_ARGS=TRUE&amp;DOC_NAME=FAT:FQL_AUDITING_CLIENT_TEMPLATE.FAT&amp;display_string=Audit&amp;VAR:KEY=AXCFMPYZQP&amp;VAR:QUERY=KENTRl9JTlRBTkcoUVRSX1IsMzQyMTIpQFdTRl9JTlRBTkcoUVRSLDM0MjEyKSk=&amp;WINDOW=FIRST_POPUP&amp;H","EIGHT=450&amp;WIDTH=450&amp;START_MAXIMIZED=FALSE&amp;VAR:CALENDAR=US&amp;VAR:SYMBOL=AMD&amp;VAR:INDEX=0"}</definedName>
    <definedName name="_168__FDSAUDITLINK__" hidden="1">{"fdsup://directions/FAT Viewer?action=UPDATE&amp;creator=factset&amp;DYN_ARGS=TRUE&amp;DOC_NAME=FAT:FQL_AUDITING_CLIENT_TEMPLATE.FAT&amp;display_string=Audit&amp;VAR:KEY=ITQBODQZYH&amp;VAR:QUERY=KENTRl9DT01fU0hTX09VVF9FUFNfRElMKFFUUl9SLDM0MTgwKUBXU0ZfQ09NX1NIU19PVVRfRVBTX0RJTChRV","FIsMzQxODApKQ==&amp;WINDOW=FIRST_POPUP&amp;HEIGHT=450&amp;WIDTH=450&amp;START_MAXIMIZED=FALSE&amp;VAR:CALENDAR=US&amp;VAR:SYMBOL=AMD&amp;VAR:INDEX=0"}</definedName>
    <definedName name="_169__FDSAUDITLINK__" hidden="1">{"fdsup://directions/FAT Viewer?action=UPDATE&amp;creator=factset&amp;DYN_ARGS=TRUE&amp;DOC_NAME=FAT:FQL_AUDITING_CLIENT_TEMPLATE.FAT&amp;display_string=Audit&amp;VAR:KEY=YRCZEBGRML&amp;VAR:QUERY=KENTRl9JTlRBTkcoUVRSX1IsMzQxODApQFdTRl9JTlRBTkcoUVRSLDM0MTgwKSk=&amp;WINDOW=FIRST_POPUP&amp;H","EIGHT=450&amp;WIDTH=450&amp;START_MAXIMIZED=FALSE&amp;VAR:CALENDAR=US&amp;VAR:SYMBOL=AMD&amp;VAR:INDEX=0"}</definedName>
    <definedName name="_17__FDSAUDITLINK__" hidden="1">{"fdsup://directions/FAT Viewer?action=UPDATE&amp;creator=factset&amp;DYN_ARGS=TRUE&amp;DOC_NAME=FAT:FQL_AUDITING_CLIENT_TEMPLATE.FAT&amp;display_string=Audit&amp;VAR:KEY=KDUREDIREH&amp;VAR:QUERY=KENTRl9JTlRBTkcoUVRSX1IsMzY4MzApQFdTRl9JTlRBTkcoUVRSLDM2ODMwKSk=&amp;WINDOW=FIRST_POPUP&amp;H","EIGHT=450&amp;WIDTH=450&amp;START_MAXIMIZED=FALSE&amp;VAR:CALENDAR=US&amp;VAR:SYMBOL=AMD&amp;VAR:INDEX=0"}</definedName>
    <definedName name="_170__FDSAUDITLINK__" hidden="1">{"fdsup://directions/FAT Viewer?action=UPDATE&amp;creator=factset&amp;DYN_ARGS=TRUE&amp;DOC_NAME=FAT:FQL_AUDITING_CLIENT_TEMPLATE.FAT&amp;display_string=Audit&amp;VAR:KEY=IFQZWBGXGF&amp;VAR:QUERY=KENTRl9DT01fU0hTX09VVF9FUFNfRElMKFFUUl9SLDM0MTUwKUBXU0ZfQ09NX1NIU19PVVRfRVBTX0RJTChRV","FIsMzQxNTApKQ==&amp;WINDOW=FIRST_POPUP&amp;HEIGHT=450&amp;WIDTH=450&amp;START_MAXIMIZED=FALSE&amp;VAR:CALENDAR=US&amp;VAR:SYMBOL=AMD&amp;VAR:INDEX=0"}</definedName>
    <definedName name="_171__FDSAUDITLINK__" hidden="1">{"fdsup://directions/FAT Viewer?action=UPDATE&amp;creator=factset&amp;DYN_ARGS=TRUE&amp;DOC_NAME=FAT:FQL_AUDITING_CLIENT_TEMPLATE.FAT&amp;display_string=Audit&amp;VAR:KEY=KLKDEXEBOJ&amp;VAR:QUERY=KENTRl9JTlRBTkcoUVRSX1IsMzQxNTApQFdTRl9JTlRBTkcoUVRSLDM0MTUwKSk=&amp;WINDOW=FIRST_POPUP&amp;H","EIGHT=450&amp;WIDTH=450&amp;START_MAXIMIZED=FALSE&amp;VAR:CALENDAR=US&amp;VAR:SYMBOL=AMD&amp;VAR:INDEX=0"}</definedName>
    <definedName name="_172__FDSAUDITLINK__" hidden="1">{"fdsup://directions/FAT Viewer?action=UPDATE&amp;creator=factset&amp;DYN_ARGS=TRUE&amp;DOC_NAME=FAT:FQL_AUDITING_CLIENT_TEMPLATE.FAT&amp;display_string=Audit&amp;VAR:KEY=KBINGZKXYB&amp;VAR:QUERY=KENTRl9DT01fU0hTX09VVF9FUFNfRElMKFFUUl9SLDM0MTE3KUBXU0ZfQ09NX1NIU19PVVRfRVBTX0RJTChRV","FIsMzQxMTcpKQ==&amp;WINDOW=FIRST_POPUP&amp;HEIGHT=450&amp;WIDTH=450&amp;START_MAXIMIZED=FALSE&amp;VAR:CALENDAR=US&amp;VAR:SYMBOL=AMD&amp;VAR:INDEX=0"}</definedName>
    <definedName name="_173__FDSAUDITLINK__" hidden="1">{"fdsup://directions/FAT Viewer?action=UPDATE&amp;creator=factset&amp;DYN_ARGS=TRUE&amp;DOC_NAME=FAT:FQL_AUDITING_CLIENT_TEMPLATE.FAT&amp;display_string=Audit&amp;VAR:KEY=CFILUHMTOT&amp;VAR:QUERY=KENTRl9JTlRBTkcoUVRSX1IsMzQxMTcpQFdTRl9JTlRBTkcoUVRSLDM0MTE3KSk=&amp;WINDOW=FIRST_POPUP&amp;H","EIGHT=450&amp;WIDTH=450&amp;START_MAXIMIZED=FALSE&amp;VAR:CALENDAR=US&amp;VAR:SYMBOL=AMD&amp;VAR:INDEX=0"}</definedName>
    <definedName name="_174__FDSAUDITLINK__" hidden="1">{"fdsup://directions/FAT Viewer?action=UPDATE&amp;creator=factset&amp;DYN_ARGS=TRUE&amp;DOC_NAME=FAT:FQL_AUDITING_CLIENT_TEMPLATE.FAT&amp;display_string=Audit&amp;VAR:KEY=UTYZAXQFKX&amp;VAR:QUERY=KENTRl9DT01fU0hTX09VVF9FUFNfRElMKFFUUl9SLDM0MDg5KUBXU0ZfQ09NX1NIU19PVVRfRVBTX0RJTChRV","FIsMzQwODkpKQ==&amp;WINDOW=FIRST_POPUP&amp;HEIGHT=450&amp;WIDTH=450&amp;START_MAXIMIZED=FALSE&amp;VAR:CALENDAR=US&amp;VAR:SYMBOL=AMD&amp;VAR:INDEX=0"}</definedName>
    <definedName name="_175__FDSAUDITLINK__" hidden="1">{"fdsup://directions/FAT Viewer?action=UPDATE&amp;creator=factset&amp;DYN_ARGS=TRUE&amp;DOC_NAME=FAT:FQL_AUDITING_CLIENT_TEMPLATE.FAT&amp;display_string=Audit&amp;VAR:KEY=YJUJYLOROZ&amp;VAR:QUERY=KENTRl9JTlRBTkcoUVRSX1IsMzQwODkpQFdTRl9JTlRBTkcoUVRSLDM0MDg5KSk=&amp;WINDOW=FIRST_POPUP&amp;H","EIGHT=450&amp;WIDTH=450&amp;START_MAXIMIZED=FALSE&amp;VAR:CALENDAR=US&amp;VAR:SYMBOL=AMD&amp;VAR:INDEX=0"}</definedName>
    <definedName name="_176__FDSAUDITLINK__" hidden="1">{"fdsup://directions/FAT Viewer?action=UPDATE&amp;creator=factset&amp;DYN_ARGS=TRUE&amp;DOC_NAME=FAT:FQL_AUDITING_CLIENT_TEMPLATE.FAT&amp;display_string=Audit&amp;VAR:KEY=YLOVIBWHCF&amp;VAR:QUERY=KENTRl9DT01fU0hTX09VVF9FUFNfRElMKFFUUl9SLDM0MDU5KUBXU0ZfQ09NX1NIU19PVVRfRVBTX0RJTChRV","FIsMzQwNTkpKQ==&amp;WINDOW=FIRST_POPUP&amp;HEIGHT=450&amp;WIDTH=450&amp;START_MAXIMIZED=FALSE&amp;VAR:CALENDAR=US&amp;VAR:SYMBOL=AMD&amp;VAR:INDEX=0"}</definedName>
    <definedName name="_177__FDSAUDITLINK__" hidden="1">{"fdsup://directions/FAT Viewer?action=UPDATE&amp;creator=factset&amp;DYN_ARGS=TRUE&amp;DOC_NAME=FAT:FQL_AUDITING_CLIENT_TEMPLATE.FAT&amp;display_string=Audit&amp;VAR:KEY=WZKLGVKJWJ&amp;VAR:QUERY=KENTRl9JTlRBTkcoUVRSX1IsMzQwNTkpQFdTRl9JTlRBTkcoUVRSLDM0MDU5KSk=&amp;WINDOW=FIRST_POPUP&amp;H","EIGHT=450&amp;WIDTH=450&amp;START_MAXIMIZED=FALSE&amp;VAR:CALENDAR=US&amp;VAR:SYMBOL=AMD&amp;VAR:INDEX=0"}</definedName>
    <definedName name="_178__FDSAUDITLINK__" hidden="1">{"fdsup://directions/FAT Viewer?action=UPDATE&amp;creator=factset&amp;DYN_ARGS=TRUE&amp;DOC_NAME=FAT:FQL_AUDITING_CLIENT_TEMPLATE.FAT&amp;display_string=Audit&amp;VAR:KEY=SVUZMNYNKL&amp;VAR:QUERY=KENTRl9DT01fU0hTX09VVF9FUFNfRElMKFFUUl9SLDM0MDI2KUBXU0ZfQ09NX1NIU19PVVRfRVBTX0RJTChRV","FIsMzQwMjYpKQ==&amp;WINDOW=FIRST_POPUP&amp;HEIGHT=450&amp;WIDTH=450&amp;START_MAXIMIZED=FALSE&amp;VAR:CALENDAR=US&amp;VAR:SYMBOL=AMD&amp;VAR:INDEX=0"}</definedName>
    <definedName name="_179__FDSAUDITLINK__" hidden="1">{"fdsup://directions/FAT Viewer?action=UPDATE&amp;creator=factset&amp;DYN_ARGS=TRUE&amp;DOC_NAME=FAT:FQL_AUDITING_CLIENT_TEMPLATE.FAT&amp;display_string=Audit&amp;VAR:KEY=SBIXYTMDCX&amp;VAR:QUERY=KENTRl9JTlRBTkcoUVRSX1IsMzQwMjYpQFdTRl9JTlRBTkcoUVRSLDM0MDI2KSk=&amp;WINDOW=FIRST_POPUP&amp;H","EIGHT=450&amp;WIDTH=450&amp;START_MAXIMIZED=FALSE&amp;VAR:CALENDAR=US&amp;VAR:SYMBOL=AMD&amp;VAR:INDEX=0"}</definedName>
    <definedName name="_18__FDSAUDITLINK__" hidden="1">{"fdsup://directions/FAT Viewer?action=UPDATE&amp;creator=factset&amp;DYN_ARGS=TRUE&amp;DOC_NAME=FAT:FQL_AUDITING_CLIENT_TEMPLATE.FAT&amp;display_string=Audit&amp;VAR:KEY=ETMVMHIFML&amp;VAR:QUERY=KENTRl9JTlRBTkcoUVRSX1IsMzY3OTgpQFdTRl9JTlRBTkcoUVRSLDM2Nzk4KSk=&amp;WINDOW=FIRST_POPUP&amp;H","EIGHT=450&amp;WIDTH=450&amp;START_MAXIMIZED=FALSE&amp;VAR:CALENDAR=US&amp;VAR:SYMBOL=AMD&amp;VAR:INDEX=0"}</definedName>
    <definedName name="_180__FDSAUDITLINK__" hidden="1">{"fdsup://directions/FAT Viewer?action=UPDATE&amp;creator=factset&amp;DYN_ARGS=TRUE&amp;DOC_NAME=FAT:FQL_AUDITING_CLIENT_TEMPLATE.FAT&amp;display_string=Audit&amp;VAR:KEY=WJYXKNIHIL&amp;VAR:QUERY=KENTRl9DT01fU0hTX09VVF9FUFNfRElMKFFUUl9SLDMzOTk4KUBXU0ZfQ09NX1NIU19PVVRfRVBTX0RJTChRV","FIsMzM5OTgpKQ==&amp;WINDOW=FIRST_POPUP&amp;HEIGHT=450&amp;WIDTH=450&amp;START_MAXIMIZED=FALSE&amp;VAR:CALENDAR=US&amp;VAR:SYMBOL=AMD&amp;VAR:INDEX=0"}</definedName>
    <definedName name="_181__FDSAUDITLINK__" hidden="1">{"fdsup://directions/FAT Viewer?action=UPDATE&amp;creator=factset&amp;DYN_ARGS=TRUE&amp;DOC_NAME=FAT:FQL_AUDITING_CLIENT_TEMPLATE.FAT&amp;display_string=Audit&amp;VAR:KEY=KDSXWLKXYV&amp;VAR:QUERY=KENTRl9JTlRBTkcoUVRSX1IsMzM5OTgpQFdTRl9JTlRBTkcoUVRSLDMzOTk4KSk=&amp;WINDOW=FIRST_POPUP&amp;H","EIGHT=450&amp;WIDTH=450&amp;START_MAXIMIZED=FALSE&amp;VAR:CALENDAR=US&amp;VAR:SYMBOL=AMD&amp;VAR:INDEX=0"}</definedName>
    <definedName name="_182__FDSAUDITLINK__" hidden="1">{"fdsup://directions/FAT Viewer?action=UPDATE&amp;creator=factset&amp;DYN_ARGS=TRUE&amp;DOC_NAME=FAT:FQL_AUDITING_CLIENT_TEMPLATE.FAT&amp;display_string=Audit&amp;VAR:KEY=IJGBSDCNWV&amp;VAR:QUERY=KENTRl9DT01fU0hTX09VVF9FUFNfRElMKFFUUl9SLDMzOTY5KUBXU0ZfQ09NX1NIU19PVVRfRVBTX0RJTChRV","FIsMzM5NjkpKQ==&amp;WINDOW=FIRST_POPUP&amp;HEIGHT=450&amp;WIDTH=450&amp;START_MAXIMIZED=FALSE&amp;VAR:CALENDAR=US&amp;VAR:SYMBOL=AMD&amp;VAR:INDEX=0"}</definedName>
    <definedName name="_183__FDSAUDITLINK__" hidden="1">{"fdsup://directions/FAT Viewer?action=UPDATE&amp;creator=factset&amp;DYN_ARGS=TRUE&amp;DOC_NAME=FAT:FQL_AUDITING_CLIENT_TEMPLATE.FAT&amp;display_string=Audit&amp;VAR:KEY=WJQFOHGZCN&amp;VAR:QUERY=KENTRl9JTlRBTkcoUVRSX1IsMzM5NjkpQFdTRl9JTlRBTkcoUVRSLDMzOTY5KSk=&amp;WINDOW=FIRST_POPUP&amp;H","EIGHT=450&amp;WIDTH=450&amp;START_MAXIMIZED=FALSE&amp;VAR:CALENDAR=US&amp;VAR:SYMBOL=AMD&amp;VAR:INDEX=0"}</definedName>
    <definedName name="_184__FDSAUDITLINK__" hidden="1">{"fdsup://directions/FAT Viewer?action=UPDATE&amp;creator=factset&amp;DYN_ARGS=TRUE&amp;DOC_NAME=FAT:FQL_AUDITING_CLIENT_TEMPLATE.FAT&amp;display_string=Audit&amp;VAR:KEY=ALWZINKLIP&amp;VAR:QUERY=KENTRl9DT01fU0hTX09VVF9FUFNfRElMKFFUUl9SLDMzOTM4KUBXU0ZfQ09NX1NIU19PVVRfRVBTX0RJTChRV","FIsMzM5MzgpKQ==&amp;WINDOW=FIRST_POPUP&amp;HEIGHT=450&amp;WIDTH=450&amp;START_MAXIMIZED=FALSE&amp;VAR:CALENDAR=US&amp;VAR:SYMBOL=AMD&amp;VAR:INDEX=0"}</definedName>
    <definedName name="_185__FDSAUDITLINK__" hidden="1">{"fdsup://directions/FAT Viewer?action=UPDATE&amp;creator=factset&amp;DYN_ARGS=TRUE&amp;DOC_NAME=FAT:FQL_AUDITING_CLIENT_TEMPLATE.FAT&amp;display_string=Audit&amp;VAR:KEY=WDUXUTCLCV&amp;VAR:QUERY=KENTRl9JTlRBTkcoUVRSX1IsMzM5MzgpQFdTRl9JTlRBTkcoUVRSLDMzOTM4KSk=&amp;WINDOW=FIRST_POPUP&amp;H","EIGHT=450&amp;WIDTH=450&amp;START_MAXIMIZED=FALSE&amp;VAR:CALENDAR=US&amp;VAR:SYMBOL=AMD&amp;VAR:INDEX=0"}</definedName>
    <definedName name="_186__FDSAUDITLINK__" hidden="1">{"fdsup://directions/FAT Viewer?action=UPDATE&amp;creator=factset&amp;DYN_ARGS=TRUE&amp;DOC_NAME=FAT:FQL_AUDITING_CLIENT_TEMPLATE.FAT&amp;display_string=Audit&amp;VAR:KEY=UTCFSHYRUH&amp;VAR:QUERY=KENTRl9DT01fU0hTX09VVF9FUFNfRElMKFFUUl9SLDMzOTA3KUBXU0ZfQ09NX1NIU19PVVRfRVBTX0RJTChRV","FIsMzM5MDcpKQ==&amp;WINDOW=FIRST_POPUP&amp;HEIGHT=450&amp;WIDTH=450&amp;START_MAXIMIZED=FALSE&amp;VAR:CALENDAR=US&amp;VAR:SYMBOL=AMD&amp;VAR:INDEX=0"}</definedName>
    <definedName name="_187__FDSAUDITLINK__" hidden="1">{"fdsup://directions/FAT Viewer?action=UPDATE&amp;creator=factset&amp;DYN_ARGS=TRUE&amp;DOC_NAME=FAT:FQL_AUDITING_CLIENT_TEMPLATE.FAT&amp;display_string=Audit&amp;VAR:KEY=GPSDWHOVUN&amp;VAR:QUERY=KENTRl9JTlRBTkcoUVRSX1IsMzM5MDcpQFdTRl9JTlRBTkcoUVRSLDMzOTA3KSk=&amp;WINDOW=FIRST_POPUP&amp;H","EIGHT=450&amp;WIDTH=450&amp;START_MAXIMIZED=FALSE&amp;VAR:CALENDAR=US&amp;VAR:SYMBOL=AMD&amp;VAR:INDEX=0"}</definedName>
    <definedName name="_188__FDSAUDITLINK__" hidden="1">{"fdsup://directions/FAT Viewer?action=UPDATE&amp;creator=factset&amp;DYN_ARGS=TRUE&amp;DOC_NAME=FAT:FQL_AUDITING_CLIENT_TEMPLATE.FAT&amp;display_string=Audit&amp;VAR:KEY=IFWDKFARMZ&amp;VAR:QUERY=KENTRl9DT01fU0hTX09VVF9FUFNfRElMKFFUUl9SLDMzODc3KUBXU0ZfQ09NX1NIU19PVVRfRVBTX0RJTChRV","FIsMzM4NzcpKQ==&amp;WINDOW=FIRST_POPUP&amp;HEIGHT=450&amp;WIDTH=450&amp;START_MAXIMIZED=FALSE&amp;VAR:CALENDAR=US&amp;VAR:SYMBOL=AMD&amp;VAR:INDEX=0"}</definedName>
    <definedName name="_189__FDSAUDITLINK__" hidden="1">{"fdsup://directions/FAT Viewer?action=UPDATE&amp;creator=factset&amp;DYN_ARGS=TRUE&amp;DOC_NAME=FAT:FQL_AUDITING_CLIENT_TEMPLATE.FAT&amp;display_string=Audit&amp;VAR:KEY=QZMLSBKFCP&amp;VAR:QUERY=KENTRl9JTlRBTkcoUVRSX1IsMzM4NzcpQFdTRl9JTlRBTkcoUVRSLDMzODc3KSk=&amp;WINDOW=FIRST_POPUP&amp;H","EIGHT=450&amp;WIDTH=450&amp;START_MAXIMIZED=FALSE&amp;VAR:CALENDAR=US&amp;VAR:SYMBOL=AMD&amp;VAR:INDEX=0"}</definedName>
    <definedName name="_19__FDSAUDITLINK__" hidden="1">{"fdsup://directions/FAT Viewer?action=UPDATE&amp;creator=factset&amp;DYN_ARGS=TRUE&amp;DOC_NAME=FAT:FQL_AUDITING_CLIENT_TEMPLATE.FAT&amp;display_string=Audit&amp;VAR:KEY=CRMZGXMZGJ&amp;VAR:QUERY=KENTRl9JTlRBTkcoUVRSX1IsMzY3NjkpQFdTRl9JTlRBTkcoUVRSLDM2NzY5KSk=&amp;WINDOW=FIRST_POPUP&amp;H","EIGHT=450&amp;WIDTH=450&amp;START_MAXIMIZED=FALSE&amp;VAR:CALENDAR=US&amp;VAR:SYMBOL=AMD&amp;VAR:INDEX=0"}</definedName>
    <definedName name="_190__FDSAUDITLINK__" hidden="1">{"fdsup://directions/FAT Viewer?action=UPDATE&amp;creator=factset&amp;DYN_ARGS=TRUE&amp;DOC_NAME=FAT:FQL_AUDITING_CLIENT_TEMPLATE.FAT&amp;display_string=Audit&amp;VAR:KEY=KPKHOLUDMB&amp;VAR:QUERY=KENTRl9DT01fU0hTX09VVF9FUFNfRElMKFFUUl9SLDMzODQ3KUBXU0ZfQ09NX1NIU19PVVRfRVBTX0RJTChRV","FIsMzM4NDcpKQ==&amp;WINDOW=FIRST_POPUP&amp;HEIGHT=450&amp;WIDTH=450&amp;START_MAXIMIZED=FALSE&amp;VAR:CALENDAR=US&amp;VAR:SYMBOL=AMD&amp;VAR:INDEX=0"}</definedName>
    <definedName name="_191__FDSAUDITLINK__" hidden="1">{"fdsup://directions/FAT Viewer?action=UPDATE&amp;creator=factset&amp;DYN_ARGS=TRUE&amp;DOC_NAME=FAT:FQL_AUDITING_CLIENT_TEMPLATE.FAT&amp;display_string=Audit&amp;VAR:KEY=YPWTABWNSP&amp;VAR:QUERY=KENTRl9JTlRBTkcoUVRSX1IsMzM4NDcpQFdTRl9JTlRBTkcoUVRSLDMzODQ3KSk=&amp;WINDOW=FIRST_POPUP&amp;H","EIGHT=450&amp;WIDTH=450&amp;START_MAXIMIZED=FALSE&amp;VAR:CALENDAR=US&amp;VAR:SYMBOL=AMD&amp;VAR:INDEX=0"}</definedName>
    <definedName name="_192__FDSAUDITLINK__" hidden="1">{"fdsup://directions/FAT Viewer?action=UPDATE&amp;creator=factset&amp;DYN_ARGS=TRUE&amp;DOC_NAME=FAT:FQL_AUDITING_CLIENT_TEMPLATE.FAT&amp;display_string=Audit&amp;VAR:KEY=GNQDEDIRKR&amp;VAR:QUERY=KENTRl9DT01fU0hTX09VVF9FUFNfRElMKFFUUl9SLDMzODE2KUBXU0ZfQ09NX1NIU19PVVRfRVBTX0RJTChRV","FIsMzM4MTYpKQ==&amp;WINDOW=FIRST_POPUP&amp;HEIGHT=450&amp;WIDTH=450&amp;START_MAXIMIZED=FALSE&amp;VAR:CALENDAR=US&amp;VAR:SYMBOL=AMD&amp;VAR:INDEX=0"}</definedName>
    <definedName name="_193__FDSAUDITLINK__" hidden="1">{"fdsup://directions/FAT Viewer?action=UPDATE&amp;creator=factset&amp;DYN_ARGS=TRUE&amp;DOC_NAME=FAT:FQL_AUDITING_CLIENT_TEMPLATE.FAT&amp;display_string=Audit&amp;VAR:KEY=GJKXWJCZEP&amp;VAR:QUERY=KENTRl9JTlRBTkcoUVRSX1IsMzM4MTYpQFdTRl9JTlRBTkcoUVRSLDMzODE2KSk=&amp;WINDOW=FIRST_POPUP&amp;H","EIGHT=450&amp;WIDTH=450&amp;START_MAXIMIZED=FALSE&amp;VAR:CALENDAR=US&amp;VAR:SYMBOL=AMD&amp;VAR:INDEX=0"}</definedName>
    <definedName name="_194__FDSAUDITLINK__" hidden="1">{"fdsup://directions/FAT Viewer?action=UPDATE&amp;creator=factset&amp;DYN_ARGS=TRUE&amp;DOC_NAME=FAT:FQL_AUDITING_CLIENT_TEMPLATE.FAT&amp;display_string=Audit&amp;VAR:KEY=SPAXABUVSH&amp;VAR:QUERY=KENTRl9DT01fU0hTX09VVF9FUFNfRElMKFFUUl9SLDMzNzg1KUBXU0ZfQ09NX1NIU19PVVRfRVBTX0RJTChRV","FIsMzM3ODUpKQ==&amp;WINDOW=FIRST_POPUP&amp;HEIGHT=450&amp;WIDTH=450&amp;START_MAXIMIZED=FALSE&amp;VAR:CALENDAR=US&amp;VAR:SYMBOL=AMD&amp;VAR:INDEX=0"}</definedName>
    <definedName name="_195__FDSAUDITLINK__" hidden="1">{"fdsup://directions/FAT Viewer?action=UPDATE&amp;creator=factset&amp;DYN_ARGS=TRUE&amp;DOC_NAME=FAT:FQL_AUDITING_CLIENT_TEMPLATE.FAT&amp;display_string=Audit&amp;VAR:KEY=SNYJOVEDIX&amp;VAR:QUERY=KENTRl9JTlRBTkcoUVRSX1IsMzM3ODUpQFdTRl9JTlRBTkcoUVRSLDMzNzg1KSk=&amp;WINDOW=FIRST_POPUP&amp;H","EIGHT=450&amp;WIDTH=450&amp;START_MAXIMIZED=FALSE&amp;VAR:CALENDAR=US&amp;VAR:SYMBOL=AMD&amp;VAR:INDEX=0"}</definedName>
    <definedName name="_196__FDSAUDITLINK__" hidden="1">{"fdsup://directions/FAT Viewer?action=UPDATE&amp;creator=factset&amp;DYN_ARGS=TRUE&amp;DOC_NAME=FAT:FQL_AUDITING_CLIENT_TEMPLATE.FAT&amp;display_string=Audit&amp;VAR:KEY=OVMZWVYBSL&amp;VAR:QUERY=KENTRl9DT01fU0hTX09VVF9FUFNfRElMKFFUUl9SLDMzNzUzKUBXU0ZfQ09NX1NIU19PVVRfRVBTX0RJTChRV","FIsMzM3NTMpKQ==&amp;WINDOW=FIRST_POPUP&amp;HEIGHT=450&amp;WIDTH=450&amp;START_MAXIMIZED=FALSE&amp;VAR:CALENDAR=US&amp;VAR:SYMBOL=AMD&amp;VAR:INDEX=0"}</definedName>
    <definedName name="_197__FDSAUDITLINK__" hidden="1">{"fdsup://directions/FAT Viewer?action=UPDATE&amp;creator=factset&amp;DYN_ARGS=TRUE&amp;DOC_NAME=FAT:FQL_AUDITING_CLIENT_TEMPLATE.FAT&amp;display_string=Audit&amp;VAR:KEY=ETWJSXEDIP&amp;VAR:QUERY=KENTRl9JTlRBTkcoUVRSX1IsMzM3NTMpQFdTRl9JTlRBTkcoUVRSLDMzNzUzKSk=&amp;WINDOW=FIRST_POPUP&amp;H","EIGHT=450&amp;WIDTH=450&amp;START_MAXIMIZED=FALSE&amp;VAR:CALENDAR=US&amp;VAR:SYMBOL=AMD&amp;VAR:INDEX=0"}</definedName>
    <definedName name="_198__FDSAUDITLINK__" hidden="1">{"fdsup://directions/FAT Viewer?action=UPDATE&amp;creator=factset&amp;DYN_ARGS=TRUE&amp;DOC_NAME=FAT:FQL_AUDITING_CLIENT_TEMPLATE.FAT&amp;display_string=Audit&amp;VAR:KEY=ENQZMFWXSL&amp;VAR:QUERY=KENTRl9DT01fU0hTX09VVF9FUFNfRElMKFFUUl9SLDMzNzI0KUBXU0ZfQ09NX1NIU19PVVRfRVBTX0RJTChRV","FIsMzM3MjQpKQ==&amp;WINDOW=FIRST_POPUP&amp;HEIGHT=450&amp;WIDTH=450&amp;START_MAXIMIZED=FALSE&amp;VAR:CALENDAR=US&amp;VAR:SYMBOL=AMD&amp;VAR:INDEX=0"}</definedName>
    <definedName name="_199__FDSAUDITLINK__" hidden="1">{"fdsup://directions/FAT Viewer?action=UPDATE&amp;creator=factset&amp;DYN_ARGS=TRUE&amp;DOC_NAME=FAT:FQL_AUDITING_CLIENT_TEMPLATE.FAT&amp;display_string=Audit&amp;VAR:KEY=SHQBQZIVMX&amp;VAR:QUERY=KENTRl9JTlRBTkcoUVRSX1IsMzM3MjQpQFdTRl9JTlRBTkcoUVRSLDMzNzI0KSk=&amp;WINDOW=FIRST_POPUP&amp;H","EIGHT=450&amp;WIDTH=450&amp;START_MAXIMIZED=FALSE&amp;VAR:CALENDAR=US&amp;VAR:SYMBOL=AMD&amp;VAR:INDEX=0"}</definedName>
    <definedName name="_1994">#REF!</definedName>
    <definedName name="_1995">#REF!</definedName>
    <definedName name="_1996">#REF!</definedName>
    <definedName name="_1997">#REF!</definedName>
    <definedName name="_1998">#REF!</definedName>
    <definedName name="_1999">#REF!</definedName>
    <definedName name="_1Q94">#REF!</definedName>
    <definedName name="_1Q95">#REF!</definedName>
    <definedName name="_2__123Graph_ACHART_1" hidden="1">#REF!</definedName>
    <definedName name="_2__FDSAUDITLINK__" hidden="1">{"fdsup://directions/FAT Viewer?action=UPDATE&amp;creator=factset&amp;DYN_ARGS=TRUE&amp;DOC_NAME=FAT:FQL_AUDITING_CLIENT_TEMPLATE.FAT&amp;display_string=Audit&amp;VAR:KEY=GHKPEJYZWL&amp;VAR:QUERY=KENTRl9JTlRBTkcoUVRSX1IsMzcyODcpQFdTRl9JTlRBTkcoUVRSLDM3Mjg3KSk=&amp;WINDOW=FIRST_POPUP&amp;H","EIGHT=450&amp;WIDTH=450&amp;START_MAXIMIZED=FALSE&amp;VAR:CALENDAR=US&amp;VAR:SYMBOL=AMD&amp;VAR:INDEX=0"}</definedName>
    <definedName name="_20__FDSAUDITLINK__" hidden="1">{"fdsup://directions/FAT Viewer?action=UPDATE&amp;creator=factset&amp;DYN_ARGS=TRUE&amp;DOC_NAME=FAT:FQL_AUDITING_CLIENT_TEMPLATE.FAT&amp;display_string=Audit&amp;VAR:KEY=MTUFABETWX&amp;VAR:QUERY=KENTRl9JTlRBTkcoUVRSX1IsMzY3MzgpQFdTRl9JTlRBTkcoUVRSLDM2NzM4KSk=&amp;WINDOW=FIRST_POPUP&amp;H","EIGHT=450&amp;WIDTH=450&amp;START_MAXIMIZED=FALSE&amp;VAR:CALENDAR=US&amp;VAR:SYMBOL=AMD&amp;VAR:INDEX=0"}</definedName>
    <definedName name="_20_Jul_94">#REF!</definedName>
    <definedName name="_200__FDSAUDITLINK__" hidden="1">{"fdsup://directions/FAT Viewer?action=UPDATE&amp;creator=factset&amp;DYN_ARGS=TRUE&amp;DOC_NAME=FAT:FQL_AUDITING_CLIENT_TEMPLATE.FAT&amp;display_string=Audit&amp;VAR:KEY=GBEZCBIPGH&amp;VAR:QUERY=KENTRl9DT01fU0hTX09VVF9FUFNfRElMKFFUUl9SLDMzNjk0KUBXU0ZfQ09NX1NIU19PVVRfRVBTX0RJTChRV","FIsMzM2OTQpKQ==&amp;WINDOW=FIRST_POPUP&amp;HEIGHT=450&amp;WIDTH=450&amp;START_MAXIMIZED=FALSE&amp;VAR:CALENDAR=US&amp;VAR:SYMBOL=AMD&amp;VAR:INDEX=0"}</definedName>
    <definedName name="_2003Q4_T10">#REF!</definedName>
    <definedName name="_201__FDSAUDITLINK__" hidden="1">{"fdsup://directions/FAT Viewer?action=UPDATE&amp;creator=factset&amp;DYN_ARGS=TRUE&amp;DOC_NAME=FAT:FQL_AUDITING_CLIENT_TEMPLATE.FAT&amp;display_string=Audit&amp;VAR:KEY=KZAJOTOJMH&amp;VAR:QUERY=KENTRl9JTlRBTkcoUVRSX1IsMzM2OTQpQFdTRl9JTlRBTkcoUVRSLDMzNjk0KSk=&amp;WINDOW=FIRST_POPUP&amp;H","EIGHT=450&amp;WIDTH=450&amp;START_MAXIMIZED=FALSE&amp;VAR:CALENDAR=US&amp;VAR:SYMBOL=AMD&amp;VAR:INDEX=0"}</definedName>
    <definedName name="_202__FDSAUDITLINK__" hidden="1">{"fdsup://directions/FAT Viewer?action=UPDATE&amp;creator=factset&amp;DYN_ARGS=TRUE&amp;DOC_NAME=FAT:FQL_AUDITING_CLIENT_TEMPLATE.FAT&amp;display_string=Audit&amp;VAR:KEY=MXUFCXYFCH&amp;VAR:QUERY=KENTRl9DT01fU0hTX09VVF9FUFNfRElMKFFUUl9SLDMzNjYyKUBXU0ZfQ09NX1NIU19PVVRfRVBTX0RJTChRV","FIsMzM2NjIpKQ==&amp;WINDOW=FIRST_POPUP&amp;HEIGHT=450&amp;WIDTH=450&amp;START_MAXIMIZED=FALSE&amp;VAR:CALENDAR=US&amp;VAR:SYMBOL=AMD&amp;VAR:INDEX=0"}</definedName>
    <definedName name="_203__FDSAUDITLINK__" hidden="1">{"fdsup://directions/FAT Viewer?action=UPDATE&amp;creator=factset&amp;DYN_ARGS=TRUE&amp;DOC_NAME=FAT:FQL_AUDITING_CLIENT_TEMPLATE.FAT&amp;display_string=Audit&amp;VAR:KEY=ILAZWDYLGN&amp;VAR:QUERY=KENTRl9JTlRBTkcoUVRSX1IsMzM2NjIpQFdTRl9JTlRBTkcoUVRSLDMzNjYyKSk=&amp;WINDOW=FIRST_POPUP&amp;H","EIGHT=450&amp;WIDTH=450&amp;START_MAXIMIZED=FALSE&amp;VAR:CALENDAR=US&amp;VAR:SYMBOL=AMD&amp;VAR:INDEX=0"}</definedName>
    <definedName name="_204__FDSAUDITLINK__" hidden="1">{"fdsup://directions/FAT Viewer?action=UPDATE&amp;creator=factset&amp;DYN_ARGS=TRUE&amp;DOC_NAME=FAT:FQL_AUDITING_CLIENT_TEMPLATE.FAT&amp;display_string=Audit&amp;VAR:KEY=MDKBYZORMP&amp;VAR:QUERY=KENTRl9DT01fU0hTX09VVF9FUFNfRElMKFFUUl9SLDMzNjM0KUBXU0ZfQ09NX1NIU19PVVRfRVBTX0RJTChRV","FIsMzM2MzQpKQ==&amp;WINDOW=FIRST_POPUP&amp;HEIGHT=450&amp;WIDTH=450&amp;START_MAXIMIZED=FALSE&amp;VAR:CALENDAR=US&amp;VAR:SYMBOL=AMD&amp;VAR:INDEX=0"}</definedName>
    <definedName name="_205__FDSAUDITLINK__" hidden="1">{"fdsup://directions/FAT Viewer?action=UPDATE&amp;creator=factset&amp;DYN_ARGS=TRUE&amp;DOC_NAME=FAT:FQL_AUDITING_CLIENT_TEMPLATE.FAT&amp;display_string=Audit&amp;VAR:KEY=EDSRAHIDAT&amp;VAR:QUERY=KENTRl9JTlRBTkcoUVRSX1IsMzM2MzQpQFdTRl9JTlRBTkcoUVRSLDMzNjM0KSk=&amp;WINDOW=FIRST_POPUP&amp;H","EIGHT=450&amp;WIDTH=450&amp;START_MAXIMIZED=FALSE&amp;VAR:CALENDAR=US&amp;VAR:SYMBOL=AMD&amp;VAR:INDEX=0"}</definedName>
    <definedName name="_206__FDSAUDITLINK__" hidden="1">{"fdsup://directions/FAT Viewer?action=UPDATE&amp;creator=factset&amp;DYN_ARGS=TRUE&amp;DOC_NAME=FAT:FQL_AUDITING_CLIENT_TEMPLATE.FAT&amp;display_string=Audit&amp;VAR:KEY=YDYTENQBOT&amp;VAR:QUERY=KENTRl9DT01fU0hTX09VVF9FUFNfRElMKFFUUl9SLDMzNjAzKUBXU0ZfQ09NX1NIU19PVVRfRVBTX0RJTChRV","FIsMzM2MDMpKQ==&amp;WINDOW=FIRST_POPUP&amp;HEIGHT=450&amp;WIDTH=450&amp;START_MAXIMIZED=FALSE&amp;VAR:CALENDAR=US&amp;VAR:SYMBOL=AMD&amp;VAR:INDEX=0"}</definedName>
    <definedName name="_207__FDSAUDITLINK__" hidden="1">{"fdsup://directions/FAT Viewer?action=UPDATE&amp;creator=factset&amp;DYN_ARGS=TRUE&amp;DOC_NAME=FAT:FQL_AUDITING_CLIENT_TEMPLATE.FAT&amp;display_string=Audit&amp;VAR:KEY=OHWBIJUDWP&amp;VAR:QUERY=KENTRl9JTlRBTkcoUVRSX1IsMzM2MDMpQFdTRl9JTlRBTkcoUVRSLDMzNjAzKSk=&amp;WINDOW=FIRST_POPUP&amp;H","EIGHT=450&amp;WIDTH=450&amp;START_MAXIMIZED=FALSE&amp;VAR:CALENDAR=US&amp;VAR:SYMBOL=AMD&amp;VAR:INDEX=0"}</definedName>
    <definedName name="_208__FDSAUDITLINK__" hidden="1">{"fdsup://directions/FAT Viewer?action=UPDATE&amp;creator=factset&amp;DYN_ARGS=TRUE&amp;DOC_NAME=FAT:FQL_AUDITING_CLIENT_TEMPLATE.FAT&amp;display_string=Audit&amp;VAR:KEY=CJGBOFAPUN&amp;VAR:QUERY=KENTRl9DT01fU0hTX09VVF9FUFNfRElMKFFUUl9SLDMzNTcxKUBXU0ZfQ09NX1NIU19PVVRfRVBTX0RJTChRV","FIsMzM1NzEpKQ==&amp;WINDOW=FIRST_POPUP&amp;HEIGHT=450&amp;WIDTH=450&amp;START_MAXIMIZED=FALSE&amp;VAR:CALENDAR=US&amp;VAR:SYMBOL=AMD&amp;VAR:INDEX=0"}</definedName>
    <definedName name="_209__FDSAUDITLINK__" hidden="1">{"fdsup://directions/FAT Viewer?action=UPDATE&amp;creator=factset&amp;DYN_ARGS=TRUE&amp;DOC_NAME=FAT:FQL_AUDITING_CLIENT_TEMPLATE.FAT&amp;display_string=Audit&amp;VAR:KEY=UJCNCDWZYH&amp;VAR:QUERY=KENTRl9JTlRBTkcoUVRSX1IsMzM1NzEpQFdTRl9JTlRBTkcoUVRSLDMzNTcxKSk=&amp;WINDOW=FIRST_POPUP&amp;H","EIGHT=450&amp;WIDTH=450&amp;START_MAXIMIZED=FALSE&amp;VAR:CALENDAR=US&amp;VAR:SYMBOL=AMD&amp;VAR:INDEX=0"}</definedName>
    <definedName name="_21__FDSAUDITLINK__" hidden="1">{"fdsup://directions/FAT Viewer?action=UPDATE&amp;creator=factset&amp;DYN_ARGS=TRUE&amp;DOC_NAME=FAT:FQL_AUDITING_CLIENT_TEMPLATE.FAT&amp;display_string=Audit&amp;VAR:KEY=ABALGZCVQZ&amp;VAR:QUERY=KENTRl9JTlRBTkcoUVRSX1IsMzY3MDcpQFdTRl9JTlRBTkcoUVRSLDM2NzA3KSk=&amp;WINDOW=FIRST_POPUP&amp;H","EIGHT=450&amp;WIDTH=450&amp;START_MAXIMIZED=FALSE&amp;VAR:CALENDAR=US&amp;VAR:SYMBOL=AMD&amp;VAR:INDEX=0"}</definedName>
    <definedName name="_210__FDSAUDITLINK__" hidden="1">{"fdsup://directions/FAT Viewer?action=UPDATE&amp;creator=factset&amp;DYN_ARGS=TRUE&amp;DOC_NAME=FAT:FQL_AUDITING_CLIENT_TEMPLATE.FAT&amp;display_string=Audit&amp;VAR:KEY=ULILIHILQP&amp;VAR:QUERY=KENTRl9DT01fU0hTX09VVF9FUFNfRElMKFFUUl9SLDMzNTQyKUBXU0ZfQ09NX1NIU19PVVRfRVBTX0RJTChRV","FIsMzM1NDIpKQ==&amp;WINDOW=FIRST_POPUP&amp;HEIGHT=450&amp;WIDTH=450&amp;START_MAXIMIZED=FALSE&amp;VAR:CALENDAR=US&amp;VAR:SYMBOL=AMD&amp;VAR:INDEX=0"}</definedName>
    <definedName name="_211__FDSAUDITLINK__" hidden="1">{"fdsup://directions/FAT Viewer?action=UPDATE&amp;creator=factset&amp;DYN_ARGS=TRUE&amp;DOC_NAME=FAT:FQL_AUDITING_CLIENT_TEMPLATE.FAT&amp;display_string=Audit&amp;VAR:KEY=ALWBKHSXEZ&amp;VAR:QUERY=KENTRl9JTlRBTkcoUVRSX1IsMzM1NDIpQFdTRl9JTlRBTkcoUVRSLDMzNTQyKSk=&amp;WINDOW=FIRST_POPUP&amp;H","EIGHT=450&amp;WIDTH=450&amp;START_MAXIMIZED=FALSE&amp;VAR:CALENDAR=US&amp;VAR:SYMBOL=AMD&amp;VAR:INDEX=0"}</definedName>
    <definedName name="_212__FDSAUDITLINK__" hidden="1">{"fdsup://directions/FAT Viewer?action=UPDATE&amp;creator=factset&amp;DYN_ARGS=TRUE&amp;DOC_NAME=FAT:FQL_AUDITING_CLIENT_TEMPLATE.FAT&amp;display_string=Audit&amp;VAR:KEY=UJKNYZOXGH&amp;VAR:QUERY=KENTRl9DT01fU0hTX09VVF9FUFNfRElMKFFUUl9SLDMzNTExKUBXU0ZfQ09NX1NIU19PVVRfRVBTX0RJTChRV","FIsMzM1MTEpKQ==&amp;WINDOW=FIRST_POPUP&amp;HEIGHT=450&amp;WIDTH=450&amp;START_MAXIMIZED=FALSE&amp;VAR:CALENDAR=US&amp;VAR:SYMBOL=AMD&amp;VAR:INDEX=0"}</definedName>
    <definedName name="_213__FDSAUDITLINK__" hidden="1">{"fdsup://directions/FAT Viewer?action=UPDATE&amp;creator=factset&amp;DYN_ARGS=TRUE&amp;DOC_NAME=FAT:FQL_AUDITING_CLIENT_TEMPLATE.FAT&amp;display_string=Audit&amp;VAR:KEY=UZINYXYJIP&amp;VAR:QUERY=KENTRl9JTlRBTkcoUVRSX1IsMzM1MTEpQFdTRl9JTlRBTkcoUVRSLDMzNTExKSk=&amp;WINDOW=FIRST_POPUP&amp;H","EIGHT=450&amp;WIDTH=450&amp;START_MAXIMIZED=FALSE&amp;VAR:CALENDAR=US&amp;VAR:SYMBOL=AMD&amp;VAR:INDEX=0"}</definedName>
    <definedName name="_214__FDSAUDITLINK__" hidden="1">{"fdsup://directions/FAT Viewer?action=UPDATE&amp;creator=factset&amp;DYN_ARGS=TRUE&amp;DOC_NAME=FAT:FQL_AUDITING_CLIENT_TEMPLATE.FAT&amp;display_string=Audit&amp;VAR:KEY=KBUNSBMVWP&amp;VAR:QUERY=KENTRl9DT01fU0hTX09VVF9FUFNfRElMKFFUUl9SLDMzNDgwKUBXU0ZfQ09NX1NIU19PVVRfRVBTX0RJTChRV","FIsMzM0ODApKQ==&amp;WINDOW=FIRST_POPUP&amp;HEIGHT=450&amp;WIDTH=450&amp;START_MAXIMIZED=FALSE&amp;VAR:CALENDAR=US&amp;VAR:SYMBOL=AMD&amp;VAR:INDEX=0"}</definedName>
    <definedName name="_215__FDSAUDITLINK__" hidden="1">{"fdsup://directions/FAT Viewer?action=UPDATE&amp;creator=factset&amp;DYN_ARGS=TRUE&amp;DOC_NAME=FAT:FQL_AUDITING_CLIENT_TEMPLATE.FAT&amp;display_string=Audit&amp;VAR:KEY=QTIRGRCNQP&amp;VAR:QUERY=KENTRl9JTlRBTkcoUVRSX1IsMzM0ODApQFdTRl9JTlRBTkcoUVRSLDMzNDgwKSk=&amp;WINDOW=FIRST_POPUP&amp;H","EIGHT=450&amp;WIDTH=450&amp;START_MAXIMIZED=FALSE&amp;VAR:CALENDAR=US&amp;VAR:SYMBOL=AMD&amp;VAR:INDEX=0"}</definedName>
    <definedName name="_216__FDSAUDITLINK__" hidden="1">{"fdsup://directions/FAT Viewer?action=UPDATE&amp;creator=factset&amp;DYN_ARGS=TRUE&amp;DOC_NAME=FAT:FQL_AUDITING_CLIENT_TEMPLATE.FAT&amp;display_string=Audit&amp;VAR:KEY=GVGNCPODUV&amp;VAR:QUERY=KENTRl9DT01fU0hTX09VVF9FUFNfRElMKFFUUl9SLDMzNDUwKUBXU0ZfQ09NX1NIU19PVVRfRVBTX0RJTChRV","FIsMzM0NTApKQ==&amp;WINDOW=FIRST_POPUP&amp;HEIGHT=450&amp;WIDTH=450&amp;START_MAXIMIZED=FALSE&amp;VAR:CALENDAR=US&amp;VAR:SYMBOL=AMD&amp;VAR:INDEX=0"}</definedName>
    <definedName name="_217__FDSAUDITLINK__" hidden="1">{"fdsup://directions/FAT Viewer?action=UPDATE&amp;creator=factset&amp;DYN_ARGS=TRUE&amp;DOC_NAME=FAT:FQL_AUDITING_CLIENT_TEMPLATE.FAT&amp;display_string=Audit&amp;VAR:KEY=KXGRIVODUV&amp;VAR:QUERY=KENTRl9JTlRBTkcoUVRSX1IsMzM0NTApQFdTRl9JTlRBTkcoUVRSLDMzNDUwKSk=&amp;WINDOW=FIRST_POPUP&amp;H","EIGHT=450&amp;WIDTH=450&amp;START_MAXIMIZED=FALSE&amp;VAR:CALENDAR=US&amp;VAR:SYMBOL=AMD&amp;VAR:INDEX=0"}</definedName>
    <definedName name="_218__FDSAUDITLINK__" hidden="1">{"fdsup://directions/FAT Viewer?action=UPDATE&amp;creator=factset&amp;DYN_ARGS=TRUE&amp;DOC_NAME=FAT:FQL_AUDITING_CLIENT_TEMPLATE.FAT&amp;display_string=Audit&amp;VAR:KEY=CRANOROXQD&amp;VAR:QUERY=KENTRl9DT01fU0hTX09VVF9FUFNfRElMKFFUUl9SLDMzNDE3KUBXU0ZfQ09NX1NIU19PVVRfRVBTX0RJTChRV","FIsMzM0MTcpKQ==&amp;WINDOW=FIRST_POPUP&amp;HEIGHT=450&amp;WIDTH=450&amp;START_MAXIMIZED=FALSE&amp;VAR:CALENDAR=US&amp;VAR:SYMBOL=AMD&amp;VAR:INDEX=0"}</definedName>
    <definedName name="_219__FDSAUDITLINK__" hidden="1">{"fdsup://directions/FAT Viewer?action=UPDATE&amp;creator=factset&amp;DYN_ARGS=TRUE&amp;DOC_NAME=FAT:FQL_AUDITING_CLIENT_TEMPLATE.FAT&amp;display_string=Audit&amp;VAR:KEY=QLUTQLCLGJ&amp;VAR:QUERY=KENTRl9JTlRBTkcoUVRSX1IsMzM0MTcpQFdTRl9JTlRBTkcoUVRSLDMzNDE3KSk=&amp;WINDOW=FIRST_POPUP&amp;H","EIGHT=450&amp;WIDTH=450&amp;START_MAXIMIZED=FALSE&amp;VAR:CALENDAR=US&amp;VAR:SYMBOL=AMD&amp;VAR:INDEX=0"}</definedName>
    <definedName name="_22__FDSAUDITLINK__" hidden="1">{"fdsup://directions/FAT Viewer?action=UPDATE&amp;creator=factset&amp;DYN_ARGS=TRUE&amp;DOC_NAME=FAT:FQL_AUDITING_CLIENT_TEMPLATE.FAT&amp;display_string=Audit&amp;VAR:KEY=KTSTYDABQH&amp;VAR:QUERY=KENTRl9JTlRBTkcoUVRSX1IsMzY2NzcpQFdTRl9JTlRBTkcoUVRSLDM2Njc3KSk=&amp;WINDOW=FIRST_POPUP&amp;H","EIGHT=450&amp;WIDTH=450&amp;START_MAXIMIZED=FALSE&amp;VAR:CALENDAR=US&amp;VAR:SYMBOL=AMD&amp;VAR:INDEX=0"}</definedName>
    <definedName name="_220__FDSAUDITLINK__" hidden="1">{"fdsup://directions/FAT Viewer?action=UPDATE&amp;creator=factset&amp;DYN_ARGS=TRUE&amp;DOC_NAME=FAT:FQL_AUDITING_CLIENT_TEMPLATE.FAT&amp;display_string=Audit&amp;VAR:KEY=EZGTCLSBAD&amp;VAR:QUERY=KENTRl9DT01fU0hTX09VVF9FUFNfRElMKFFUUl9SLDMzMzg5KUBXU0ZfQ09NX1NIU19PVVRfRVBTX0RJTChRV","FIsMzMzODkpKQ==&amp;WINDOW=FIRST_POPUP&amp;HEIGHT=450&amp;WIDTH=450&amp;START_MAXIMIZED=FALSE&amp;VAR:CALENDAR=US&amp;VAR:SYMBOL=AMD&amp;VAR:INDEX=0"}</definedName>
    <definedName name="_221__FDSAUDITLINK__" hidden="1">{"fdsup://directions/FAT Viewer?action=UPDATE&amp;creator=factset&amp;DYN_ARGS=TRUE&amp;DOC_NAME=FAT:FQL_AUDITING_CLIENT_TEMPLATE.FAT&amp;display_string=Audit&amp;VAR:KEY=YJKTCVWVCX&amp;VAR:QUERY=KENTRl9JTlRBTkcoUVRSX1IsMzMzODkpQFdTRl9JTlRBTkcoUVRSLDMzMzg5KSk=&amp;WINDOW=FIRST_POPUP&amp;H","EIGHT=450&amp;WIDTH=450&amp;START_MAXIMIZED=FALSE&amp;VAR:CALENDAR=US&amp;VAR:SYMBOL=AMD&amp;VAR:INDEX=0"}</definedName>
    <definedName name="_222__FDSAUDITLINK__" hidden="1">{"fdsup://directions/FAT Viewer?action=UPDATE&amp;creator=factset&amp;DYN_ARGS=TRUE&amp;DOC_NAME=FAT:FQL_AUDITING_CLIENT_TEMPLATE.FAT&amp;display_string=Audit&amp;VAR:KEY=ENIFKRWBWP&amp;VAR:QUERY=KENTRl9DT01fU0hTX09VVF9FUFNfRElMKFFUUl9SLDMzMzU4KUBXU0ZfQ09NX1NIU19PVVRfRVBTX0RJTChRV","FIsMzMzNTgpKQ==&amp;WINDOW=FIRST_POPUP&amp;HEIGHT=450&amp;WIDTH=450&amp;START_MAXIMIZED=FALSE&amp;VAR:CALENDAR=US&amp;VAR:SYMBOL=AMD&amp;VAR:INDEX=0"}</definedName>
    <definedName name="_223__FDSAUDITLINK__" hidden="1">{"fdsup://directions/FAT Viewer?action=UPDATE&amp;creator=factset&amp;DYN_ARGS=TRUE&amp;DOC_NAME=FAT:FQL_AUDITING_CLIENT_TEMPLATE.FAT&amp;display_string=Audit&amp;VAR:KEY=CDCBWBYDQB&amp;VAR:QUERY=KENTRl9JTlRBTkcoUVRSX1IsMzMzNTgpQFdTRl9JTlRBTkcoUVRSLDMzMzU4KSk=&amp;WINDOW=FIRST_POPUP&amp;H","EIGHT=450&amp;WIDTH=450&amp;START_MAXIMIZED=FALSE&amp;VAR:CALENDAR=US&amp;VAR:SYMBOL=AMD&amp;VAR:INDEX=0"}</definedName>
    <definedName name="_224__FDSAUDITLINK__" hidden="1">{"fdsup://directions/FAT Viewer?action=UPDATE&amp;creator=factset&amp;DYN_ARGS=TRUE&amp;DOC_NAME=FAT:FQL_AUDITING_CLIENT_TEMPLATE.FAT&amp;display_string=Audit&amp;VAR:KEY=MRELINIDUN&amp;VAR:QUERY=KENTRl9DT01fU0hTX09VVF9FUFNfRElMKFFUUl9SLDMzMzI1KUBXU0ZfQ09NX1NIU19PVVRfRVBTX0RJTChRV","FIsMzMzMjUpKQ==&amp;WINDOW=FIRST_POPUP&amp;HEIGHT=450&amp;WIDTH=450&amp;START_MAXIMIZED=FALSE&amp;VAR:CALENDAR=US&amp;VAR:SYMBOL=AMD&amp;VAR:INDEX=0"}</definedName>
    <definedName name="_225__FDSAUDITLINK__" hidden="1">{"fdsup://directions/FAT Viewer?action=UPDATE&amp;creator=factset&amp;DYN_ARGS=TRUE&amp;DOC_NAME=FAT:FQL_AUDITING_CLIENT_TEMPLATE.FAT&amp;display_string=Audit&amp;VAR:KEY=IFODUDADIP&amp;VAR:QUERY=KENTRl9JTlRBTkcoUVRSX1IsMzMzMjUpQFdTRl9JTlRBTkcoUVRSLDMzMzI1KSk=&amp;WINDOW=FIRST_POPUP&amp;H","EIGHT=450&amp;WIDTH=450&amp;START_MAXIMIZED=FALSE&amp;VAR:CALENDAR=US&amp;VAR:SYMBOL=AMD&amp;VAR:INDEX=0"}</definedName>
    <definedName name="_226__FDSAUDITLINK__" hidden="1">{"fdsup://directions/FAT Viewer?action=UPDATE&amp;creator=factset&amp;DYN_ARGS=TRUE&amp;DOC_NAME=FAT:FQL_AUDITING_CLIENT_TEMPLATE.FAT&amp;display_string=Audit&amp;VAR:KEY=IVYHOZMZUD&amp;VAR:QUERY=KENTRl9DT01fU0hTX09VVF9FUFNfRElMKFFUUl9SLDMzMjk3KUBXU0ZfQ09NX1NIU19PVVRfRVBTX0RJTChRV","FIsMzMyOTcpKQ==&amp;WINDOW=FIRST_POPUP&amp;HEIGHT=450&amp;WIDTH=450&amp;START_MAXIMIZED=FALSE&amp;VAR:CALENDAR=US&amp;VAR:SYMBOL=AMD&amp;VAR:INDEX=0"}</definedName>
    <definedName name="_227__FDSAUDITLINK__" hidden="1">{"fdsup://directions/FAT Viewer?action=UPDATE&amp;creator=factset&amp;DYN_ARGS=TRUE&amp;DOC_NAME=FAT:FQL_AUDITING_CLIENT_TEMPLATE.FAT&amp;display_string=Audit&amp;VAR:KEY=KPUZOZGRKX&amp;VAR:QUERY=KENTRl9JTlRBTkcoUVRSX1IsMzMyOTcpQFdTRl9JTlRBTkcoUVRSLDMzMjk3KSk=&amp;WINDOW=FIRST_POPUP&amp;H","EIGHT=450&amp;WIDTH=450&amp;START_MAXIMIZED=FALSE&amp;VAR:CALENDAR=US&amp;VAR:SYMBOL=AMD&amp;VAR:INDEX=0"}</definedName>
    <definedName name="_228__FDSAUDITLINK__" hidden="1">{"fdsup://directions/FAT Viewer?action=UPDATE&amp;creator=factset&amp;DYN_ARGS=TRUE&amp;DOC_NAME=FAT:FQL_AUDITING_CLIENT_TEMPLATE.FAT&amp;display_string=Audit&amp;VAR:KEY=YHQTSVONSR&amp;VAR:QUERY=KENTRl9DT01fU0hTX09VVF9FUFNfRElMKFFUUl9SLDMzMjY5KUBXU0ZfQ09NX1NIU19PVVRfRVBTX0RJTChRV","FIsMzMyNjkpKQ==&amp;WINDOW=FIRST_POPUP&amp;HEIGHT=450&amp;WIDTH=450&amp;START_MAXIMIZED=FALSE&amp;VAR:CALENDAR=US&amp;VAR:SYMBOL=AMD&amp;VAR:INDEX=0"}</definedName>
    <definedName name="_229__FDSAUDITLINK__" hidden="1">{"fdsup://directions/FAT Viewer?action=UPDATE&amp;creator=factset&amp;DYN_ARGS=TRUE&amp;DOC_NAME=FAT:FQL_AUDITING_CLIENT_TEMPLATE.FAT&amp;display_string=Audit&amp;VAR:KEY=KLSZKFETWB&amp;VAR:QUERY=KENTRl9JTlRBTkcoUVRSX1IsMzMyNjkpQFdTRl9JTlRBTkcoUVRSLDMzMjY5KSk=&amp;WINDOW=FIRST_POPUP&amp;H","EIGHT=450&amp;WIDTH=450&amp;START_MAXIMIZED=FALSE&amp;VAR:CALENDAR=US&amp;VAR:SYMBOL=AMD&amp;VAR:INDEX=0"}</definedName>
    <definedName name="_23__FDSAUDITLINK__" hidden="1">{"fdsup://directions/FAT Viewer?action=UPDATE&amp;creator=factset&amp;DYN_ARGS=TRUE&amp;DOC_NAME=FAT:FQL_AUDITING_CLIENT_TEMPLATE.FAT&amp;display_string=Audit&amp;VAR:KEY=QDWJIZMZWJ&amp;VAR:QUERY=KENTRl9JTlRBTkcoUVRSX1IsMzY2NDQpQFdTRl9JTlRBTkcoUVRSLDM2NjQ0KSk=&amp;WINDOW=FIRST_POPUP&amp;H","EIGHT=450&amp;WIDTH=450&amp;START_MAXIMIZED=FALSE&amp;VAR:CALENDAR=US&amp;VAR:SYMBOL=AMD&amp;VAR:INDEX=0"}</definedName>
    <definedName name="_230__FDSAUDITLINK__" hidden="1">{"fdsup://directions/FAT Viewer?action=UPDATE&amp;creator=factset&amp;DYN_ARGS=TRUE&amp;DOC_NAME=FAT:FQL_AUDITING_CLIENT_TEMPLATE.FAT&amp;display_string=Audit&amp;VAR:KEY=WFALUTYBGP&amp;VAR:QUERY=KENTRl9DT01fU0hTX09VVF9FUFNfRElMKFFUUl9SLDMzMjM4KUBXU0ZfQ09NX1NIU19PVVRfRVBTX0RJTChRV","FIsMzMyMzgpKQ==&amp;WINDOW=FIRST_POPUP&amp;HEIGHT=450&amp;WIDTH=450&amp;START_MAXIMIZED=FALSE&amp;VAR:CALENDAR=US&amp;VAR:SYMBOL=AMD&amp;VAR:INDEX=0"}</definedName>
    <definedName name="_231__FDSAUDITLINK__" hidden="1">{"fdsup://directions/FAT Viewer?action=UPDATE&amp;creator=factset&amp;DYN_ARGS=TRUE&amp;DOC_NAME=FAT:FQL_AUDITING_CLIENT_TEMPLATE.FAT&amp;display_string=Audit&amp;VAR:KEY=ODYHONQXAZ&amp;VAR:QUERY=KENTRl9JTlRBTkcoUVRSX1IsMzMyMzgpQFdTRl9JTlRBTkcoUVRSLDMzMjM4KSk=&amp;WINDOW=FIRST_POPUP&amp;H","EIGHT=450&amp;WIDTH=450&amp;START_MAXIMIZED=FALSE&amp;VAR:CALENDAR=US&amp;VAR:SYMBOL=AMD&amp;VAR:INDEX=0"}</definedName>
    <definedName name="_232__FDSAUDITLINK__" hidden="1">{"fdsup://directions/FAT Viewer?action=UPDATE&amp;creator=factset&amp;DYN_ARGS=TRUE&amp;DOC_NAME=FAT:FQL_AUDITING_CLIENT_TEMPLATE.FAT&amp;display_string=Audit&amp;VAR:KEY=YDGFSNGJUZ&amp;VAR:QUERY=KENTRl9DT01fU0hTX09VVF9FUFNfRElMKFFUUl9SLDMzMjA3KUBXU0ZfQ09NX1NIU19PVVRfRVBTX0RJTChRV","FIsMzMyMDcpKQ==&amp;WINDOW=FIRST_POPUP&amp;HEIGHT=450&amp;WIDTH=450&amp;START_MAXIMIZED=FALSE&amp;VAR:CALENDAR=US&amp;VAR:SYMBOL=AMD&amp;VAR:INDEX=0"}</definedName>
    <definedName name="_233__FDSAUDITLINK__" hidden="1">{"fdsup://directions/FAT Viewer?action=UPDATE&amp;creator=factset&amp;DYN_ARGS=TRUE&amp;DOC_NAME=FAT:FQL_AUDITING_CLIENT_TEMPLATE.FAT&amp;display_string=Audit&amp;VAR:KEY=YBCBUFQRWT&amp;VAR:QUERY=KENTRl9JTlRBTkcoUVRSX1IsMzMyMDcpQFdTRl9JTlRBTkcoUVRSLDMzMjA3KSk=&amp;WINDOW=FIRST_POPUP&amp;H","EIGHT=450&amp;WIDTH=450&amp;START_MAXIMIZED=FALSE&amp;VAR:CALENDAR=US&amp;VAR:SYMBOL=AMD&amp;VAR:INDEX=0"}</definedName>
    <definedName name="_234__FDSAUDITLINK__" hidden="1">{"fdsup://directions/FAT Viewer?action=UPDATE&amp;creator=factset&amp;DYN_ARGS=TRUE&amp;DOC_NAME=FAT:FQL_AUDITING_CLIENT_TEMPLATE.FAT&amp;display_string=Audit&amp;VAR:KEY=SVCFMTMNEH&amp;VAR:QUERY=KENTRl9DT01fU0hTX09VVF9FUFNfRElMKFFUUl9SLDMzMTc3KUBXU0ZfQ09NX1NIU19PVVRfRVBTX0RJTChRV","FIsMzMxNzcpKQ==&amp;WINDOW=FIRST_POPUP&amp;HEIGHT=450&amp;WIDTH=450&amp;START_MAXIMIZED=FALSE&amp;VAR:CALENDAR=US&amp;VAR:SYMBOL=AMD&amp;VAR:INDEX=0"}</definedName>
    <definedName name="_235__FDSAUDITLINK__" hidden="1">{"fdsup://directions/FAT Viewer?action=UPDATE&amp;creator=factset&amp;DYN_ARGS=TRUE&amp;DOC_NAME=FAT:FQL_AUDITING_CLIENT_TEMPLATE.FAT&amp;display_string=Audit&amp;VAR:KEY=UPEPWDAVAV&amp;VAR:QUERY=KENTRl9JTlRBTkcoUVRSX1IsMzMxNzcpQFdTRl9JTlRBTkcoUVRSLDMzMTc3KSk=&amp;WINDOW=FIRST_POPUP&amp;H","EIGHT=450&amp;WIDTH=450&amp;START_MAXIMIZED=FALSE&amp;VAR:CALENDAR=US&amp;VAR:SYMBOL=AMD&amp;VAR:INDEX=0"}</definedName>
    <definedName name="_236__FDSAUDITLINK__" hidden="1">{"fdsup://directions/FAT Viewer?action=UPDATE&amp;creator=factset&amp;DYN_ARGS=TRUE&amp;DOC_NAME=FAT:FQL_AUDITING_CLIENT_TEMPLATE.FAT&amp;display_string=Audit&amp;VAR:KEY=GZENALIHQZ&amp;VAR:QUERY=KENTRl9DT01fU0hTX09VVF9FUFNfRElMKFFUUl9SLDMzMTQ0KUBXU0ZfQ09NX1NIU19PVVRfRVBTX0RJTChRV","FIsMzMxNDQpKQ==&amp;WINDOW=FIRST_POPUP&amp;HEIGHT=450&amp;WIDTH=450&amp;START_MAXIMIZED=FALSE&amp;VAR:CALENDAR=US&amp;VAR:SYMBOL=AMD&amp;VAR:INDEX=0"}</definedName>
    <definedName name="_237__FDSAUDITLINK__" hidden="1">{"fdsup://directions/FAT Viewer?action=UPDATE&amp;creator=factset&amp;DYN_ARGS=TRUE&amp;DOC_NAME=FAT:FQL_AUDITING_CLIENT_TEMPLATE.FAT&amp;display_string=Audit&amp;VAR:KEY=ANEFKFOZQB&amp;VAR:QUERY=KENTRl9JTlRBTkcoUVRSX1IsMzMxNDQpQFdTRl9JTlRBTkcoUVRSLDMzMTQ0KSk=&amp;WINDOW=FIRST_POPUP&amp;H","EIGHT=450&amp;WIDTH=450&amp;START_MAXIMIZED=FALSE&amp;VAR:CALENDAR=US&amp;VAR:SYMBOL=AMD&amp;VAR:INDEX=0"}</definedName>
    <definedName name="_238__FDSAUDITLINK__" hidden="1">{"fdsup://directions/FAT Viewer?action=UPDATE&amp;creator=factset&amp;DYN_ARGS=TRUE&amp;DOC_NAME=FAT:FQL_AUDITING_CLIENT_TEMPLATE.FAT&amp;display_string=Audit&amp;VAR:KEY=WBOZKRUNWH&amp;VAR:QUERY=KENTRl9DT01fU0hTX09VVF9FUFNfRElMKFFUUl9SLDMzMTE2KUBXU0ZfQ09NX1NIU19PVVRfRVBTX0RJTChRV","FIsMzMxMTYpKQ==&amp;WINDOW=FIRST_POPUP&amp;HEIGHT=450&amp;WIDTH=450&amp;START_MAXIMIZED=FALSE&amp;VAR:CALENDAR=US&amp;VAR:SYMBOL=AMD&amp;VAR:INDEX=0"}</definedName>
    <definedName name="_239__FDSAUDITLINK__" hidden="1">{"fdsup://directions/FAT Viewer?action=UPDATE&amp;creator=factset&amp;DYN_ARGS=TRUE&amp;DOC_NAME=FAT:FQL_AUDITING_CLIENT_TEMPLATE.FAT&amp;display_string=Audit&amp;VAR:KEY=CNQPUPARQX&amp;VAR:QUERY=KENTRl9JTlRBTkcoUVRSX1IsMzMxMTYpQFdTRl9JTlRBTkcoUVRSLDMzMTE2KSk=&amp;WINDOW=FIRST_POPUP&amp;H","EIGHT=450&amp;WIDTH=450&amp;START_MAXIMIZED=FALSE&amp;VAR:CALENDAR=US&amp;VAR:SYMBOL=AMD&amp;VAR:INDEX=0"}</definedName>
    <definedName name="_24__FDSAUDITLINK__" hidden="1">{"fdsup://directions/FAT Viewer?action=UPDATE&amp;creator=factset&amp;DYN_ARGS=TRUE&amp;DOC_NAME=FAT:FQL_AUDITING_CLIENT_TEMPLATE.FAT&amp;display_string=Audit&amp;VAR:KEY=YFMJKLGFGP&amp;VAR:QUERY=KENTRl9JTlRBTkcoUVRSX1IsMzY2MTYpQFdTRl9JTlRBTkcoUVRSLDM2NjE2KSk=&amp;WINDOW=FIRST_POPUP&amp;H","EIGHT=450&amp;WIDTH=450&amp;START_MAXIMIZED=FALSE&amp;VAR:CALENDAR=US&amp;VAR:SYMBOL=AMD&amp;VAR:INDEX=0"}</definedName>
    <definedName name="_240__FDSAUDITLINK__" hidden="1">{"fdsup://directions/FAT Viewer?action=UPDATE&amp;creator=factset&amp;DYN_ARGS=TRUE&amp;DOC_NAME=FAT:FQL_AUDITING_CLIENT_TEMPLATE.FAT&amp;display_string=Audit&amp;VAR:KEY=IRUNOBIVMN&amp;VAR:QUERY=KENTRl9DT01fU0hTX09VVF9FUFNfRElMKFFUUl9SLDMzMDg1KUBXU0ZfQ09NX1NIU19PVVRfRVBTX0RJTChRV","FIsMzMwODUpKQ==&amp;WINDOW=FIRST_POPUP&amp;HEIGHT=450&amp;WIDTH=450&amp;START_MAXIMIZED=FALSE&amp;VAR:CALENDAR=US&amp;VAR:SYMBOL=AMD&amp;VAR:INDEX=0"}</definedName>
    <definedName name="_241__FDSAUDITLINK__" hidden="1">{"fdsup://directions/FAT Viewer?action=UPDATE&amp;creator=factset&amp;DYN_ARGS=TRUE&amp;DOC_NAME=FAT:FQL_AUDITING_CLIENT_TEMPLATE.FAT&amp;display_string=Audit&amp;VAR:KEY=ILCHSVMLSV&amp;VAR:QUERY=KENTRl9JTlRBTkcoUVRSX1IsMzMwODUpQFdTRl9JTlRBTkcoUVRSLDMzMDg1KSk=&amp;WINDOW=FIRST_POPUP&amp;H","EIGHT=450&amp;WIDTH=450&amp;START_MAXIMIZED=FALSE&amp;VAR:CALENDAR=US&amp;VAR:SYMBOL=AMD&amp;VAR:INDEX=0"}</definedName>
    <definedName name="_242__FDSAUDITLINK__" hidden="1">{"fdsup://directions/FAT Viewer?action=UPDATE&amp;creator=factset&amp;DYN_ARGS=TRUE&amp;DOC_NAME=FAT:FQL_AUDITING_CLIENT_TEMPLATE.FAT&amp;display_string=Audit&amp;VAR:KEY=WDCBKNWDAH&amp;VAR:QUERY=KENTRl9DT01fU0hTX09VVF9FUFNfRElMKFFUUl9SLDMzMDUzKUBXU0ZfQ09NX1NIU19PVVRfRVBTX0RJTChRV","FIsMzMwNTMpKQ==&amp;WINDOW=FIRST_POPUP&amp;HEIGHT=450&amp;WIDTH=450&amp;START_MAXIMIZED=FALSE&amp;VAR:CALENDAR=US&amp;VAR:SYMBOL=AMD&amp;VAR:INDEX=0"}</definedName>
    <definedName name="_243__FDSAUDITLINK__" hidden="1">{"fdsup://directions/FAT Viewer?action=UPDATE&amp;creator=factset&amp;DYN_ARGS=TRUE&amp;DOC_NAME=FAT:FQL_AUDITING_CLIENT_TEMPLATE.FAT&amp;display_string=Audit&amp;VAR:KEY=UHKPODUPWH&amp;VAR:QUERY=KENTRl9JTlRBTkcoUVRSX1IsMzMwNTMpQFdTRl9JTlRBTkcoUVRSLDMzMDUzKSk=&amp;WINDOW=FIRST_POPUP&amp;H","EIGHT=450&amp;WIDTH=450&amp;START_MAXIMIZED=FALSE&amp;VAR:CALENDAR=US&amp;VAR:SYMBOL=AMD&amp;VAR:INDEX=0"}</definedName>
    <definedName name="_244__FDSAUDITLINK__" hidden="1">{"fdsup://directions/FAT Viewer?action=UPDATE&amp;creator=factset&amp;DYN_ARGS=TRUE&amp;DOC_NAME=FAT:FQL_AUDITING_CLIENT_TEMPLATE.FAT&amp;display_string=Audit&amp;VAR:KEY=MDWHUFCHOV&amp;VAR:QUERY=KENTRl9DT01fU0hTX09VVF9FUFNfRElMKFFUUl9SLDMzMDI0KUBXU0ZfQ09NX1NIU19PVVRfRVBTX0RJTChRV","FIsMzMwMjQpKQ==&amp;WINDOW=FIRST_POPUP&amp;HEIGHT=450&amp;WIDTH=450&amp;START_MAXIMIZED=FALSE&amp;VAR:CALENDAR=US&amp;VAR:SYMBOL=AMD&amp;VAR:INDEX=0"}</definedName>
    <definedName name="_245__FDSAUDITLINK__" hidden="1">{"fdsup://directions/FAT Viewer?action=UPDATE&amp;creator=factset&amp;DYN_ARGS=TRUE&amp;DOC_NAME=FAT:FQL_AUDITING_CLIENT_TEMPLATE.FAT&amp;display_string=Audit&amp;VAR:KEY=OHQDWBINOJ&amp;VAR:QUERY=KENTRl9JTlRBTkcoUVRSX1IsMzMwMjQpQFdTRl9JTlRBTkcoUVRSLDMzMDI0KSk=&amp;WINDOW=FIRST_POPUP&amp;H","EIGHT=450&amp;WIDTH=450&amp;START_MAXIMIZED=FALSE&amp;VAR:CALENDAR=US&amp;VAR:SYMBOL=AMD&amp;VAR:INDEX=0"}</definedName>
    <definedName name="_246__FDSAUDITLINK__" hidden="1">{"fdsup://directions/FAT Viewer?action=UPDATE&amp;creator=factset&amp;DYN_ARGS=TRUE&amp;DOC_NAME=FAT:FQL_AUDITING_CLIENT_TEMPLATE.FAT&amp;display_string=Audit&amp;VAR:KEY=OFUXUVUJWN&amp;VAR:QUERY=KENTRl9DT01fU0hTX09VVF9FUFNfRElMKFFUUl9SLDMyOTkzKUBXU0ZfQ09NX1NIU19PVVRfRVBTX0RJTChRV","FIsMzI5OTMpKQ==&amp;WINDOW=FIRST_POPUP&amp;HEIGHT=450&amp;WIDTH=450&amp;START_MAXIMIZED=FALSE&amp;VAR:CALENDAR=US&amp;VAR:SYMBOL=AMD&amp;VAR:INDEX=0"}</definedName>
    <definedName name="_247__FDSAUDITLINK__" hidden="1">{"fdsup://directions/FAT Viewer?action=UPDATE&amp;creator=factset&amp;DYN_ARGS=TRUE&amp;DOC_NAME=FAT:FQL_AUDITING_CLIENT_TEMPLATE.FAT&amp;display_string=Audit&amp;VAR:KEY=IRGPYRITKB&amp;VAR:QUERY=KENTRl9JTlRBTkcoUVRSX1IsMzI5OTMpQFdTRl9JTlRBTkcoUVRSLDMyOTkzKSk=&amp;WINDOW=FIRST_POPUP&amp;H","EIGHT=450&amp;WIDTH=450&amp;START_MAXIMIZED=FALSE&amp;VAR:CALENDAR=US&amp;VAR:SYMBOL=AMD&amp;VAR:INDEX=0"}</definedName>
    <definedName name="_248__FDSAUDITLINK__" hidden="1">{"fdsup://directions/FAT Viewer?action=UPDATE&amp;creator=factset&amp;DYN_ARGS=TRUE&amp;DOC_NAME=FAT:FQL_AUDITING_CLIENT_TEMPLATE.FAT&amp;display_string=Audit&amp;VAR:KEY=WTONQHQDUZ&amp;VAR:QUERY=KENTRl9DT01fU0hTX09VVF9FUFNfRElMKFFUUl9SLDMyOTYyKUBXU0ZfQ09NX1NIU19PVVRfRVBTX0RJTChRV","FIsMzI5NjIpKQ==&amp;WINDOW=FIRST_POPUP&amp;HEIGHT=450&amp;WIDTH=450&amp;START_MAXIMIZED=FALSE&amp;VAR:CALENDAR=US&amp;VAR:SYMBOL=AMD&amp;VAR:INDEX=0"}</definedName>
    <definedName name="_249__FDSAUDITLINK__" hidden="1">{"fdsup://directions/FAT Viewer?action=UPDATE&amp;creator=factset&amp;DYN_ARGS=TRUE&amp;DOC_NAME=FAT:FQL_AUDITING_CLIENT_TEMPLATE.FAT&amp;display_string=Audit&amp;VAR:KEY=QJOLOPGHWH&amp;VAR:QUERY=KENTRl9JTlRBTkcoUVRSX1IsMzI5NjIpQFdTRl9JTlRBTkcoUVRSLDMyOTYyKSk=&amp;WINDOW=FIRST_POPUP&amp;H","EIGHT=450&amp;WIDTH=450&amp;START_MAXIMIZED=FALSE&amp;VAR:CALENDAR=US&amp;VAR:SYMBOL=AMD&amp;VAR:INDEX=0"}</definedName>
    <definedName name="_25__FDSAUDITLINK__" hidden="1">{"fdsup://directions/FAT Viewer?action=UPDATE&amp;creator=factset&amp;DYN_ARGS=TRUE&amp;DOC_NAME=FAT:FQL_AUDITING_CLIENT_TEMPLATE.FAT&amp;display_string=Audit&amp;VAR:KEY=EVMVITULQV&amp;VAR:QUERY=KENTRl9JTlRBTkcoUVRSX1IsMzY1ODUpQFdTRl9JTlRBTkcoUVRSLDM2NTg1KSk=&amp;WINDOW=FIRST_POPUP&amp;H","EIGHT=450&amp;WIDTH=450&amp;START_MAXIMIZED=FALSE&amp;VAR:CALENDAR=US&amp;VAR:SYMBOL=AMD&amp;VAR:INDEX=0"}</definedName>
    <definedName name="_250__FDSAUDITLINK__" hidden="1">{"fdsup://directions/FAT Viewer?action=UPDATE&amp;creator=factset&amp;DYN_ARGS=TRUE&amp;DOC_NAME=FAT:FQL_AUDITING_CLIENT_TEMPLATE.FAT&amp;display_string=Audit&amp;VAR:KEY=KFEZCLCRSD&amp;VAR:QUERY=KENTRl9DT01fU0hTX09VVF9FUFNfRElMKFFUUl9SLDMyOTMyKUBXU0ZfQ09NX1NIU19PVVRfRVBTX0RJTChRV","FIsMzI5MzIpKQ==&amp;WINDOW=FIRST_POPUP&amp;HEIGHT=450&amp;WIDTH=450&amp;START_MAXIMIZED=FALSE&amp;VAR:CALENDAR=US&amp;VAR:SYMBOL=AMD&amp;VAR:INDEX=0"}</definedName>
    <definedName name="_251__FDSAUDITLINK__" hidden="1">{"fdsup://directions/FAT Viewer?action=UPDATE&amp;creator=factset&amp;DYN_ARGS=TRUE&amp;DOC_NAME=FAT:FQL_AUDITING_CLIENT_TEMPLATE.FAT&amp;display_string=Audit&amp;VAR:KEY=OPCBYLCVWF&amp;VAR:QUERY=KENTRl9JTlRBTkcoUVRSX1IsMzI5MzIpQFdTRl9JTlRBTkcoUVRSLDMyOTMyKSk=&amp;WINDOW=FIRST_POPUP&amp;H","EIGHT=450&amp;WIDTH=450&amp;START_MAXIMIZED=FALSE&amp;VAR:CALENDAR=US&amp;VAR:SYMBOL=AMD&amp;VAR:INDEX=0"}</definedName>
    <definedName name="_252__FDSAUDITLINK__" hidden="1">{"fdsup://directions/FAT Viewer?action=UPDATE&amp;creator=factset&amp;DYN_ARGS=TRUE&amp;DOC_NAME=FAT:FQL_AUDITING_CLIENT_TEMPLATE.FAT&amp;display_string=Audit&amp;VAR:KEY=MZMZIRGRQD&amp;VAR:QUERY=KENTRl9DT01fU0hTX09VVF9FUFNfRElMKFFUUl9SLDMyOTA0KUBXU0ZfQ09NX1NIU19PVVRfRVBTX0RJTChRV","FIsMzI5MDQpKQ==&amp;WINDOW=FIRST_POPUP&amp;HEIGHT=450&amp;WIDTH=450&amp;START_MAXIMIZED=FALSE&amp;VAR:CALENDAR=US&amp;VAR:SYMBOL=AMD&amp;VAR:INDEX=0"}</definedName>
    <definedName name="_253__FDSAUDITLINK__" hidden="1">{"fdsup://directions/FAT Viewer?action=UPDATE&amp;creator=factset&amp;DYN_ARGS=TRUE&amp;DOC_NAME=FAT:FQL_AUDITING_CLIENT_TEMPLATE.FAT&amp;display_string=Audit&amp;VAR:KEY=OLWNEPKPEB&amp;VAR:QUERY=KENTRl9JTlRBTkcoUVRSX1IsMzI5MDQpQFdTRl9JTlRBTkcoUVRSLDMyOTA0KSk=&amp;WINDOW=FIRST_POPUP&amp;H","EIGHT=450&amp;WIDTH=450&amp;START_MAXIMIZED=FALSE&amp;VAR:CALENDAR=US&amp;VAR:SYMBOL=AMD&amp;VAR:INDEX=0"}</definedName>
    <definedName name="_254__FDSAUDITLINK__" hidden="1">{"fdsup://directions/FAT Viewer?action=UPDATE&amp;creator=factset&amp;DYN_ARGS=TRUE&amp;DOC_NAME=FAT:FQL_AUDITING_CLIENT_TEMPLATE.FAT&amp;display_string=Audit&amp;VAR:KEY=GTKDCPCRGJ&amp;VAR:QUERY=KENTRl9DT01fU0hTX09VVF9FUFNfRElMKFFUUl9SLDMyODcxKUBXU0ZfQ09NX1NIU19PVVRfRVBTX0RJTChRV","FIsMzI4NzEpKQ==&amp;WINDOW=FIRST_POPUP&amp;HEIGHT=450&amp;WIDTH=450&amp;START_MAXIMIZED=FALSE&amp;VAR:CALENDAR=US&amp;VAR:SYMBOL=AMD&amp;VAR:INDEX=0"}</definedName>
    <definedName name="_255__FDSAUDITLINK__" hidden="1">{"fdsup://directions/FAT Viewer?action=UPDATE&amp;creator=factset&amp;DYN_ARGS=TRUE&amp;DOC_NAME=FAT:FQL_AUDITING_CLIENT_TEMPLATE.FAT&amp;display_string=Audit&amp;VAR:KEY=WFAZYZAZOH&amp;VAR:QUERY=KENTRl9JTlRBTkcoUVRSX1IsMzI4NzEpQFdTRl9JTlRBTkcoUVRSLDMyODcxKSk=&amp;WINDOW=FIRST_POPUP&amp;H","EIGHT=450&amp;WIDTH=450&amp;START_MAXIMIZED=FALSE&amp;VAR:CALENDAR=US&amp;VAR:SYMBOL=AMD&amp;VAR:INDEX=0"}</definedName>
    <definedName name="_256__FDSAUDITLINK__" hidden="1">{"fdsup://directions/FAT Viewer?action=UPDATE&amp;creator=factset&amp;DYN_ARGS=TRUE&amp;DOC_NAME=FAT:FQL_AUDITING_CLIENT_TEMPLATE.FAT&amp;display_string=Audit&amp;VAR:KEY=EZCLCRSDAP&amp;VAR:QUERY=KENTRl9DT01fU0hTX09VVF9FUFNfRElMKFFUUl9SLDQxMDI5KUBXU0ZfQ09NX1NIU19PVVRfRVBTX0RJTChRV","FIsNDEwMjkpKQ==&amp;WINDOW=FIRST_POPUP&amp;HEIGHT=450&amp;WIDTH=450&amp;START_MAXIMIZED=FALSE&amp;VAR:CALENDAR=US&amp;VAR:SYMBOL=AMD&amp;VAR:INDEX=0"}</definedName>
    <definedName name="_257__FDSAUDITLINK__" hidden="1">{"fdsup://directions/FAT Viewer?action=UPDATE&amp;creator=factset&amp;DYN_ARGS=TRUE&amp;DOC_NAME=FAT:FQL_AUDITING_CLIENT_TEMPLATE.FAT&amp;display_string=Audit&amp;VAR:KEY=CBYLCVWFIZ&amp;VAR:QUERY=KENTRl9JTlRBTkcoUVRSX1IsNDEwMjkpQFdTRl9JTlRBTkcoUVRSLDQxMDI5KSk=&amp;WINDOW=FIRST_POPUP&amp;H","EIGHT=450&amp;WIDTH=450&amp;START_MAXIMIZED=FALSE&amp;VAR:CALENDAR=US&amp;VAR:SYMBOL=AMD&amp;VAR:INDEX=0"}</definedName>
    <definedName name="_258__FDSAUDITLINK__" hidden="1">{"fdsup://directions/FAT Viewer?action=UPDATE&amp;creator=factset&amp;DYN_ARGS=TRUE&amp;DOC_NAME=FAT:FQL_AUDITING_CLIENT_TEMPLATE.FAT&amp;display_string=Audit&amp;VAR:KEY=MZIRGRQDQT&amp;VAR:QUERY=KENTRl9TSExEUlNfRVEoUVRSX1IsNDEwMjkpQFdTRl9TSExEUlNfRVEoUVRSLDQxMDI5KSk=&amp;WINDOW=FIRST","_POPUP&amp;HEIGHT=450&amp;WIDTH=450&amp;START_MAXIMIZED=FALSE&amp;VAR:CALENDAR=US&amp;VAR:SYMBOL=AMD&amp;VAR:INDEX=0"}</definedName>
    <definedName name="_259__FDSAUDITLINK__" hidden="1">{"fdsup://directions/FAT Viewer?action=UPDATE&amp;creator=factset&amp;DYN_ARGS=TRUE&amp;DOC_NAME=FAT:FQL_AUDITING_CLIENT_TEMPLATE.FAT&amp;display_string=Audit&amp;VAR:KEY=WNEPKPEBAB&amp;VAR:QUERY=KENTRl9DT01fU0hTX09VVF9FUFNfRElMKFFUUl9SLDQwOTk5KUBXU0ZfQ09NX1NIU19PVVRfRVBTX0RJTChRV","FIsNDA5OTkpKQ==&amp;WINDOW=FIRST_POPUP&amp;HEIGHT=450&amp;WIDTH=450&amp;START_MAXIMIZED=FALSE&amp;VAR:CALENDAR=US&amp;VAR:SYMBOL=AMD&amp;VAR:INDEX=0"}</definedName>
    <definedName name="_26__FDSAUDITLINK__" hidden="1">{"fdsup://directions/FAT Viewer?action=UPDATE&amp;creator=factset&amp;DYN_ARGS=TRUE&amp;DOC_NAME=FAT:FQL_AUDITING_CLIENT_TEMPLATE.FAT&amp;display_string=Audit&amp;VAR:KEY=AZSVKVINOD&amp;VAR:QUERY=KENTRl9JTlRBTkcoUVRSX1IsMzY1NTYpQFdTRl9JTlRBTkcoUVRSLDM2NTU2KSk=&amp;WINDOW=FIRST_POPUP&amp;H","EIGHT=450&amp;WIDTH=450&amp;START_MAXIMIZED=FALSE&amp;VAR:CALENDAR=US&amp;VAR:SYMBOL=AMD&amp;VAR:INDEX=0"}</definedName>
    <definedName name="_260__FDSAUDITLINK__" hidden="1">{"fdsup://directions/FAT Viewer?action=UPDATE&amp;creator=factset&amp;DYN_ARGS=TRUE&amp;DOC_NAME=FAT:FQL_AUDITING_CLIENT_TEMPLATE.FAT&amp;display_string=Audit&amp;VAR:KEY=KDCPCRGJOX&amp;VAR:QUERY=KENTRl9JTlRBTkcoUVRSX1IsNDA5OTkpQFdTRl9JTlRBTkcoUVRSLDQwOTk5KSk=&amp;WINDOW=FIRST_POPUP&amp;H","EIGHT=450&amp;WIDTH=450&amp;START_MAXIMIZED=FALSE&amp;VAR:CALENDAR=US&amp;VAR:SYMBOL=AMD&amp;VAR:INDEX=0"}</definedName>
    <definedName name="_261__FDSAUDITLINK__" hidden="1">{"fdsup://directions/FAT Viewer?action=UPDATE&amp;creator=factset&amp;DYN_ARGS=TRUE&amp;DOC_NAME=FAT:FQL_AUDITING_CLIENT_TEMPLATE.FAT&amp;display_string=Audit&amp;VAR:KEY=AZYZAZOHSN&amp;VAR:QUERY=KENTRl9TSExEUlNfRVEoUVRSX1IsNDA5OTkpQFdTRl9TSExEUlNfRVEoUVRSLDQwOTk5KSk=&amp;WINDOW=FIRST","_POPUP&amp;HEIGHT=450&amp;WIDTH=450&amp;START_MAXIMIZED=FALSE&amp;VAR:CALENDAR=US&amp;VAR:SYMBOL=AMD&amp;VAR:INDEX=0"}</definedName>
    <definedName name="_262__FDSAUDITLINK__" hidden="1">{"fdsup://directions/FAT Viewer?action=UPDATE&amp;creator=factset&amp;DYN_ARGS=TRUE&amp;DOC_NAME=FAT:FQL_AUDITING_CLIENT_TEMPLATE.FAT&amp;display_string=Audit&amp;VAR:KEY=UVAFIDWRYV&amp;VAR:QUERY=KENTRl9JTlRBTkcoUVRSX1IsMzc0MzUpQFdTRl9JTlRBTkcoUVRSLDM3NDM1KSk=&amp;WINDOW=FIRST_POPUP&amp;H","EIGHT=450&amp;WIDTH=450&amp;START_MAXIMIZED=FALSE&amp;VAR:CALENDAR=US&amp;VAR:SYMBOL=ARX&amp;VAR:INDEX=0"}</definedName>
    <definedName name="_263__FDSAUDITLINK__" hidden="1">{"fdsup://directions/FAT Viewer?action=UPDATE&amp;creator=factset&amp;DYN_ARGS=TRUE&amp;DOC_NAME=FAT:FQL_AUDITING_CLIENT_TEMPLATE.FAT&amp;display_string=Audit&amp;VAR:KEY=MJAJGDCFAV&amp;VAR:QUERY=KENTRl9TSExEUlNfRVEoUVRSX1IsMzc0MzUpQFdTRl9TSExEUlNfRVEoUVRSLDM3NDM1KSk=&amp;WINDOW=FIRST","_POPUP&amp;HEIGHT=450&amp;WIDTH=450&amp;START_MAXIMIZED=FALSE&amp;VAR:CALENDAR=US&amp;VAR:SYMBOL=ARX&amp;VAR:INDEX=0"}</definedName>
    <definedName name="_264__FDSAUDITLINK__" hidden="1">{"fdsup://directions/FAT Viewer?action=UPDATE&amp;creator=factset&amp;DYN_ARGS=TRUE&amp;DOC_NAME=FAT:FQL_AUDITING_CLIENT_TEMPLATE.FAT&amp;display_string=Audit&amp;VAR:KEY=GDEHYLSTET&amp;VAR:QUERY=KENTRl9DT01fU0hTX09VVF9FUFNfRElMKFFUUl9SLDM3NDA3KUBXU0ZfQ09NX1NIU19PVVRfRVBTX0RJTChRV","FIsMzc0MDcpKQ==&amp;WINDOW=FIRST_POPUP&amp;HEIGHT=450&amp;WIDTH=450&amp;START_MAXIMIZED=FALSE&amp;VAR:CALENDAR=US&amp;VAR:SYMBOL=ARX&amp;VAR:INDEX=0"}</definedName>
    <definedName name="_265__FDSAUDITLINK__" hidden="1">{"fdsup://directions/FAT Viewer?action=UPDATE&amp;creator=factset&amp;DYN_ARGS=TRUE&amp;DOC_NAME=FAT:FQL_AUDITING_CLIENT_TEMPLATE.FAT&amp;display_string=Audit&amp;VAR:KEY=MBMBGDUVIT&amp;VAR:QUERY=KENTRl9TSExEUlNfRVEoUVRSX1IsNDEwOTApQFdTRl9TSExEUlNfRVEoUVRSLDQxMDkwKSk=&amp;WINDOW=FIRST","_POPUP&amp;HEIGHT=450&amp;WIDTH=450&amp;START_MAXIMIZED=FALSE&amp;VAR:CALENDAR=US&amp;VAR:SYMBOL=AMD&amp;VAR:INDEX=0"}</definedName>
    <definedName name="_266__FDSAUDITLINK__" hidden="1">{"fdsup://directions/FAT Viewer?action=UPDATE&amp;creator=factset&amp;DYN_ARGS=TRUE&amp;DOC_NAME=FAT:FQL_AUDITING_CLIENT_TEMPLATE.FAT&amp;display_string=Audit&amp;VAR:KEY=GHMLMVQLGL&amp;VAR:QUERY=KENTRl9JTlRBTkcoUVRSX1IsNDEwOTApQFdTRl9JTlRBTkcoUVRSLDQxMDkwKSk=&amp;WINDOW=FIRST_POPUP&amp;H","EIGHT=450&amp;WIDTH=450&amp;START_MAXIMIZED=FALSE&amp;VAR:CALENDAR=US&amp;VAR:SYMBOL=AMD&amp;VAR:INDEX=0"}</definedName>
    <definedName name="_267__FDSAUDITLINK__" hidden="1">{"fdsup://directions/FAT Viewer?action=UPDATE&amp;creator=factset&amp;DYN_ARGS=TRUE&amp;DOC_NAME=FAT:FQL_AUDITING_CLIENT_TEMPLATE.FAT&amp;display_string=Audit&amp;VAR:KEY=KVGVQJQJSV&amp;VAR:QUERY=KENTRl9DT01fU0hTX09VVF9FUFNfRElMKFFUUl9SLDQxMDkwKUBXU0ZfQ09NX1NIU19PVVRfRVBTX0RJTChRV","FIsNDEwOTApKQ==&amp;WINDOW=FIRST_POPUP&amp;HEIGHT=450&amp;WIDTH=450&amp;START_MAXIMIZED=FALSE&amp;VAR:CALENDAR=US&amp;VAR:SYMBOL=AMD&amp;VAR:INDEX=0"}</definedName>
    <definedName name="_268__FDSAUDITLINK__" hidden="1">{"fdsup://directions/FAT Viewer?action=UPDATE&amp;creator=factset&amp;DYN_ARGS=TRUE&amp;DOC_NAME=FAT:FQL_AUDITING_CLIENT_TEMPLATE.FAT&amp;display_string=Audit&amp;VAR:KEY=ENADMRKBAP&amp;VAR:QUERY=KENTRl9JTlRBTkcoUVRSX1IsMzczNzYpQFdTRl9JTlRBTkcoUVRSLDM3Mzc2KSk=&amp;WINDOW=FIRST_POPUP&amp;H","EIGHT=450&amp;WIDTH=450&amp;START_MAXIMIZED=FALSE&amp;VAR:CALENDAR=US&amp;VAR:SYMBOL=ARX&amp;VAR:INDEX=0"}</definedName>
    <definedName name="_269__FDSAUDITLINK__" hidden="1">{"fdsup://directions/FAT Viewer?action=UPDATE&amp;creator=factset&amp;DYN_ARGS=TRUE&amp;DOC_NAME=FAT:FQL_AUDITING_CLIENT_TEMPLATE.FAT&amp;display_string=Audit&amp;VAR:KEY=AJAJEJSVUD&amp;VAR:QUERY=KENTRl9TSExEUlNfRVEoUVRSX1IsMzczNzYpQFdTRl9TSExEUlNfRVEoUVRSLDM3Mzc2KSk=&amp;WINDOW=FIRST","_POPUP&amp;HEIGHT=450&amp;WIDTH=450&amp;START_MAXIMIZED=FALSE&amp;VAR:CALENDAR=US&amp;VAR:SYMBOL=ARX&amp;VAR:INDEX=0"}</definedName>
    <definedName name="_27__FDSAUDITLINK__" hidden="1">{"fdsup://directions/FAT Viewer?action=UPDATE&amp;creator=factset&amp;DYN_ARGS=TRUE&amp;DOC_NAME=FAT:FQL_AUDITING_CLIENT_TEMPLATE.FAT&amp;display_string=Audit&amp;VAR:KEY=CZWFQBERIZ&amp;VAR:QUERY=KENTRl9JTlRBTkcoUVRSX1IsMzY1MjUpQFdTRl9JTlRBTkcoUVRSLDM2NTI1KSk=&amp;WINDOW=FIRST_POPUP&amp;H","EIGHT=450&amp;WIDTH=450&amp;START_MAXIMIZED=FALSE&amp;VAR:CALENDAR=US&amp;VAR:SYMBOL=AMD&amp;VAR:INDEX=0"}</definedName>
    <definedName name="_270__FDSAUDITLINK__" hidden="1">{"fdsup://directions/FAT Viewer?action=UPDATE&amp;creator=factset&amp;DYN_ARGS=TRUE&amp;DOC_NAME=FAT:FQL_AUDITING_CLIENT_TEMPLATE.FAT&amp;display_string=Audit&amp;VAR:KEY=IHORKVUXCT&amp;VAR:QUERY=KENTRl9DT01fU0hTX09VVF9FUFNfRElMKFFUUl9SLDM3MzQzKUBXU0ZfQ09NX1NIU19PVVRfRVBTX0RJTChRV","FIsMzczNDMpKQ==&amp;WINDOW=FIRST_POPUP&amp;HEIGHT=450&amp;WIDTH=450&amp;START_MAXIMIZED=FALSE&amp;VAR:CALENDAR=US&amp;VAR:SYMBOL=ARX&amp;VAR:INDEX=0"}</definedName>
    <definedName name="_271__FDSAUDITLINK__" hidden="1">{"fdsup://directions/FAT Viewer?action=UPDATE&amp;creator=factset&amp;DYN_ARGS=TRUE&amp;DOC_NAME=FAT:FQL_AUDITING_CLIENT_TEMPLATE.FAT&amp;display_string=Audit&amp;VAR:KEY=MLMJMHMVED&amp;VAR:QUERY=KENTRl9JTlRBTkcoUVRSX1IsMzczNDMpQFdTRl9JTlRBTkcoUVRSLDM3MzQzKSk=&amp;WINDOW=FIRST_POPUP&amp;H","EIGHT=450&amp;WIDTH=450&amp;START_MAXIMIZED=FALSE&amp;VAR:CALENDAR=US&amp;VAR:SYMBOL=ARX&amp;VAR:INDEX=0"}</definedName>
    <definedName name="_272__FDSAUDITLINK__" hidden="1">{"fdsup://directions/FAT Viewer?action=UPDATE&amp;creator=factset&amp;DYN_ARGS=TRUE&amp;DOC_NAME=FAT:FQL_AUDITING_CLIENT_TEMPLATE.FAT&amp;display_string=Audit&amp;VAR:KEY=INILYXGTWR&amp;VAR:QUERY=KENTRl9TSExEUlNfRVEoUVRSX1IsMzczNDMpQFdTRl9TSExEUlNfRVEoUVRSLDM3MzQzKSk=&amp;WINDOW=FIRST","_POPUP&amp;HEIGHT=450&amp;WIDTH=450&amp;START_MAXIMIZED=FALSE&amp;VAR:CALENDAR=US&amp;VAR:SYMBOL=ARX&amp;VAR:INDEX=0"}</definedName>
    <definedName name="_273__FDSAUDITLINK__" hidden="1">{"fdsup://directions/FAT Viewer?action=UPDATE&amp;creator=factset&amp;DYN_ARGS=TRUE&amp;DOC_NAME=FAT:FQL_AUDITING_CLIENT_TEMPLATE.FAT&amp;display_string=Audit&amp;VAR:KEY=OXAJADGZIL&amp;VAR:QUERY=KENTRl9DT01fU0hTX09VVF9FUFNfRElMKFFUUl9SLDM3MzE1KUBXU0ZfQ09NX1NIU19PVVRfRVBTX0RJTChRV","FIsMzczMTUpKQ==&amp;WINDOW=FIRST_POPUP&amp;HEIGHT=450&amp;WIDTH=450&amp;START_MAXIMIZED=FALSE&amp;VAR:CALENDAR=US&amp;VAR:SYMBOL=ARX&amp;VAR:INDEX=0"}</definedName>
    <definedName name="_274__FDSAUDITLINK__" hidden="1">{"fdsup://directions/FAT Viewer?action=UPDATE&amp;creator=factset&amp;DYN_ARGS=TRUE&amp;DOC_NAME=FAT:FQL_AUDITING_CLIENT_TEMPLATE.FAT&amp;display_string=Audit&amp;VAR:KEY=SPUTGLKPIB&amp;VAR:QUERY=KENTRl9JTlRBTkcoUVRSX1IsMzczMTUpQFdTRl9JTlRBTkcoUVRSLDM3MzE1KSk=&amp;WINDOW=FIRST_POPUP&amp;H","EIGHT=450&amp;WIDTH=450&amp;START_MAXIMIZED=FALSE&amp;VAR:CALENDAR=US&amp;VAR:SYMBOL=ARX&amp;VAR:INDEX=0"}</definedName>
    <definedName name="_275__FDSAUDITLINK__" hidden="1">{"fdsup://directions/FAT Viewer?action=UPDATE&amp;creator=factset&amp;DYN_ARGS=TRUE&amp;DOC_NAME=FAT:FQL_AUDITING_CLIENT_TEMPLATE.FAT&amp;display_string=Audit&amp;VAR:KEY=WPWHIVULOP&amp;VAR:QUERY=KENTRl9TSExEUlNfRVEoUVRSX1IsMzczMTUpQFdTRl9TSExEUlNfRVEoUVRSLDM3MzE1KSk=&amp;WINDOW=FIRST","_POPUP&amp;HEIGHT=450&amp;WIDTH=450&amp;START_MAXIMIZED=FALSE&amp;VAR:CALENDAR=US&amp;VAR:SYMBOL=ARX&amp;VAR:INDEX=0"}</definedName>
    <definedName name="_276__FDSAUDITLINK__" hidden="1">{"fdsup://directions/FAT Viewer?action=UPDATE&amp;creator=factset&amp;DYN_ARGS=TRUE&amp;DOC_NAME=FAT:FQL_AUDITING_CLIENT_TEMPLATE.FAT&amp;display_string=Audit&amp;VAR:KEY=KJYHEBOTUL&amp;VAR:QUERY=KENTRl9DT01fU0hTX09VVF9FUFNfRElMKFFUUl9SLDM3Mjg3KUBXU0ZfQ09NX1NIU19PVVRfRVBTX0RJTChRV","FIsMzcyODcpKQ==&amp;WINDOW=FIRST_POPUP&amp;HEIGHT=450&amp;WIDTH=450&amp;START_MAXIMIZED=FALSE&amp;VAR:CALENDAR=US&amp;VAR:SYMBOL=ARX&amp;VAR:INDEX=0"}</definedName>
    <definedName name="_277__FDSAUDITLINK__" hidden="1">{"fdsup://directions/FAT Viewer?action=UPDATE&amp;creator=factset&amp;DYN_ARGS=TRUE&amp;DOC_NAME=FAT:FQL_AUDITING_CLIENT_TEMPLATE.FAT&amp;display_string=Audit&amp;VAR:KEY=GTYNGXCREV&amp;VAR:QUERY=KENTRl9JTlRBTkcoUVRSX1IsMzcyODcpQFdTRl9JTlRBTkcoUVRSLDM3Mjg3KSk=&amp;WINDOW=FIRST_POPUP&amp;H","EIGHT=450&amp;WIDTH=450&amp;START_MAXIMIZED=FALSE&amp;VAR:CALENDAR=US&amp;VAR:SYMBOL=ARX&amp;VAR:INDEX=0"}</definedName>
    <definedName name="_278__FDSAUDITLINK__" hidden="1">{"fdsup://directions/FAT Viewer?action=UPDATE&amp;creator=factset&amp;DYN_ARGS=TRUE&amp;DOC_NAME=FAT:FQL_AUDITING_CLIENT_TEMPLATE.FAT&amp;display_string=Audit&amp;VAR:KEY=ULODEBOZIX&amp;VAR:QUERY=KENTRl9TSExEUlNfRVEoUVRSX1IsMzcyODcpQFdTRl9TSExEUlNfRVEoUVRSLDM3Mjg3KSk=&amp;WINDOW=FIRST","_POPUP&amp;HEIGHT=450&amp;WIDTH=450&amp;START_MAXIMIZED=FALSE&amp;VAR:CALENDAR=US&amp;VAR:SYMBOL=ARX&amp;VAR:INDEX=0"}</definedName>
    <definedName name="_279__FDSAUDITLINK__" hidden="1">{"fdsup://directions/FAT Viewer?action=UPDATE&amp;creator=factset&amp;DYN_ARGS=TRUE&amp;DOC_NAME=FAT:FQL_AUDITING_CLIENT_TEMPLATE.FAT&amp;display_string=Audit&amp;VAR:KEY=MJETYXEDAT&amp;VAR:QUERY=KENTRl9DT01fU0hTX09VVF9FUFNfRElMKFFUUl9SLDM3MjU2KUBXU0ZfQ09NX1NIU19PVVRfRVBTX0RJTChRV","FIsMzcyNTYpKQ==&amp;WINDOW=FIRST_POPUP&amp;HEIGHT=450&amp;WIDTH=450&amp;START_MAXIMIZED=FALSE&amp;VAR:CALENDAR=US&amp;VAR:SYMBOL=ARX&amp;VAR:INDEX=0"}</definedName>
    <definedName name="_28__FDSAUDITLINK__" hidden="1">{"fdsup://directions/FAT Viewer?action=UPDATE&amp;creator=factset&amp;DYN_ARGS=TRUE&amp;DOC_NAME=FAT:FQL_AUDITING_CLIENT_TEMPLATE.FAT&amp;display_string=Audit&amp;VAR:KEY=OFIZMPANOL&amp;VAR:QUERY=KENTRl9JTlRBTkcoUVRSX1IsMzY0OTQpQFdTRl9JTlRBTkcoUVRSLDM2NDk0KSk=&amp;WINDOW=FIRST_POPUP&amp;H","EIGHT=450&amp;WIDTH=450&amp;START_MAXIMIZED=FALSE&amp;VAR:CALENDAR=US&amp;VAR:SYMBOL=AMD&amp;VAR:INDEX=0"}</definedName>
    <definedName name="_280__FDSAUDITLINK__" hidden="1">{"fdsup://directions/FAT Viewer?action=UPDATE&amp;creator=factset&amp;DYN_ARGS=TRUE&amp;DOC_NAME=FAT:FQL_AUDITING_CLIENT_TEMPLATE.FAT&amp;display_string=Audit&amp;VAR:KEY=GLIFKDAFQZ&amp;VAR:QUERY=KENTRl9JTlRBTkcoUVRSX1IsMzcyNTYpQFdTRl9JTlRBTkcoUVRSLDM3MjU2KSk=&amp;WINDOW=FIRST_POPUP&amp;H","EIGHT=450&amp;WIDTH=450&amp;START_MAXIMIZED=FALSE&amp;VAR:CALENDAR=US&amp;VAR:SYMBOL=ARX&amp;VAR:INDEX=0"}</definedName>
    <definedName name="_281__FDSAUDITLINK__" hidden="1">{"fdsup://directions/FAT Viewer?action=UPDATE&amp;creator=factset&amp;DYN_ARGS=TRUE&amp;DOC_NAME=FAT:FQL_AUDITING_CLIENT_TEMPLATE.FAT&amp;display_string=Audit&amp;VAR:KEY=EZOBMNEJMN&amp;VAR:QUERY=KENTRl9TSExEUlNfRVEoUVRSX1IsMzcyNTYpQFdTRl9TSExEUlNfRVEoUVRSLDM3MjU2KSk=&amp;WINDOW=FIRST","_POPUP&amp;HEIGHT=450&amp;WIDTH=450&amp;START_MAXIMIZED=FALSE&amp;VAR:CALENDAR=US&amp;VAR:SYMBOL=ARX&amp;VAR:INDEX=0"}</definedName>
    <definedName name="_282__FDSAUDITLINK__" hidden="1">{"fdsup://directions/FAT Viewer?action=UPDATE&amp;creator=factset&amp;DYN_ARGS=TRUE&amp;DOC_NAME=FAT:FQL_AUDITING_CLIENT_TEMPLATE.FAT&amp;display_string=Audit&amp;VAR:KEY=QXKTSLOBCL&amp;VAR:QUERY=KENTRl9DT01fU0hTX09VVF9FUFNfRElMKFFUUl9SLDM3MjI1KUBXU0ZfQ09NX1NIU19PVVRfRVBTX0RJTChRV","FIsMzcyMjUpKQ==&amp;WINDOW=FIRST_POPUP&amp;HEIGHT=450&amp;WIDTH=450&amp;START_MAXIMIZED=FALSE&amp;VAR:CALENDAR=US&amp;VAR:SYMBOL=ARX&amp;VAR:INDEX=0"}</definedName>
    <definedName name="_283__FDSAUDITLINK__" hidden="1">{"fdsup://directions/FAT Viewer?action=UPDATE&amp;creator=factset&amp;DYN_ARGS=TRUE&amp;DOC_NAME=FAT:FQL_AUDITING_CLIENT_TEMPLATE.FAT&amp;display_string=Audit&amp;VAR:KEY=UVWJCPEZOL&amp;VAR:QUERY=KENTRl9JTlRBTkcoUVRSX1IsMzcyMjUpQFdTRl9JTlRBTkcoUVRSLDM3MjI1KSk=&amp;WINDOW=FIRST_POPUP&amp;H","EIGHT=450&amp;WIDTH=450&amp;START_MAXIMIZED=FALSE&amp;VAR:CALENDAR=US&amp;VAR:SYMBOL=ARX&amp;VAR:INDEX=0"}</definedName>
    <definedName name="_284__FDSAUDITLINK__" hidden="1">{"fdsup://directions/FAT Viewer?action=UPDATE&amp;creator=factset&amp;DYN_ARGS=TRUE&amp;DOC_NAME=FAT:FQL_AUDITING_CLIENT_TEMPLATE.FAT&amp;display_string=Audit&amp;VAR:KEY=YZCLGVATCB&amp;VAR:QUERY=KENTRl9TSExEUlNfRVEoUVRSX1IsMzcyMjUpQFdTRl9TSExEUlNfRVEoUVRSLDM3MjI1KSk=&amp;WINDOW=FIRST","_POPUP&amp;HEIGHT=450&amp;WIDTH=450&amp;START_MAXIMIZED=FALSE&amp;VAR:CALENDAR=US&amp;VAR:SYMBOL=ARX&amp;VAR:INDEX=0"}</definedName>
    <definedName name="_285__FDSAUDITLINK__" hidden="1">{"fdsup://directions/FAT Viewer?action=UPDATE&amp;creator=factset&amp;DYN_ARGS=TRUE&amp;DOC_NAME=FAT:FQL_AUDITING_CLIENT_TEMPLATE.FAT&amp;display_string=Audit&amp;VAR:KEY=EHEXUNKXMP&amp;VAR:QUERY=KENTRl9DT01fU0hTX09VVF9FUFNfRElMKFFUUl9SLDM3MTk1KUBXU0ZfQ09NX1NIU19PVVRfRVBTX0RJTChRV","FIsMzcxOTUpKQ==&amp;WINDOW=FIRST_POPUP&amp;HEIGHT=450&amp;WIDTH=450&amp;START_MAXIMIZED=FALSE&amp;VAR:CALENDAR=US&amp;VAR:SYMBOL=ARX&amp;VAR:INDEX=0"}</definedName>
    <definedName name="_286__FDSAUDITLINK__" hidden="1">{"fdsup://directions/FAT Viewer?action=UPDATE&amp;creator=factset&amp;DYN_ARGS=TRUE&amp;DOC_NAME=FAT:FQL_AUDITING_CLIENT_TEMPLATE.FAT&amp;display_string=Audit&amp;VAR:KEY=IXWFSXQJIL&amp;VAR:QUERY=KENTRl9JTlRBTkcoUVRSX1IsMzcxOTUpQFdTRl9JTlRBTkcoUVRSLDM3MTk1KSk=&amp;WINDOW=FIRST_POPUP&amp;H","EIGHT=450&amp;WIDTH=450&amp;START_MAXIMIZED=FALSE&amp;VAR:CALENDAR=US&amp;VAR:SYMBOL=ARX&amp;VAR:INDEX=0"}</definedName>
    <definedName name="_287__FDSAUDITLINK__" hidden="1">{"fdsup://directions/FAT Viewer?action=UPDATE&amp;creator=factset&amp;DYN_ARGS=TRUE&amp;DOC_NAME=FAT:FQL_AUDITING_CLIENT_TEMPLATE.FAT&amp;display_string=Audit&amp;VAR:KEY=QBATWZSDAF&amp;VAR:QUERY=KENTRl9TSExEUlNfRVEoUVRSX1IsMzcxOTUpQFdTRl9TSExEUlNfRVEoUVRSLDM3MTk1KSk=&amp;WINDOW=FIRST","_POPUP&amp;HEIGHT=450&amp;WIDTH=450&amp;START_MAXIMIZED=FALSE&amp;VAR:CALENDAR=US&amp;VAR:SYMBOL=ARX&amp;VAR:INDEX=0"}</definedName>
    <definedName name="_288__FDSAUDITLINK__" hidden="1">{"fdsup://directions/FAT Viewer?action=UPDATE&amp;creator=factset&amp;DYN_ARGS=TRUE&amp;DOC_NAME=FAT:FQL_AUDITING_CLIENT_TEMPLATE.FAT&amp;display_string=Audit&amp;VAR:KEY=ENMVCLCJKJ&amp;VAR:QUERY=KENTRl9DT01fU0hTX09VVF9FUFNfRElMKFFUUl9SLDM3MTYyKUBXU0ZfQ09NX1NIU19PVVRfRVBTX0RJTChRV","FIsMzcxNjIpKQ==&amp;WINDOW=FIRST_POPUP&amp;HEIGHT=450&amp;WIDTH=450&amp;START_MAXIMIZED=FALSE&amp;VAR:CALENDAR=US&amp;VAR:SYMBOL=ARX&amp;VAR:INDEX=0"}</definedName>
    <definedName name="_289__FDSAUDITLINK__" hidden="1">{"fdsup://directions/FAT Viewer?action=UPDATE&amp;creator=factset&amp;DYN_ARGS=TRUE&amp;DOC_NAME=FAT:FQL_AUDITING_CLIENT_TEMPLATE.FAT&amp;display_string=Audit&amp;VAR:KEY=KLCDCTENSD&amp;VAR:QUERY=KENTRl9JTlRBTkcoUVRSX1IsMzcxNjIpQFdTRl9JTlRBTkcoUVRSLDM3MTYyKSk=&amp;WINDOW=FIRST_POPUP&amp;H","EIGHT=450&amp;WIDTH=450&amp;START_MAXIMIZED=FALSE&amp;VAR:CALENDAR=US&amp;VAR:SYMBOL=ARX&amp;VAR:INDEX=0"}</definedName>
    <definedName name="_29__FDSAUDITLINK__" hidden="1">{"fdsup://directions/FAT Viewer?action=UPDATE&amp;creator=factset&amp;DYN_ARGS=TRUE&amp;DOC_NAME=FAT:FQL_AUDITING_CLIENT_TEMPLATE.FAT&amp;display_string=Audit&amp;VAR:KEY=QDYPCNUPAH&amp;VAR:QUERY=KENTRl9JTlRBTkcoUVRSX1IsMzY0NjIpQFdTRl9JTlRBTkcoUVRSLDM2NDYyKSk=&amp;WINDOW=FIRST_POPUP&amp;H","EIGHT=450&amp;WIDTH=450&amp;START_MAXIMIZED=FALSE&amp;VAR:CALENDAR=US&amp;VAR:SYMBOL=AMD&amp;VAR:INDEX=0"}</definedName>
    <definedName name="_290__FDSAUDITLINK__" hidden="1">{"fdsup://directions/FAT Viewer?action=UPDATE&amp;creator=factset&amp;DYN_ARGS=TRUE&amp;DOC_NAME=FAT:FQL_AUDITING_CLIENT_TEMPLATE.FAT&amp;display_string=Audit&amp;VAR:KEY=SBOHUDSDOF&amp;VAR:QUERY=KENTRl9TSExEUlNfRVEoUVRSX1IsMzcxNjIpQFdTRl9TSExEUlNfRVEoUVRSLDM3MTYyKSk=&amp;WINDOW=FIRST","_POPUP&amp;HEIGHT=450&amp;WIDTH=450&amp;START_MAXIMIZED=FALSE&amp;VAR:CALENDAR=US&amp;VAR:SYMBOL=ARX&amp;VAR:INDEX=0"}</definedName>
    <definedName name="_291__FDSAUDITLINK__" hidden="1">{"fdsup://directions/FAT Viewer?action=UPDATE&amp;creator=factset&amp;DYN_ARGS=TRUE&amp;DOC_NAME=FAT:FQL_AUDITING_CLIENT_TEMPLATE.FAT&amp;display_string=Audit&amp;VAR:KEY=CVAPOVAPIJ&amp;VAR:QUERY=KENTRl9DT01fU0hTX09VVF9FUFNfRElMKFFUUl9SLDM3MTM0KUBXU0ZfQ09NX1NIU19PVVRfRVBTX0RJTChRV","FIsMzcxMzQpKQ==&amp;WINDOW=FIRST_POPUP&amp;HEIGHT=450&amp;WIDTH=450&amp;START_MAXIMIZED=FALSE&amp;VAR:CALENDAR=US&amp;VAR:SYMBOL=ARX&amp;VAR:INDEX=0"}</definedName>
    <definedName name="_292__FDSAUDITLINK__" hidden="1">{"fdsup://directions/FAT Viewer?action=UPDATE&amp;creator=factset&amp;DYN_ARGS=TRUE&amp;DOC_NAME=FAT:FQL_AUDITING_CLIENT_TEMPLATE.FAT&amp;display_string=Audit&amp;VAR:KEY=ONWTSFKDUB&amp;VAR:QUERY=KENTRl9JTlRBTkcoUVRSX1IsMzcxMzQpQFdTRl9JTlRBTkcoUVRSLDM3MTM0KSk=&amp;WINDOW=FIRST_POPUP&amp;H","EIGHT=450&amp;WIDTH=450&amp;START_MAXIMIZED=FALSE&amp;VAR:CALENDAR=US&amp;VAR:SYMBOL=ARX&amp;VAR:INDEX=0"}</definedName>
    <definedName name="_293__FDSAUDITLINK__" hidden="1">{"fdsup://directions/FAT Viewer?action=UPDATE&amp;creator=factset&amp;DYN_ARGS=TRUE&amp;DOC_NAME=FAT:FQL_AUDITING_CLIENT_TEMPLATE.FAT&amp;display_string=Audit&amp;VAR:KEY=GRYBUBOJIX&amp;VAR:QUERY=KENTRl9TSExEUlNfRVEoUVRSX1IsMzcxMzQpQFdTRl9TSExEUlNfRVEoUVRSLDM3MTM0KSk=&amp;WINDOW=FIRST","_POPUP&amp;HEIGHT=450&amp;WIDTH=450&amp;START_MAXIMIZED=FALSE&amp;VAR:CALENDAR=US&amp;VAR:SYMBOL=ARX&amp;VAR:INDEX=0"}</definedName>
    <definedName name="_294__FDSAUDITLINK__" hidden="1">{"fdsup://directions/FAT Viewer?action=UPDATE&amp;creator=factset&amp;DYN_ARGS=TRUE&amp;DOC_NAME=FAT:FQL_AUDITING_CLIENT_TEMPLATE.FAT&amp;display_string=Audit&amp;VAR:KEY=QFQXQBEZOZ&amp;VAR:QUERY=KENTRl9DT01fU0hTX09VVF9FUFNfRElMKFFUUl9SLDM3MTAzKUBXU0ZfQ09NX1NIU19PVVRfRVBTX0RJTChRV","FIsMzcxMDMpKQ==&amp;WINDOW=FIRST_POPUP&amp;HEIGHT=450&amp;WIDTH=450&amp;START_MAXIMIZED=FALSE&amp;VAR:CALENDAR=US&amp;VAR:SYMBOL=ARX&amp;VAR:INDEX=0"}</definedName>
    <definedName name="_295__FDSAUDITLINK__" hidden="1">{"fdsup://directions/FAT Viewer?action=UPDATE&amp;creator=factset&amp;DYN_ARGS=TRUE&amp;DOC_NAME=FAT:FQL_AUDITING_CLIENT_TEMPLATE.FAT&amp;display_string=Audit&amp;VAR:KEY=IHQFITOPSZ&amp;VAR:QUERY=KENTRl9JTlRBTkcoUVRSX1IsMzcxMDMpQFdTRl9JTlRBTkcoUVRSLDM3MTAzKSk=&amp;WINDOW=FIRST_POPUP&amp;H","EIGHT=450&amp;WIDTH=450&amp;START_MAXIMIZED=FALSE&amp;VAR:CALENDAR=US&amp;VAR:SYMBOL=ARX&amp;VAR:INDEX=0"}</definedName>
    <definedName name="_296__FDSAUDITLINK__" hidden="1">{"fdsup://directions/FAT Viewer?action=UPDATE&amp;creator=factset&amp;DYN_ARGS=TRUE&amp;DOC_NAME=FAT:FQL_AUDITING_CLIENT_TEMPLATE.FAT&amp;display_string=Audit&amp;VAR:KEY=IJKZEDGLIJ&amp;VAR:QUERY=KENTRl9TSExEUlNfRVEoUVRSX1IsMzcxMDMpQFdTRl9TSExEUlNfRVEoUVRSLDM3MTAzKSk=&amp;WINDOW=FIRST","_POPUP&amp;HEIGHT=450&amp;WIDTH=450&amp;START_MAXIMIZED=FALSE&amp;VAR:CALENDAR=US&amp;VAR:SYMBOL=ARX&amp;VAR:INDEX=0"}</definedName>
    <definedName name="_297__FDSAUDITLINK__" hidden="1">{"fdsup://directions/FAT Viewer?action=UPDATE&amp;creator=factset&amp;DYN_ARGS=TRUE&amp;DOC_NAME=FAT:FQL_AUDITING_CLIENT_TEMPLATE.FAT&amp;display_string=Audit&amp;VAR:KEY=WXABCNQPGZ&amp;VAR:QUERY=KENTRl9DT01fU0hTX09VVF9FUFNfRElMKFFUUl9SLDM3MDcxKUBXU0ZfQ09NX1NIU19PVVRfRVBTX0RJTChRV","FIsMzcwNzEpKQ==&amp;WINDOW=FIRST_POPUP&amp;HEIGHT=450&amp;WIDTH=450&amp;START_MAXIMIZED=FALSE&amp;VAR:CALENDAR=US&amp;VAR:SYMBOL=ARX&amp;VAR:INDEX=0"}</definedName>
    <definedName name="_298__FDSAUDITLINK__" hidden="1">{"fdsup://directions/FAT Viewer?action=UPDATE&amp;creator=factset&amp;DYN_ARGS=TRUE&amp;DOC_NAME=FAT:FQL_AUDITING_CLIENT_TEMPLATE.FAT&amp;display_string=Audit&amp;VAR:KEY=AZMXKHARML&amp;VAR:QUERY=KENTRl9JTlRBTkcoUVRSX1IsMzcwNzEpQFdTRl9JTlRBTkcoUVRSLDM3MDcxKSk=&amp;WINDOW=FIRST_POPUP&amp;H","EIGHT=450&amp;WIDTH=450&amp;START_MAXIMIZED=FALSE&amp;VAR:CALENDAR=US&amp;VAR:SYMBOL=ARX&amp;VAR:INDEX=0"}</definedName>
    <definedName name="_299__FDSAUDITLINK__" hidden="1">{"fdsup://directions/FAT Viewer?action=UPDATE&amp;creator=factset&amp;DYN_ARGS=TRUE&amp;DOC_NAME=FAT:FQL_AUDITING_CLIENT_TEMPLATE.FAT&amp;display_string=Audit&amp;VAR:KEY=SJOLSFOZQN&amp;VAR:QUERY=KENTRl9TSExEUlNfRVEoUVRSX1IsMzcwNzEpQFdTRl9TSExEUlNfRVEoUVRSLDM3MDcxKSk=&amp;WINDOW=FIRST","_POPUP&amp;HEIGHT=450&amp;WIDTH=450&amp;START_MAXIMIZED=FALSE&amp;VAR:CALENDAR=US&amp;VAR:SYMBOL=ARX&amp;VAR:INDEX=0"}</definedName>
    <definedName name="_2Q94">#REF!</definedName>
    <definedName name="_2Q95">#REF!</definedName>
    <definedName name="_3__FDSAUDITLINK__" hidden="1">{"fdsup://directions/FAT Viewer?action=UPDATE&amp;creator=factset&amp;DYN_ARGS=TRUE&amp;DOC_NAME=FAT:FQL_AUDITING_CLIENT_TEMPLATE.FAT&amp;display_string=Audit&amp;VAR:KEY=OZKHOVERYN&amp;VAR:QUERY=KENTRl9JTlRBTkcoUVRSX1IsMzcyNTYpQFdTRl9JTlRBTkcoUVRSLDM3MjU2KSk=&amp;WINDOW=FIRST_POPUP&amp;H","EIGHT=450&amp;WIDTH=450&amp;START_MAXIMIZED=FALSE&amp;VAR:CALENDAR=US&amp;VAR:SYMBOL=AMD&amp;VAR:INDEX=0"}</definedName>
    <definedName name="_30__FDSAUDITLINK__" hidden="1">{"fdsup://directions/FAT Viewer?action=UPDATE&amp;creator=factset&amp;DYN_ARGS=TRUE&amp;DOC_NAME=FAT:FQL_AUDITING_CLIENT_TEMPLATE.FAT&amp;display_string=Audit&amp;VAR:KEY=IZALYPYPUX&amp;VAR:QUERY=KENTRl9JTlRBTkcoUVRSX1IsMzY0MzMpQFdTRl9JTlRBTkcoUVRSLDM2NDMzKSk=&amp;WINDOW=FIRST_POPUP&amp;H","EIGHT=450&amp;WIDTH=450&amp;START_MAXIMIZED=FALSE&amp;VAR:CALENDAR=US&amp;VAR:SYMBOL=AMD&amp;VAR:INDEX=0"}</definedName>
    <definedName name="_300__FDSAUDITLINK__" hidden="1">{"fdsup://directions/FAT Viewer?action=UPDATE&amp;creator=factset&amp;DYN_ARGS=TRUE&amp;DOC_NAME=FAT:FQL_AUDITING_CLIENT_TEMPLATE.FAT&amp;display_string=Audit&amp;VAR:KEY=EXYBOZULOL&amp;VAR:QUERY=KENTRl9DT01fU0hTX09VVF9FUFNfRElMKFFUUl9SLDM3MDQyKUBXU0ZfQ09NX1NIU19PVVRfRVBTX0RJTChRV","FIsMzcwNDIpKQ==&amp;WINDOW=FIRST_POPUP&amp;HEIGHT=450&amp;WIDTH=450&amp;START_MAXIMIZED=FALSE&amp;VAR:CALENDAR=US&amp;VAR:SYMBOL=ARX&amp;VAR:INDEX=0"}</definedName>
    <definedName name="_301__FDSAUDITLINK__" hidden="1">{"fdsup://directions/FAT Viewer?action=UPDATE&amp;creator=factset&amp;DYN_ARGS=TRUE&amp;DOC_NAME=FAT:FQL_AUDITING_CLIENT_TEMPLATE.FAT&amp;display_string=Audit&amp;VAR:KEY=CFMPYZQPUJ&amp;VAR:QUERY=KENTRl9JTlRBTkcoUVRSX1IsMzcwNDIpQFdTRl9JTlRBTkcoUVRSLDM3MDQyKSk=&amp;WINDOW=FIRST_POPUP&amp;H","EIGHT=450&amp;WIDTH=450&amp;START_MAXIMIZED=FALSE&amp;VAR:CALENDAR=US&amp;VAR:SYMBOL=ARX&amp;VAR:INDEX=0"}</definedName>
    <definedName name="_302__FDSAUDITLINK__" hidden="1">{"fdsup://directions/FAT Viewer?action=UPDATE&amp;creator=factset&amp;DYN_ARGS=TRUE&amp;DOC_NAME=FAT:FQL_AUDITING_CLIENT_TEMPLATE.FAT&amp;display_string=Audit&amp;VAR:KEY=QBODQZYHEJ&amp;VAR:QUERY=KENTRl9TSExEUlNfRVEoUVRSX1IsMzcwNDIpQFdTRl9TSExEUlNfRVEoUVRSLDM3MDQyKSk=&amp;WINDOW=FIRST","_POPUP&amp;HEIGHT=450&amp;WIDTH=450&amp;START_MAXIMIZED=FALSE&amp;VAR:CALENDAR=US&amp;VAR:SYMBOL=ARX&amp;VAR:INDEX=0"}</definedName>
    <definedName name="_303__FDSAUDITLINK__" hidden="1">{"fdsup://directions/FAT Viewer?action=UPDATE&amp;creator=factset&amp;DYN_ARGS=TRUE&amp;DOC_NAME=FAT:FQL_AUDITING_CLIENT_TEMPLATE.FAT&amp;display_string=Audit&amp;VAR:KEY=CZEBGRMLSV&amp;VAR:QUERY=KENTRl9DT01fU0hTX09VVF9FUFNfRElMKFFUUl9SLDM3MDExKUBXU0ZfQ09NX1NIU19PVVRfRVBTX0RJTChRV","FIsMzcwMTEpKQ==&amp;WINDOW=FIRST_POPUP&amp;HEIGHT=450&amp;WIDTH=450&amp;START_MAXIMIZED=FALSE&amp;VAR:CALENDAR=US&amp;VAR:SYMBOL=ARX&amp;VAR:INDEX=0"}</definedName>
    <definedName name="_304__FDSAUDITLINK__" hidden="1">{"fdsup://directions/FAT Viewer?action=UPDATE&amp;creator=factset&amp;DYN_ARGS=TRUE&amp;DOC_NAME=FAT:FQL_AUDITING_CLIENT_TEMPLATE.FAT&amp;display_string=Audit&amp;VAR:KEY=QZWBGXGFWL&amp;VAR:QUERY=KENTRl9JTlRBTkcoUVRSX1IsMzcwMTEpQFdTRl9JTlRBTkcoUVRSLDM3MDExKSk=&amp;WINDOW=FIRST_POPUP&amp;H","EIGHT=450&amp;WIDTH=450&amp;START_MAXIMIZED=FALSE&amp;VAR:CALENDAR=US&amp;VAR:SYMBOL=ARX&amp;VAR:INDEX=0"}</definedName>
    <definedName name="_305__FDSAUDITLINK__" hidden="1">{"fdsup://directions/FAT Viewer?action=UPDATE&amp;creator=factset&amp;DYN_ARGS=TRUE&amp;DOC_NAME=FAT:FQL_AUDITING_CLIENT_TEMPLATE.FAT&amp;display_string=Audit&amp;VAR:KEY=KDEXEBOJUD&amp;VAR:QUERY=KENTRl9TSExEUlNfRVEoUVRSX1IsMzcwMTEpQFdTRl9TSExEUlNfRVEoUVRSLDM3MDExKSk=&amp;WINDOW=FIRST","_POPUP&amp;HEIGHT=450&amp;WIDTH=450&amp;START_MAXIMIZED=FALSE&amp;VAR:CALENDAR=US&amp;VAR:SYMBOL=ARX&amp;VAR:INDEX=0"}</definedName>
    <definedName name="_306__FDSAUDITLINK__" hidden="1">{"fdsup://directions/FAT Viewer?action=UPDATE&amp;creator=factset&amp;DYN_ARGS=TRUE&amp;DOC_NAME=FAT:FQL_AUDITING_CLIENT_TEMPLATE.FAT&amp;display_string=Audit&amp;VAR:KEY=INGZKXYBGR&amp;VAR:QUERY=KENTRl9DT01fU0hTX09VVF9FUFNfRElMKFFUUl9SLDM2OTgwKUBXU0ZfQ09NX1NIU19PVVRfRVBTX0RJTChRV","FIsMzY5ODApKQ==&amp;WINDOW=FIRST_POPUP&amp;HEIGHT=450&amp;WIDTH=450&amp;START_MAXIMIZED=FALSE&amp;VAR:CALENDAR=US&amp;VAR:SYMBOL=ARX&amp;VAR:INDEX=0"}</definedName>
    <definedName name="_307__FDSAUDITLINK__" hidden="1">{"fdsup://directions/FAT Viewer?action=UPDATE&amp;creator=factset&amp;DYN_ARGS=TRUE&amp;DOC_NAME=FAT:FQL_AUDITING_CLIENT_TEMPLATE.FAT&amp;display_string=Audit&amp;VAR:KEY=ILUHMTOTKJ&amp;VAR:QUERY=KENTRl9JTlRBTkcoUVRSX1IsMzY5ODApQFdTRl9JTlRBTkcoUVRSLDM2OTgwKSk=&amp;WINDOW=FIRST_POPUP&amp;H","EIGHT=450&amp;WIDTH=450&amp;START_MAXIMIZED=FALSE&amp;VAR:CALENDAR=US&amp;VAR:SYMBOL=ARX&amp;VAR:INDEX=0"}</definedName>
    <definedName name="_308__FDSAUDITLINK__" hidden="1">{"fdsup://directions/FAT Viewer?action=UPDATE&amp;creator=factset&amp;DYN_ARGS=TRUE&amp;DOC_NAME=FAT:FQL_AUDITING_CLIENT_TEMPLATE.FAT&amp;display_string=Audit&amp;VAR:KEY=YZAXQFKXWZ&amp;VAR:QUERY=KENTRl9TSExEUlNfRVEoUVRSX1IsMzY5ODApQFdTRl9TSExEUlNfRVEoUVRSLDM2OTgwKSk=&amp;WINDOW=FIRST","_POPUP&amp;HEIGHT=450&amp;WIDTH=450&amp;START_MAXIMIZED=FALSE&amp;VAR:CALENDAR=US&amp;VAR:SYMBOL=ARX&amp;VAR:INDEX=0"}</definedName>
    <definedName name="_309__FDSAUDITLINK__" hidden="1">{"fdsup://directions/FAT Viewer?action=UPDATE&amp;creator=factset&amp;DYN_ARGS=TRUE&amp;DOC_NAME=FAT:FQL_AUDITING_CLIENT_TEMPLATE.FAT&amp;display_string=Audit&amp;VAR:KEY=UJYLOROZAZ&amp;VAR:QUERY=KENTRl9DT01fU0hTX09VVF9FUFNfRElMKFFUUl9SLDM2OTUwKUBXU0ZfQ09NX1NIU19PVVRfRVBTX0RJTChRV","FIsMzY5NTApKQ==&amp;WINDOW=FIRST_POPUP&amp;HEIGHT=450&amp;WIDTH=450&amp;START_MAXIMIZED=FALSE&amp;VAR:CALENDAR=US&amp;VAR:SYMBOL=ARX&amp;VAR:INDEX=0"}</definedName>
    <definedName name="_31__FDSAUDITLINK__" hidden="1">{"fdsup://directions/FAT Viewer?action=UPDATE&amp;creator=factset&amp;DYN_ARGS=TRUE&amp;DOC_NAME=FAT:FQL_AUDITING_CLIENT_TEMPLATE.FAT&amp;display_string=Audit&amp;VAR:KEY=CLEZKNMJKL&amp;VAR:QUERY=KENTRl9JTlRBTkcoUVRSX1IsMzY0MDMpQFdTRl9JTlRBTkcoUVRSLDM2NDAzKSk=&amp;WINDOW=FIRST_POPUP&amp;H","EIGHT=450&amp;WIDTH=450&amp;START_MAXIMIZED=FALSE&amp;VAR:CALENDAR=US&amp;VAR:SYMBOL=AMD&amp;VAR:INDEX=0"}</definedName>
    <definedName name="_310__FDSAUDITLINK__" hidden="1">{"fdsup://directions/FAT Viewer?action=UPDATE&amp;creator=factset&amp;DYN_ARGS=TRUE&amp;DOC_NAME=FAT:FQL_AUDITING_CLIENT_TEMPLATE.FAT&amp;display_string=Audit&amp;VAR:KEY=OVIBWHCFCN&amp;VAR:QUERY=KENTRl9JTlRBTkcoUVRSX1IsMzY5NTApQFdTRl9JTlRBTkcoUVRSLDM2OTUwKSk=&amp;WINDOW=FIRST_POPUP&amp;H","EIGHT=450&amp;WIDTH=450&amp;START_MAXIMIZED=FALSE&amp;VAR:CALENDAR=US&amp;VAR:SYMBOL=ARX&amp;VAR:INDEX=0"}</definedName>
    <definedName name="_311__FDSAUDITLINK__" hidden="1">{"fdsup://directions/FAT Viewer?action=UPDATE&amp;creator=factset&amp;DYN_ARGS=TRUE&amp;DOC_NAME=FAT:FQL_AUDITING_CLIENT_TEMPLATE.FAT&amp;display_string=Audit&amp;VAR:KEY=KLGVKJWJQB&amp;VAR:QUERY=KENTRl9TSExEUlNfRVEoUVRSX1IsMzY5NTApQFdTRl9TSExEUlNfRVEoUVRSLDM2OTUwKSk=&amp;WINDOW=FIRST","_POPUP&amp;HEIGHT=450&amp;WIDTH=450&amp;START_MAXIMIZED=FALSE&amp;VAR:CALENDAR=US&amp;VAR:SYMBOL=ARX&amp;VAR:INDEX=0"}</definedName>
    <definedName name="_312__FDSAUDITLINK__" hidden="1">{"fdsup://directions/FAT Viewer?action=UPDATE&amp;creator=factset&amp;DYN_ARGS=TRUE&amp;DOC_NAME=FAT:FQL_AUDITING_CLIENT_TEMPLATE.FAT&amp;display_string=Audit&amp;VAR:KEY=UZMNYNKLQH&amp;VAR:QUERY=KENTRl9DT01fU0hTX09VVF9FUFNfRElMKFFUUl9SLDM2OTIyKUBXU0ZfQ09NX1NIU19PVVRfRVBTX0RJTChRV","FIsMzY5MjIpKQ==&amp;WINDOW=FIRST_POPUP&amp;HEIGHT=450&amp;WIDTH=450&amp;START_MAXIMIZED=FALSE&amp;VAR:CALENDAR=US&amp;VAR:SYMBOL=ARX&amp;VAR:INDEX=0"}</definedName>
    <definedName name="_313__FDSAUDITLINK__" hidden="1">{"fdsup://directions/FAT Viewer?action=UPDATE&amp;creator=factset&amp;DYN_ARGS=TRUE&amp;DOC_NAME=FAT:FQL_AUDITING_CLIENT_TEMPLATE.FAT&amp;display_string=Audit&amp;VAR:KEY=IXYTMDCXEZ&amp;VAR:QUERY=KENTRl9JTlRBTkcoUVRSX1IsMzY5MjIpQFdTRl9JTlRBTkcoUVRSLDM2OTIyKSk=&amp;WINDOW=FIRST_POPUP&amp;H","EIGHT=450&amp;WIDTH=450&amp;START_MAXIMIZED=FALSE&amp;VAR:CALENDAR=US&amp;VAR:SYMBOL=ARX&amp;VAR:INDEX=0"}</definedName>
    <definedName name="_314__FDSAUDITLINK__" hidden="1">{"fdsup://directions/FAT Viewer?action=UPDATE&amp;creator=factset&amp;DYN_ARGS=TRUE&amp;DOC_NAME=FAT:FQL_AUDITING_CLIENT_TEMPLATE.FAT&amp;display_string=Audit&amp;VAR:KEY=YXKNIHILET&amp;VAR:QUERY=KENTRl9TSExEUlNfRVEoUVRSX1IsMzY5MjIpQFdTRl9TSExEUlNfRVEoUVRSLDM2OTIyKSk=&amp;WINDOW=FIRST","_POPUP&amp;HEIGHT=450&amp;WIDTH=450&amp;START_MAXIMIZED=FALSE&amp;VAR:CALENDAR=US&amp;VAR:SYMBOL=ARX&amp;VAR:INDEX=0"}</definedName>
    <definedName name="_315__FDSAUDITLINK__" hidden="1">{"fdsup://directions/FAT Viewer?action=UPDATE&amp;creator=factset&amp;DYN_ARGS=TRUE&amp;DOC_NAME=FAT:FQL_AUDITING_CLIENT_TEMPLATE.FAT&amp;display_string=Audit&amp;VAR:KEY=SXWLKXYVMF&amp;VAR:QUERY=KENTRl9DT01fU0hTX09VVF9FUFNfRElMKFFUUl9SLDM2ODg5KUBXU0ZfQ09NX1NIU19PVVRfRVBTX0RJTChRV","FIsMzY4ODkpKQ==&amp;WINDOW=FIRST_POPUP&amp;HEIGHT=450&amp;WIDTH=450&amp;START_MAXIMIZED=FALSE&amp;VAR:CALENDAR=US&amp;VAR:SYMBOL=ARX&amp;VAR:INDEX=0"}</definedName>
    <definedName name="_316__FDSAUDITLINK__" hidden="1">{"fdsup://directions/FAT Viewer?action=UPDATE&amp;creator=factset&amp;DYN_ARGS=TRUE&amp;DOC_NAME=FAT:FQL_AUDITING_CLIENT_TEMPLATE.FAT&amp;display_string=Audit&amp;VAR:KEY=GBSDCNWVQL&amp;VAR:QUERY=KENTRl9JTlRBTkcoUVRSX1IsMzY4ODkpQFdTRl9JTlRBTkcoUVRSLDM2ODg5KSk=&amp;WINDOW=FIRST_POPUP&amp;H","EIGHT=450&amp;WIDTH=450&amp;START_MAXIMIZED=FALSE&amp;VAR:CALENDAR=US&amp;VAR:SYMBOL=ARX&amp;VAR:INDEX=0"}</definedName>
    <definedName name="_317__FDSAUDITLINK__" hidden="1">{"fdsup://directions/FAT Viewer?action=UPDATE&amp;creator=factset&amp;DYN_ARGS=TRUE&amp;DOC_NAME=FAT:FQL_AUDITING_CLIENT_TEMPLATE.FAT&amp;display_string=Audit&amp;VAR:KEY=QFOHGZCNOF&amp;VAR:QUERY=KENTRl9TSExEUlNfRVEoUVRSX1IsMzY4ODkpQFdTRl9TSExEUlNfRVEoUVRSLDM2ODg5KSk=&amp;WINDOW=FIRST","_POPUP&amp;HEIGHT=450&amp;WIDTH=450&amp;START_MAXIMIZED=FALSE&amp;VAR:CALENDAR=US&amp;VAR:SYMBOL=ARX&amp;VAR:INDEX=0"}</definedName>
    <definedName name="_318__FDSAUDITLINK__" hidden="1">{"fdsup://directions/FAT Viewer?action=UPDATE&amp;creator=factset&amp;DYN_ARGS=TRUE&amp;DOC_NAME=FAT:FQL_AUDITING_CLIENT_TEMPLATE.FAT&amp;display_string=Audit&amp;VAR:KEY=WZINKLIPSD&amp;VAR:QUERY=KENTRl9DT01fU0hTX09VVF9FUFNfRElMKFFUUl9SLDM2ODYwKUBXU0ZfQ09NX1NIU19PVVRfRVBTX0RJTChRV","FIsMzY4NjApKQ==&amp;WINDOW=FIRST_POPUP&amp;HEIGHT=450&amp;WIDTH=450&amp;START_MAXIMIZED=FALSE&amp;VAR:CALENDAR=US&amp;VAR:SYMBOL=ARX&amp;VAR:INDEX=0"}</definedName>
    <definedName name="_319__FDSAUDITLINK__" hidden="1">{"fdsup://directions/FAT Viewer?action=UPDATE&amp;creator=factset&amp;DYN_ARGS=TRUE&amp;DOC_NAME=FAT:FQL_AUDITING_CLIENT_TEMPLATE.FAT&amp;display_string=Audit&amp;VAR:KEY=UXUTCLCVAF&amp;VAR:QUERY=KENTRl9JTlRBTkcoUVRSX1IsMzY4NjApQFdTRl9JTlRBTkcoUVRSLDM2ODYwKSk=&amp;WINDOW=FIRST_POPUP&amp;H","EIGHT=450&amp;WIDTH=450&amp;START_MAXIMIZED=FALSE&amp;VAR:CALENDAR=US&amp;VAR:SYMBOL=ARX&amp;VAR:INDEX=0"}</definedName>
    <definedName name="_32__FDSAUDITLINK__" hidden="1">{"fdsup://directions/FAT Viewer?action=UPDATE&amp;creator=factset&amp;DYN_ARGS=TRUE&amp;DOC_NAME=FAT:FQL_AUDITING_CLIENT_TEMPLATE.FAT&amp;display_string=Audit&amp;VAR:KEY=ORETOLEDWJ&amp;VAR:QUERY=KENTRl9JTlRBTkcoUVRSX1IsMzYzNzEpQFdTRl9JTlRBTkcoUVRSLDM2MzcxKSk=&amp;WINDOW=FIRST_POPUP&amp;H","EIGHT=450&amp;WIDTH=450&amp;START_MAXIMIZED=FALSE&amp;VAR:CALENDAR=US&amp;VAR:SYMBOL=AMD&amp;VAR:INDEX=0"}</definedName>
    <definedName name="_320__FDSAUDITLINK__" hidden="1">{"fdsup://directions/FAT Viewer?action=UPDATE&amp;creator=factset&amp;DYN_ARGS=TRUE&amp;DOC_NAME=FAT:FQL_AUDITING_CLIENT_TEMPLATE.FAT&amp;display_string=Audit&amp;VAR:KEY=CFSHYRUHCR&amp;VAR:QUERY=KENTRl9TSExEUlNfRVEoUVRSX1IsMzY4NjApQFdTRl9TSExEUlNfRVEoUVRSLDM2ODYwKSk=&amp;WINDOW=FIRST","_POPUP&amp;HEIGHT=450&amp;WIDTH=450&amp;START_MAXIMIZED=FALSE&amp;VAR:CALENDAR=US&amp;VAR:SYMBOL=ARX&amp;VAR:INDEX=0"}</definedName>
    <definedName name="_321__FDSAUDITLINK__" hidden="1">{"fdsup://directions/FAT Viewer?action=UPDATE&amp;creator=factset&amp;DYN_ARGS=TRUE&amp;DOC_NAME=FAT:FQL_AUDITING_CLIENT_TEMPLATE.FAT&amp;display_string=Audit&amp;VAR:KEY=SDWHOVUNGX&amp;VAR:QUERY=KENTRl9DT01fU0hTX09VVF9FUFNfRElMKFFUUl9SLDM2ODMwKUBXU0ZfQ09NX1NIU19PVVRfRVBTX0RJTChRV","FIsMzY4MzApKQ==&amp;WINDOW=FIRST_POPUP&amp;HEIGHT=450&amp;WIDTH=450&amp;START_MAXIMIZED=FALSE&amp;VAR:CALENDAR=US&amp;VAR:SYMBOL=ARX&amp;VAR:INDEX=0"}</definedName>
    <definedName name="_322__FDSAUDITLINK__" hidden="1">{"fdsup://directions/FAT Viewer?action=UPDATE&amp;creator=factset&amp;DYN_ARGS=TRUE&amp;DOC_NAME=FAT:FQL_AUDITING_CLIENT_TEMPLATE.FAT&amp;display_string=Audit&amp;VAR:KEY=WDKFARMZKP&amp;VAR:QUERY=KENTRl9JTlRBTkcoUVRSX1IsMzY4MzApQFdTRl9JTlRBTkcoUVRSLDM2ODMwKSk=&amp;WINDOW=FIRST_POPUP&amp;H","EIGHT=450&amp;WIDTH=450&amp;START_MAXIMIZED=FALSE&amp;VAR:CALENDAR=US&amp;VAR:SYMBOL=ARX&amp;VAR:INDEX=0"}</definedName>
    <definedName name="_323__FDSAUDITLINK__" hidden="1">{"fdsup://directions/FAT Viewer?action=UPDATE&amp;creator=factset&amp;DYN_ARGS=TRUE&amp;DOC_NAME=FAT:FQL_AUDITING_CLIENT_TEMPLATE.FAT&amp;display_string=Audit&amp;VAR:KEY=MLSBKFCPIV&amp;VAR:QUERY=KENTRl9TSExEUlNfRVEoUVRSX1IsMzY4MzApQFdTRl9TSExEUlNfRVEoUVRSLDM2ODMwKSk=&amp;WINDOW=FIRST","_POPUP&amp;HEIGHT=450&amp;WIDTH=450&amp;START_MAXIMIZED=FALSE&amp;VAR:CALENDAR=US&amp;VAR:SYMBOL=ARX&amp;VAR:INDEX=0"}</definedName>
    <definedName name="_324__FDSAUDITLINK__" hidden="1">{"fdsup://directions/FAT Viewer?action=UPDATE&amp;creator=factset&amp;DYN_ARGS=TRUE&amp;DOC_NAME=FAT:FQL_AUDITING_CLIENT_TEMPLATE.FAT&amp;display_string=Audit&amp;VAR:KEY=KHOLUDMBID&amp;VAR:QUERY=KENTRl9DT01fU0hTX09VVF9FUFNfRElMKFFUUl9SLDM2Nzk4KUBXU0ZfQ09NX1NIU19PVVRfRVBTX0RJTChRV","FIsMzY3OTgpKQ==&amp;WINDOW=FIRST_POPUP&amp;HEIGHT=450&amp;WIDTH=450&amp;START_MAXIMIZED=FALSE&amp;VAR:CALENDAR=US&amp;VAR:SYMBOL=ARX&amp;VAR:INDEX=0"}</definedName>
    <definedName name="_325__FDSAUDITLINK__" hidden="1">{"fdsup://directions/FAT Viewer?action=UPDATE&amp;creator=factset&amp;DYN_ARGS=TRUE&amp;DOC_NAME=FAT:FQL_AUDITING_CLIENT_TEMPLATE.FAT&amp;display_string=Audit&amp;VAR:KEY=WTABWNSPQV&amp;VAR:QUERY=KENTRl9JTlRBTkcoUVRSX1IsMzY3OTgpQFdTRl9JTlRBTkcoUVRSLDM2Nzk4KSk=&amp;WINDOW=FIRST_POPUP&amp;H","EIGHT=450&amp;WIDTH=450&amp;START_MAXIMIZED=FALSE&amp;VAR:CALENDAR=US&amp;VAR:SYMBOL=ARX&amp;VAR:INDEX=0"}</definedName>
    <definedName name="_326__FDSAUDITLINK__" hidden="1">{"fdsup://directions/FAT Viewer?action=UPDATE&amp;creator=factset&amp;DYN_ARGS=TRUE&amp;DOC_NAME=FAT:FQL_AUDITING_CLIENT_TEMPLATE.FAT&amp;display_string=Audit&amp;VAR:KEY=QDEDIRKRYZ&amp;VAR:QUERY=KENTRl9TSExEUlNfRVEoUVRSX1IsMzY3OTgpQFdTRl9TSExEUlNfRVEoUVRSLDM2Nzk4KSk=&amp;WINDOW=FIRST","_POPUP&amp;HEIGHT=450&amp;WIDTH=450&amp;START_MAXIMIZED=FALSE&amp;VAR:CALENDAR=US&amp;VAR:SYMBOL=ARX&amp;VAR:INDEX=0"}</definedName>
    <definedName name="_327__FDSAUDITLINK__" hidden="1">{"fdsup://directions/FAT Viewer?action=UPDATE&amp;creator=factset&amp;DYN_ARGS=TRUE&amp;DOC_NAME=FAT:FQL_AUDITING_CLIENT_TEMPLATE.FAT&amp;display_string=Audit&amp;VAR:KEY=KXWJCZEPYD&amp;VAR:QUERY=KENTRl9DT01fU0hTX09VVF9FUFNfRElMKFFUUl9SLDM2NzY5KUBXU0ZfQ09NX1NIU19PVVRfRVBTX0RJTChRV","FIsMzY3NjkpKQ==&amp;WINDOW=FIRST_POPUP&amp;HEIGHT=450&amp;WIDTH=450&amp;START_MAXIMIZED=FALSE&amp;VAR:CALENDAR=US&amp;VAR:SYMBOL=ARX&amp;VAR:INDEX=0"}</definedName>
    <definedName name="_328__FDSAUDITLINK__" hidden="1">{"fdsup://directions/FAT Viewer?action=UPDATE&amp;creator=factset&amp;DYN_ARGS=TRUE&amp;DOC_NAME=FAT:FQL_AUDITING_CLIENT_TEMPLATE.FAT&amp;display_string=Audit&amp;VAR:KEY=AXABUVSHUL&amp;VAR:QUERY=KENTRl9JTlRBTkcoUVRSX1IsMzY3NjkpQFdTRl9JTlRBTkcoUVRSLDM2NzY5KSk=&amp;WINDOW=FIRST_POPUP&amp;H","EIGHT=450&amp;WIDTH=450&amp;START_MAXIMIZED=FALSE&amp;VAR:CALENDAR=US&amp;VAR:SYMBOL=ARX&amp;VAR:INDEX=0"}</definedName>
    <definedName name="_329__FDSAUDITLINK__" hidden="1">{"fdsup://directions/FAT Viewer?action=UPDATE&amp;creator=factset&amp;DYN_ARGS=TRUE&amp;DOC_NAME=FAT:FQL_AUDITING_CLIENT_TEMPLATE.FAT&amp;display_string=Audit&amp;VAR:KEY=YJOVEDIXWL&amp;VAR:QUERY=KENTRl9TSExEUlNfRVEoUVRSX1IsMzY3NjkpQFdTRl9TSExEUlNfRVEoUVRSLDM2NzY5KSk=&amp;WINDOW=FIRST","_POPUP&amp;HEIGHT=450&amp;WIDTH=450&amp;START_MAXIMIZED=FALSE&amp;VAR:CALENDAR=US&amp;VAR:SYMBOL=ARX&amp;VAR:INDEX=0"}</definedName>
    <definedName name="_33__FDSAUDITLINK__" hidden="1">{"fdsup://directions/FAT Viewer?action=UPDATE&amp;creator=factset&amp;DYN_ARGS=TRUE&amp;DOC_NAME=FAT:FQL_AUDITING_CLIENT_TEMPLATE.FAT&amp;display_string=Audit&amp;VAR:KEY=IFEJUTUPOH&amp;VAR:QUERY=KENTRl9JTlRBTkcoUVRSX1IsMzYzNDEpQFdTRl9JTlRBTkcoUVRSLDM2MzQxKSk=&amp;WINDOW=FIRST_POPUP&amp;H","EIGHT=450&amp;WIDTH=450&amp;START_MAXIMIZED=FALSE&amp;VAR:CALENDAR=US&amp;VAR:SYMBOL=AMD&amp;VAR:INDEX=0"}</definedName>
    <definedName name="_330__FDSAUDITLINK__" hidden="1">{"fdsup://directions/FAT Viewer?action=UPDATE&amp;creator=factset&amp;DYN_ARGS=TRUE&amp;DOC_NAME=FAT:FQL_AUDITING_CLIENT_TEMPLATE.FAT&amp;display_string=Audit&amp;VAR:KEY=MZWVYBSLCD&amp;VAR:QUERY=KENTRl9DT01fU0hTX09VVF9FUFNfRElMKFFUUl9SLDM2NzM4KUBXU0ZfQ09NX1NIU19PVVRfRVBTX0RJTChRV","FIsMzY3MzgpKQ==&amp;WINDOW=FIRST_POPUP&amp;HEIGHT=450&amp;WIDTH=450&amp;START_MAXIMIZED=FALSE&amp;VAR:CALENDAR=US&amp;VAR:SYMBOL=ARX&amp;VAR:INDEX=0"}</definedName>
    <definedName name="_331__FDSAUDITLINK__" hidden="1">{"fdsup://directions/FAT Viewer?action=UPDATE&amp;creator=factset&amp;DYN_ARGS=TRUE&amp;DOC_NAME=FAT:FQL_AUDITING_CLIENT_TEMPLATE.FAT&amp;display_string=Audit&amp;VAR:KEY=WJSXEDIPEL&amp;VAR:QUERY=KENTRl9JTlRBTkcoUVRSX1IsMzY3MzgpQFdTRl9JTlRBTkcoUVRSLDM2NzM4KSk=&amp;WINDOW=FIRST_POPUP&amp;H","EIGHT=450&amp;WIDTH=450&amp;START_MAXIMIZED=FALSE&amp;VAR:CALENDAR=US&amp;VAR:SYMBOL=ARX&amp;VAR:INDEX=0"}</definedName>
    <definedName name="_332__FDSAUDITLINK__" hidden="1">{"fdsup://directions/FAT Viewer?action=UPDATE&amp;creator=factset&amp;DYN_ARGS=TRUE&amp;DOC_NAME=FAT:FQL_AUDITING_CLIENT_TEMPLATE.FAT&amp;display_string=Audit&amp;VAR:KEY=QZMFWXSLOF&amp;VAR:QUERY=KENTRl9TSExEUlNfRVEoUVRSX1IsMzY3MzgpQFdTRl9TSExEUlNfRVEoUVRSLDM2NzM4KSk=&amp;WINDOW=FIRST","_POPUP&amp;HEIGHT=450&amp;WIDTH=450&amp;START_MAXIMIZED=FALSE&amp;VAR:CALENDAR=US&amp;VAR:SYMBOL=ARX&amp;VAR:INDEX=0"}</definedName>
    <definedName name="_333__FDSAUDITLINK__" hidden="1">{"fdsup://directions/FAT Viewer?action=UPDATE&amp;creator=factset&amp;DYN_ARGS=TRUE&amp;DOC_NAME=FAT:FQL_AUDITING_CLIENT_TEMPLATE.FAT&amp;display_string=Audit&amp;VAR:KEY=QBQZIVMXMX&amp;VAR:QUERY=KENTRl9DT01fU0hTX09VVF9FUFNfRElMKFFUUl9SLDM2NzA3KUBXU0ZfQ09NX1NIU19PVVRfRVBTX0RJTChRV","FIsMzY3MDcpKQ==&amp;WINDOW=FIRST_POPUP&amp;HEIGHT=450&amp;WIDTH=450&amp;START_MAXIMIZED=FALSE&amp;VAR:CALENDAR=US&amp;VAR:SYMBOL=ARX&amp;VAR:INDEX=0"}</definedName>
    <definedName name="_334__FDSAUDITLINK__" hidden="1">{"fdsup://directions/FAT Viewer?action=UPDATE&amp;creator=factset&amp;DYN_ARGS=TRUE&amp;DOC_NAME=FAT:FQL_AUDITING_CLIENT_TEMPLATE.FAT&amp;display_string=Audit&amp;VAR:KEY=EZCBIPGHWJ&amp;VAR:QUERY=KENTRl9JTlRBTkcoUVRSX1IsMzY3MDcpQFdTRl9JTlRBTkcoUVRSLDM2NzA3KSk=&amp;WINDOW=FIRST_POPUP&amp;H","EIGHT=450&amp;WIDTH=450&amp;START_MAXIMIZED=FALSE&amp;VAR:CALENDAR=US&amp;VAR:SYMBOL=ARX&amp;VAR:INDEX=0"}</definedName>
    <definedName name="_335__FDSAUDITLINK__" hidden="1">{"fdsup://directions/FAT Viewer?action=UPDATE&amp;creator=factset&amp;DYN_ARGS=TRUE&amp;DOC_NAME=FAT:FQL_AUDITING_CLIENT_TEMPLATE.FAT&amp;display_string=Audit&amp;VAR:KEY=AJOTOJMHAP&amp;VAR:QUERY=KENTRl9TSExEUlNfRVEoUVRSX1IsMzY3MDcpQFdTRl9TSExEUlNfRVEoUVRSLDM2NzA3KSk=&amp;WINDOW=FIRST","_POPUP&amp;HEIGHT=450&amp;WIDTH=450&amp;START_MAXIMIZED=FALSE&amp;VAR:CALENDAR=US&amp;VAR:SYMBOL=ARX&amp;VAR:INDEX=0"}</definedName>
    <definedName name="_336__FDSAUDITLINK__" hidden="1">{"fdsup://directions/FAT Viewer?action=UPDATE&amp;creator=factset&amp;DYN_ARGS=TRUE&amp;DOC_NAME=FAT:FQL_AUDITING_CLIENT_TEMPLATE.FAT&amp;display_string=Audit&amp;VAR:KEY=UFCXYFCHWX&amp;VAR:QUERY=KENTRl9DT01fU0hTX09VVF9FUFNfRElMKFFUUl9SLDM2Njc3KUBXU0ZfQ09NX1NIU19PVVRfRVBTX0RJTChRV","FIsMzY2NzcpKQ==&amp;WINDOW=FIRST_POPUP&amp;HEIGHT=450&amp;WIDTH=450&amp;START_MAXIMIZED=FALSE&amp;VAR:CALENDAR=US&amp;VAR:SYMBOL=ARX&amp;VAR:INDEX=0"}</definedName>
    <definedName name="_337__FDSAUDITLINK__" hidden="1">{"fdsup://directions/FAT Viewer?action=UPDATE&amp;creator=factset&amp;DYN_ARGS=TRUE&amp;DOC_NAME=FAT:FQL_AUDITING_CLIENT_TEMPLATE.FAT&amp;display_string=Audit&amp;VAR:KEY=AZWDYLGNOZ&amp;VAR:QUERY=KENTRl9JTlRBTkcoUVRSX1IsMzY2NzcpQFdTRl9JTlRBTkcoUVRSLDM2Njc3KSk=&amp;WINDOW=FIRST_POPUP&amp;H","EIGHT=450&amp;WIDTH=450&amp;START_MAXIMIZED=FALSE&amp;VAR:CALENDAR=US&amp;VAR:SYMBOL=ARX&amp;VAR:INDEX=0"}</definedName>
    <definedName name="_338__FDSAUDITLINK__" hidden="1">{"fdsup://directions/FAT Viewer?action=UPDATE&amp;creator=factset&amp;DYN_ARGS=TRUE&amp;DOC_NAME=FAT:FQL_AUDITING_CLIENT_TEMPLATE.FAT&amp;display_string=Audit&amp;VAR:KEY=KBYZORMPCH&amp;VAR:QUERY=KENTRl9TSExEUlNfRVEoUVRSX1IsMzY2NzcpQFdTRl9TSExEUlNfRVEoUVRSLDM2Njc3KSk=&amp;WINDOW=FIRST","_POPUP&amp;HEIGHT=450&amp;WIDTH=450&amp;START_MAXIMIZED=FALSE&amp;VAR:CALENDAR=US&amp;VAR:SYMBOL=ARX&amp;VAR:INDEX=0"}</definedName>
    <definedName name="_339__FDSAUDITLINK__" hidden="1">{"fdsup://directions/FAT Viewer?action=UPDATE&amp;creator=factset&amp;DYN_ARGS=TRUE&amp;DOC_NAME=FAT:FQL_AUDITING_CLIENT_TEMPLATE.FAT&amp;display_string=Audit&amp;VAR:KEY=SRAHIDATUF&amp;VAR:QUERY=KENTRl9DT01fU0hTX09VVF9FUFNfRElMKFFUUl9SLDM2NjQ0KUBXU0ZfQ09NX1NIU19PVVRfRVBTX0RJTChRV","FIsMzY2NDQpKQ==&amp;WINDOW=FIRST_POPUP&amp;HEIGHT=450&amp;WIDTH=450&amp;START_MAXIMIZED=FALSE&amp;VAR:CALENDAR=US&amp;VAR:SYMBOL=ARX&amp;VAR:INDEX=0"}</definedName>
    <definedName name="_34__FDSAUDITLINK__" hidden="1">{"fdsup://directions/FAT Viewer?action=UPDATE&amp;creator=factset&amp;DYN_ARGS=TRUE&amp;DOC_NAME=FAT:FQL_AUDITING_CLIENT_TEMPLATE.FAT&amp;display_string=Audit&amp;VAR:KEY=SLSPOJUTYT&amp;VAR:QUERY=KENTRl9JTlRBTkcoUVRSX1IsMzYzMDgpQFdTRl9JTlRBTkcoUVRSLDM2MzA4KSk=&amp;WINDOW=FIRST_POPUP&amp;H","EIGHT=450&amp;WIDTH=450&amp;START_MAXIMIZED=FALSE&amp;VAR:CALENDAR=US&amp;VAR:SYMBOL=AMD&amp;VAR:INDEX=0"}</definedName>
    <definedName name="_340__FDSAUDITLINK__" hidden="1">{"fdsup://directions/FAT Viewer?action=UPDATE&amp;creator=factset&amp;DYN_ARGS=TRUE&amp;DOC_NAME=FAT:FQL_AUDITING_CLIENT_TEMPLATE.FAT&amp;display_string=Audit&amp;VAR:KEY=YTENQBOTIF&amp;VAR:QUERY=KENTRl9JTlRBTkcoUVRSX1IsMzY2NDQpQFdTRl9JTlRBTkcoUVRSLDM2NjQ0KSk=&amp;WINDOW=FIRST_POPUP&amp;H","EIGHT=450&amp;WIDTH=450&amp;START_MAXIMIZED=FALSE&amp;VAR:CALENDAR=US&amp;VAR:SYMBOL=ARX&amp;VAR:INDEX=0"}</definedName>
    <definedName name="_341__FDSAUDITLINK__" hidden="1">{"fdsup://directions/FAT Viewer?action=UPDATE&amp;creator=factset&amp;DYN_ARGS=TRUE&amp;DOC_NAME=FAT:FQL_AUDITING_CLIENT_TEMPLATE.FAT&amp;display_string=Audit&amp;VAR:KEY=WBIJUDWPAN&amp;VAR:QUERY=KENTRl9TSExEUlNfRVEoUVRSX1IsMzY2NDQpQFdTRl9TSExEUlNfRVEoUVRSLDM2NjQ0KSk=&amp;WINDOW=FIRST","_POPUP&amp;HEIGHT=450&amp;WIDTH=450&amp;START_MAXIMIZED=FALSE&amp;VAR:CALENDAR=US&amp;VAR:SYMBOL=ARX&amp;VAR:INDEX=0"}</definedName>
    <definedName name="_342__FDSAUDITLINK__" hidden="1">{"fdsup://directions/FAT Viewer?action=UPDATE&amp;creator=factset&amp;DYN_ARGS=TRUE&amp;DOC_NAME=FAT:FQL_AUDITING_CLIENT_TEMPLATE.FAT&amp;display_string=Audit&amp;VAR:KEY=GBOFAPUNSF&amp;VAR:QUERY=KENTRl9DT01fU0hTX09VVF9FUFNfRElMKFFUUl9SLDM2NjE2KUBXU0ZfQ09NX1NIU19PVVRfRVBTX0RJTChRV","FIsMzY2MTYpKQ==&amp;WINDOW=FIRST_POPUP&amp;HEIGHT=450&amp;WIDTH=450&amp;START_MAXIMIZED=FALSE&amp;VAR:CALENDAR=US&amp;VAR:SYMBOL=ARX&amp;VAR:INDEX=0"}</definedName>
    <definedName name="_343__FDSAUDITLINK__" hidden="1">{"fdsup://directions/FAT Viewer?action=UPDATE&amp;creator=factset&amp;DYN_ARGS=TRUE&amp;DOC_NAME=FAT:FQL_AUDITING_CLIENT_TEMPLATE.FAT&amp;display_string=Audit&amp;VAR:KEY=CNCDWZYHQL&amp;VAR:QUERY=KENTRl9JTlRBTkcoUVRSX1IsMzY2MTYpQFdTRl9JTlRBTkcoUVRSLDM2NjE2KSk=&amp;WINDOW=FIRST_POPUP&amp;H","EIGHT=450&amp;WIDTH=450&amp;START_MAXIMIZED=FALSE&amp;VAR:CALENDAR=US&amp;VAR:SYMBOL=ARX&amp;VAR:INDEX=0"}</definedName>
    <definedName name="_344__FDSAUDITLINK__" hidden="1">{"fdsup://directions/FAT Viewer?action=UPDATE&amp;creator=factset&amp;DYN_ARGS=TRUE&amp;DOC_NAME=FAT:FQL_AUDITING_CLIENT_TEMPLATE.FAT&amp;display_string=Audit&amp;VAR:KEY=ILIHILQPEH&amp;VAR:QUERY=KENTRl9TSExEUlNfRVEoUVRSX1IsMzY2MTYpQFdTRl9TSExEUlNfRVEoUVRSLDM2NjE2KSk=&amp;WINDOW=FIRST","_POPUP&amp;HEIGHT=450&amp;WIDTH=450&amp;START_MAXIMIZED=FALSE&amp;VAR:CALENDAR=US&amp;VAR:SYMBOL=ARX&amp;VAR:INDEX=0"}</definedName>
    <definedName name="_345__FDSAUDITLINK__" hidden="1">{"fdsup://directions/FAT Viewer?action=UPDATE&amp;creator=factset&amp;DYN_ARGS=TRUE&amp;DOC_NAME=FAT:FQL_AUDITING_CLIENT_TEMPLATE.FAT&amp;display_string=Audit&amp;VAR:KEY=WBKHSXEZQR&amp;VAR:QUERY=KENTRl9DT01fU0hTX09VVF9FUFNfRElMKFFUUl9SLDM2NTg1KUBXU0ZfQ09NX1NIU19PVVRfRVBTX0RJTChRV","FIsMzY1ODUpKQ==&amp;WINDOW=FIRST_POPUP&amp;HEIGHT=450&amp;WIDTH=450&amp;START_MAXIMIZED=FALSE&amp;VAR:CALENDAR=US&amp;VAR:SYMBOL=ARX&amp;VAR:INDEX=0"}</definedName>
    <definedName name="_346__FDSAUDITLINK__" hidden="1">{"fdsup://directions/FAT Viewer?action=UPDATE&amp;creator=factset&amp;DYN_ARGS=TRUE&amp;DOC_NAME=FAT:FQL_AUDITING_CLIENT_TEMPLATE.FAT&amp;display_string=Audit&amp;VAR:KEY=KNYZOXGHUL&amp;VAR:QUERY=KENTRl9JTlRBTkcoUVRSX1IsMzY1ODUpQFdTRl9JTlRBTkcoUVRSLDM2NTg1KSk=&amp;WINDOW=FIRST_POPUP&amp;H","EIGHT=450&amp;WIDTH=450&amp;START_MAXIMIZED=FALSE&amp;VAR:CALENDAR=US&amp;VAR:SYMBOL=ARX&amp;VAR:INDEX=0"}</definedName>
    <definedName name="_347__FDSAUDITLINK__" hidden="1">{"fdsup://directions/FAT Viewer?action=UPDATE&amp;creator=factset&amp;DYN_ARGS=TRUE&amp;DOC_NAME=FAT:FQL_AUDITING_CLIENT_TEMPLATE.FAT&amp;display_string=Audit&amp;VAR:KEY=INYXYJIPEV&amp;VAR:QUERY=KENTRl9TSExEUlNfRVEoUVRSX1IsMzY1ODUpQFdTRl9TSExEUlNfRVEoUVRSLDM2NTg1KSk=&amp;WINDOW=FIRST","_POPUP&amp;HEIGHT=450&amp;WIDTH=450&amp;START_MAXIMIZED=FALSE&amp;VAR:CALENDAR=US&amp;VAR:SYMBOL=ARX&amp;VAR:INDEX=0"}</definedName>
    <definedName name="_348__FDSAUDITLINK__" hidden="1">{"fdsup://directions/FAT Viewer?action=UPDATE&amp;creator=factset&amp;DYN_ARGS=TRUE&amp;DOC_NAME=FAT:FQL_AUDITING_CLIENT_TEMPLATE.FAT&amp;display_string=Audit&amp;VAR:KEY=UNSBMVWPMX&amp;VAR:QUERY=KENTRl9DT01fU0hTX09VVF9FUFNfRElMKFFUUl9SLDM2NTU2KUBXU0ZfQ09NX1NIU19PVVRfRVBTX0RJTChRV","FIsMzY1NTYpKQ==&amp;WINDOW=FIRST_POPUP&amp;HEIGHT=450&amp;WIDTH=450&amp;START_MAXIMIZED=FALSE&amp;VAR:CALENDAR=US&amp;VAR:SYMBOL=ARX&amp;VAR:INDEX=0"}</definedName>
    <definedName name="_349__FDSAUDITLINK__" hidden="1">{"fdsup://directions/FAT Viewer?action=UPDATE&amp;creator=factset&amp;DYN_ARGS=TRUE&amp;DOC_NAME=FAT:FQL_AUDITING_CLIENT_TEMPLATE.FAT&amp;display_string=Audit&amp;VAR:KEY=IRGRCNQPWV&amp;VAR:QUERY=KENTRl9JTlRBTkcoUVRSX1IsMzY1NTYpQFdTRl9JTlRBTkcoUVRSLDM2NTU2KSk=&amp;WINDOW=FIRST_POPUP&amp;H","EIGHT=450&amp;WIDTH=450&amp;START_MAXIMIZED=FALSE&amp;VAR:CALENDAR=US&amp;VAR:SYMBOL=ARX&amp;VAR:INDEX=0"}</definedName>
    <definedName name="_35__FDSAUDITLINK__" hidden="1">{"fdsup://directions/FAT Viewer?action=UPDATE&amp;creator=factset&amp;DYN_ARGS=TRUE&amp;DOC_NAME=FAT:FQL_AUDITING_CLIENT_TEMPLATE.FAT&amp;display_string=Audit&amp;VAR:KEY=EVIPIVWNMP&amp;VAR:QUERY=KENTRl9JTlRBTkcoUVRSX1IsMzYyODApQFdTRl9JTlRBTkcoUVRSLDM2MjgwKSk=&amp;WINDOW=FIRST_POPUP&amp;H","EIGHT=450&amp;WIDTH=450&amp;START_MAXIMIZED=FALSE&amp;VAR:CALENDAR=US&amp;VAR:SYMBOL=AMD&amp;VAR:INDEX=0"}</definedName>
    <definedName name="_350__FDSAUDITLINK__" hidden="1">{"fdsup://directions/FAT Viewer?action=UPDATE&amp;creator=factset&amp;DYN_ARGS=TRUE&amp;DOC_NAME=FAT:FQL_AUDITING_CLIENT_TEMPLATE.FAT&amp;display_string=Audit&amp;VAR:KEY=GNCPODUVUT&amp;VAR:QUERY=KENTRl9TSExEUlNfRVEoUVRSX1IsMzY1NTYpQFdTRl9TSExEUlNfRVEoUVRSLDM2NTU2KSk=&amp;WINDOW=FIRST","_POPUP&amp;HEIGHT=450&amp;WIDTH=450&amp;START_MAXIMIZED=FALSE&amp;VAR:CALENDAR=US&amp;VAR:SYMBOL=ARX&amp;VAR:INDEX=0"}</definedName>
    <definedName name="_351__FDSAUDITLINK__" hidden="1">{"fdsup://directions/FAT Viewer?action=UPDATE&amp;creator=factset&amp;DYN_ARGS=TRUE&amp;DOC_NAME=FAT:FQL_AUDITING_CLIENT_TEMPLATE.FAT&amp;display_string=Audit&amp;VAR:KEY=GRIVODUVAB&amp;VAR:QUERY=KENTRl9DT01fU0hTX09VVF9FUFNfRElMKFFUUl9SLDM2NTI1KUBXU0ZfQ09NX1NIU19PVVRfRVBTX0RJTChRV","FIsMzY1MjUpKQ==&amp;WINDOW=FIRST_POPUP&amp;HEIGHT=450&amp;WIDTH=450&amp;START_MAXIMIZED=FALSE&amp;VAR:CALENDAR=US&amp;VAR:SYMBOL=ARX&amp;VAR:INDEX=0"}</definedName>
    <definedName name="_352__FDSAUDITLINK__" hidden="1">{"fdsup://directions/FAT Viewer?action=UPDATE&amp;creator=factset&amp;DYN_ARGS=TRUE&amp;DOC_NAME=FAT:FQL_AUDITING_CLIENT_TEMPLATE.FAT&amp;display_string=Audit&amp;VAR:KEY=ANOROXQDYD&amp;VAR:QUERY=KENTRl9JTlRBTkcoUVRSX1IsMzY1MjUpQFdTRl9JTlRBTkcoUVRSLDM2NTI1KSk=&amp;WINDOW=FIRST_POPUP&amp;H","EIGHT=450&amp;WIDTH=450&amp;START_MAXIMIZED=FALSE&amp;VAR:CALENDAR=US&amp;VAR:SYMBOL=ARX&amp;VAR:INDEX=0"}</definedName>
    <definedName name="_353__FDSAUDITLINK__" hidden="1">{"fdsup://directions/FAT Viewer?action=UPDATE&amp;creator=factset&amp;DYN_ARGS=TRUE&amp;DOC_NAME=FAT:FQL_AUDITING_CLIENT_TEMPLATE.FAT&amp;display_string=Audit&amp;VAR:KEY=UTQLCLGJUJ&amp;VAR:QUERY=KENTRl9TSExEUlNfRVEoUVRSX1IsMzY1MjUpQFdTRl9TSExEUlNfRVEoUVRSLDM2NTI1KSk=&amp;WINDOW=FIRST","_POPUP&amp;HEIGHT=450&amp;WIDTH=450&amp;START_MAXIMIZED=FALSE&amp;VAR:CALENDAR=US&amp;VAR:SYMBOL=ARX&amp;VAR:INDEX=0"}</definedName>
    <definedName name="_354__FDSAUDITLINK__" hidden="1">{"fdsup://directions/FAT Viewer?action=UPDATE&amp;creator=factset&amp;DYN_ARGS=TRUE&amp;DOC_NAME=FAT:FQL_AUDITING_CLIENT_TEMPLATE.FAT&amp;display_string=Audit&amp;VAR:KEY=GTCLSBADEB&amp;VAR:QUERY=KENTRl9DT01fU0hTX09VVF9FUFNfRElMKFFUUl9SLDM2NDk0KUBXU0ZfQ09NX1NIU19PVVRfRVBTX0RJTChRV","FIsMzY0OTQpKQ==&amp;WINDOW=FIRST_POPUP&amp;HEIGHT=450&amp;WIDTH=450&amp;START_MAXIMIZED=FALSE&amp;VAR:CALENDAR=US&amp;VAR:SYMBOL=ARX&amp;VAR:INDEX=0"}</definedName>
    <definedName name="_355__FDSAUDITLINK__" hidden="1">{"fdsup://directions/FAT Viewer?action=UPDATE&amp;creator=factset&amp;DYN_ARGS=TRUE&amp;DOC_NAME=FAT:FQL_AUDITING_CLIENT_TEMPLATE.FAT&amp;display_string=Audit&amp;VAR:KEY=KTCVWVCXSP&amp;VAR:QUERY=KENTRl9JTlRBTkcoUVRSX1IsMzY0OTQpQFdTRl9JTlRBTkcoUVRSLDM2NDk0KSk=&amp;WINDOW=FIRST_POPUP&amp;H","EIGHT=450&amp;WIDTH=450&amp;START_MAXIMIZED=FALSE&amp;VAR:CALENDAR=US&amp;VAR:SYMBOL=ARX&amp;VAR:INDEX=0"}</definedName>
    <definedName name="_356__FDSAUDITLINK__" hidden="1">{"fdsup://directions/FAT Viewer?action=UPDATE&amp;creator=factset&amp;DYN_ARGS=TRUE&amp;DOC_NAME=FAT:FQL_AUDITING_CLIENT_TEMPLATE.FAT&amp;display_string=Audit&amp;VAR:KEY=IFKRWBWPYJ&amp;VAR:QUERY=KENTRl9TSExEUlNfRVEoUVRSX1IsMzY0OTQpQFdTRl9TSExEUlNfRVEoUVRSLDM2NDk0KSk=&amp;WINDOW=FIRST","_POPUP&amp;HEIGHT=450&amp;WIDTH=450&amp;START_MAXIMIZED=FALSE&amp;VAR:CALENDAR=US&amp;VAR:SYMBOL=ARX&amp;VAR:INDEX=0"}</definedName>
    <definedName name="_357__FDSAUDITLINK__" hidden="1">{"fdsup://directions/FAT Viewer?action=UPDATE&amp;creator=factset&amp;DYN_ARGS=TRUE&amp;DOC_NAME=FAT:FQL_AUDITING_CLIENT_TEMPLATE.FAT&amp;display_string=Audit&amp;VAR:KEY=CBWBYDQBYR&amp;VAR:QUERY=KENTRl9DT01fU0hTX09VVF9FUFNfRElMKFFUUl9SLDM2NDYyKUBXU0ZfQ09NX1NIU19PVVRfRVBTX0RJTChRV","FIsMzY0NjIpKQ==&amp;WINDOW=FIRST_POPUP&amp;HEIGHT=450&amp;WIDTH=450&amp;START_MAXIMIZED=FALSE&amp;VAR:CALENDAR=US&amp;VAR:SYMBOL=ARX&amp;VAR:INDEX=0"}</definedName>
    <definedName name="_358__FDSAUDITLINK__" hidden="1">{"fdsup://directions/FAT Viewer?action=UPDATE&amp;creator=factset&amp;DYN_ARGS=TRUE&amp;DOC_NAME=FAT:FQL_AUDITING_CLIENT_TEMPLATE.FAT&amp;display_string=Audit&amp;VAR:KEY=ELINIDUNIT&amp;VAR:QUERY=KENTRl9JTlRBTkcoUVRSX1IsMzY0NjIpQFdTRl9JTlRBTkcoUVRSLDM2NDYyKSk=&amp;WINDOW=FIRST_POPUP&amp;H","EIGHT=450&amp;WIDTH=450&amp;START_MAXIMIZED=FALSE&amp;VAR:CALENDAR=US&amp;VAR:SYMBOL=ARX&amp;VAR:INDEX=0"}</definedName>
    <definedName name="_359__FDSAUDITLINK__" hidden="1">{"fdsup://directions/FAT Viewer?action=UPDATE&amp;creator=factset&amp;DYN_ARGS=TRUE&amp;DOC_NAME=FAT:FQL_AUDITING_CLIENT_TEMPLATE.FAT&amp;display_string=Audit&amp;VAR:KEY=ODUDADIPCV&amp;VAR:QUERY=KENTRl9TSExEUlNfRVEoUVRSX1IsMzY0NjIpQFdTRl9TSExEUlNfRVEoUVRSLDM2NDYyKSk=&amp;WINDOW=FIRST","_POPUP&amp;HEIGHT=450&amp;WIDTH=450&amp;START_MAXIMIZED=FALSE&amp;VAR:CALENDAR=US&amp;VAR:SYMBOL=ARX&amp;VAR:INDEX=0"}</definedName>
    <definedName name="_36__FDSAUDITLINK__" hidden="1">{"fdsup://directions/FAT Viewer?action=UPDATE&amp;creator=factset&amp;DYN_ARGS=TRUE&amp;DOC_NAME=FAT:FQL_AUDITING_CLIENT_TEMPLATE.FAT&amp;display_string=Audit&amp;VAR:KEY=WPYRSPYXIF&amp;VAR:QUERY=KENTRl9JTlRBTkcoUVRSX1IsMzYyNTApQFdTRl9JTlRBTkcoUVRSLDM2MjUwKSk=&amp;WINDOW=FIRST_POPUP&amp;H","EIGHT=450&amp;WIDTH=450&amp;START_MAXIMIZED=FALSE&amp;VAR:CALENDAR=US&amp;VAR:SYMBOL=AMD&amp;VAR:INDEX=0"}</definedName>
    <definedName name="_360__FDSAUDITLINK__" hidden="1">{"fdsup://directions/FAT Viewer?action=UPDATE&amp;creator=factset&amp;DYN_ARGS=TRUE&amp;DOC_NAME=FAT:FQL_AUDITING_CLIENT_TEMPLATE.FAT&amp;display_string=Audit&amp;VAR:KEY=YHOZMZUDYT&amp;VAR:QUERY=KENTRl9DT01fU0hTX09VVF9FUFNfRElMKFFUUl9SLDM2NDMzKUBXU0ZfQ09NX1NIU19PVVRfRVBTX0RJTChRV","FIsMzY0MzMpKQ==&amp;WINDOW=FIRST_POPUP&amp;HEIGHT=450&amp;WIDTH=450&amp;START_MAXIMIZED=FALSE&amp;VAR:CALENDAR=US&amp;VAR:SYMBOL=ARX&amp;VAR:INDEX=0"}</definedName>
    <definedName name="_361__FDSAUDITLINK__" hidden="1">{"fdsup://directions/FAT Viewer?action=UPDATE&amp;creator=factset&amp;DYN_ARGS=TRUE&amp;DOC_NAME=FAT:FQL_AUDITING_CLIENT_TEMPLATE.FAT&amp;display_string=Audit&amp;VAR:KEY=UZOZGRKXKL&amp;VAR:QUERY=KENTRl9JTlRBTkcoUVRSX1IsMzY0MzMpQFdTRl9JTlRBTkcoUVRSLDM2NDMzKSk=&amp;WINDOW=FIRST_POPUP&amp;H","EIGHT=450&amp;WIDTH=450&amp;START_MAXIMIZED=FALSE&amp;VAR:CALENDAR=US&amp;VAR:SYMBOL=ARX&amp;VAR:INDEX=0"}</definedName>
    <definedName name="_362__FDSAUDITLINK__" hidden="1">{"fdsup://directions/FAT Viewer?action=UPDATE&amp;creator=factset&amp;DYN_ARGS=TRUE&amp;DOC_NAME=FAT:FQL_AUDITING_CLIENT_TEMPLATE.FAT&amp;display_string=Audit&amp;VAR:KEY=QTSVONSRIP&amp;VAR:QUERY=KENTRl9TSExEUlNfRVEoUVRSX1IsMzY0MzMpQFdTRl9TSExEUlNfRVEoUVRSLDM2NDMzKSk=&amp;WINDOW=FIRST","_POPUP&amp;HEIGHT=450&amp;WIDTH=450&amp;START_MAXIMIZED=FALSE&amp;VAR:CALENDAR=US&amp;VAR:SYMBOL=ARX&amp;VAR:INDEX=0"}</definedName>
    <definedName name="_363__FDSAUDITLINK__" hidden="1">{"fdsup://directions/FAT Viewer?action=UPDATE&amp;creator=factset&amp;DYN_ARGS=TRUE&amp;DOC_NAME=FAT:FQL_AUDITING_CLIENT_TEMPLATE.FAT&amp;display_string=Audit&amp;VAR:KEY=SZKFETWBYZ&amp;VAR:QUERY=KENTRl9DT01fU0hTX09VVF9FUFNfRElMKFFUUl9SLDM2NDAzKUBXU0ZfQ09NX1NIU19PVVRfRVBTX0RJTChRV","FIsMzY0MDMpKQ==&amp;WINDOW=FIRST_POPUP&amp;HEIGHT=450&amp;WIDTH=450&amp;START_MAXIMIZED=FALSE&amp;VAR:CALENDAR=US&amp;VAR:SYMBOL=ARX&amp;VAR:INDEX=0"}</definedName>
    <definedName name="_364__FDSAUDITLINK__" hidden="1">{"fdsup://directions/FAT Viewer?action=UPDATE&amp;creator=factset&amp;DYN_ARGS=TRUE&amp;DOC_NAME=FAT:FQL_AUDITING_CLIENT_TEMPLATE.FAT&amp;display_string=Audit&amp;VAR:KEY=ALUTYBGPKX&amp;VAR:QUERY=KENTRl9JTlRBTkcoUVRSX1IsMzY0MDMpQFdTRl9JTlRBTkcoUVRSLDM2NDAzKSk=&amp;WINDOW=FIRST_POPUP&amp;H","EIGHT=450&amp;WIDTH=450&amp;START_MAXIMIZED=FALSE&amp;VAR:CALENDAR=US&amp;VAR:SYMBOL=ARX&amp;VAR:INDEX=0"}</definedName>
    <definedName name="_365__FDSAUDITLINK__" hidden="1">{"fdsup://directions/FAT Viewer?action=UPDATE&amp;creator=factset&amp;DYN_ARGS=TRUE&amp;DOC_NAME=FAT:FQL_AUDITING_CLIENT_TEMPLATE.FAT&amp;display_string=Audit&amp;VAR:KEY=YHONQXAZSR&amp;VAR:QUERY=KENTRl9TSExEUlNfRVEoUVRSX1IsMzY0MDMpQFdTRl9TSExEUlNfRVEoUVRSLDM2NDAzKSk=&amp;WINDOW=FIRST","_POPUP&amp;HEIGHT=450&amp;WIDTH=450&amp;START_MAXIMIZED=FALSE&amp;VAR:CALENDAR=US&amp;VAR:SYMBOL=ARX&amp;VAR:INDEX=0"}</definedName>
    <definedName name="_366__FDSAUDITLINK__" hidden="1">{"fdsup://directions/FAT Viewer?action=UPDATE&amp;creator=factset&amp;DYN_ARGS=TRUE&amp;DOC_NAME=FAT:FQL_AUDITING_CLIENT_TEMPLATE.FAT&amp;display_string=Audit&amp;VAR:KEY=GFSNGJUZGB&amp;VAR:QUERY=KENTRl9DT01fU0hTX09VVF9FUFNfRElMKFFUUl9SLDM2MzcxKUBXU0ZfQ09NX1NIU19PVVRfRVBTX0RJTChRV","FIsMzYzNzEpKQ==&amp;WINDOW=FIRST_POPUP&amp;HEIGHT=450&amp;WIDTH=450&amp;START_MAXIMIZED=FALSE&amp;VAR:CALENDAR=US&amp;VAR:SYMBOL=ARX&amp;VAR:INDEX=0"}</definedName>
    <definedName name="_367__FDSAUDITLINK__" hidden="1">{"fdsup://directions/FAT Viewer?action=UPDATE&amp;creator=factset&amp;DYN_ARGS=TRUE&amp;DOC_NAME=FAT:FQL_AUDITING_CLIENT_TEMPLATE.FAT&amp;display_string=Audit&amp;VAR:KEY=CBUFQRWTMN&amp;VAR:QUERY=KENTRl9JTlRBTkcoUVRSX1IsMzYzNzEpQFdTRl9JTlRBTkcoUVRSLDM2MzcxKSk=&amp;WINDOW=FIRST_POPUP&amp;H","EIGHT=450&amp;WIDTH=450&amp;START_MAXIMIZED=FALSE&amp;VAR:CALENDAR=US&amp;VAR:SYMBOL=ARX&amp;VAR:INDEX=0"}</definedName>
    <definedName name="_368__FDSAUDITLINK__" hidden="1">{"fdsup://directions/FAT Viewer?action=UPDATE&amp;creator=factset&amp;DYN_ARGS=TRUE&amp;DOC_NAME=FAT:FQL_AUDITING_CLIENT_TEMPLATE.FAT&amp;display_string=Audit&amp;VAR:KEY=CFMTMNEHCF&amp;VAR:QUERY=KENTRl9TSExEUlNfRVEoUVRSX1IsMzYzNzEpQFdTRl9TSExEUlNfRVEoUVRSLDM2MzcxKSk=&amp;WINDOW=FIRST","_POPUP&amp;HEIGHT=450&amp;WIDTH=450&amp;START_MAXIMIZED=FALSE&amp;VAR:CALENDAR=US&amp;VAR:SYMBOL=ARX&amp;VAR:INDEX=0"}</definedName>
    <definedName name="_369__FDSAUDITLINK__" hidden="1">{"fdsup://directions/FAT Viewer?action=UPDATE&amp;creator=factset&amp;DYN_ARGS=TRUE&amp;DOC_NAME=FAT:FQL_AUDITING_CLIENT_TEMPLATE.FAT&amp;display_string=Audit&amp;VAR:KEY=EPWDAVAVWL&amp;VAR:QUERY=KENTRl9DT01fU0hTX09VVF9FUFNfRElMKFFUUl9SLDM2MzQxKUBXU0ZfQ09NX1NIU19PVVRfRVBTX0RJTChRV","FIsMzYzNDEpKQ==&amp;WINDOW=FIRST_POPUP&amp;HEIGHT=450&amp;WIDTH=450&amp;START_MAXIMIZED=FALSE&amp;VAR:CALENDAR=US&amp;VAR:SYMBOL=ARX&amp;VAR:INDEX=0"}</definedName>
    <definedName name="_37__FDSAUDITLINK__" hidden="1">{"fdsup://directions/FAT Viewer?action=UPDATE&amp;creator=factset&amp;DYN_ARGS=TRUE&amp;DOC_NAME=FAT:FQL_AUDITING_CLIENT_TEMPLATE.FAT&amp;display_string=Audit&amp;VAR:KEY=YRQJSBSTEN&amp;VAR:QUERY=KENTRl9JTlRBTkcoUVRSX1IsMzYyMTcpQFdTRl9JTlRBTkcoUVRSLDM2MjE3KSk=&amp;WINDOW=FIRST_POPUP&amp;H","EIGHT=450&amp;WIDTH=450&amp;START_MAXIMIZED=FALSE&amp;VAR:CALENDAR=US&amp;VAR:SYMBOL=AMD&amp;VAR:INDEX=0"}</definedName>
    <definedName name="_370__FDSAUDITLINK__" hidden="1">{"fdsup://directions/FAT Viewer?action=UPDATE&amp;creator=factset&amp;DYN_ARGS=TRUE&amp;DOC_NAME=FAT:FQL_AUDITING_CLIENT_TEMPLATE.FAT&amp;display_string=Audit&amp;VAR:KEY=ENALIHQZUJ&amp;VAR:QUERY=KENTRl9JTlRBTkcoUVRSX1IsMzYzNDEpQFdTRl9JTlRBTkcoUVRSLDM2MzQxKSk=&amp;WINDOW=FIRST_POPUP&amp;H","EIGHT=450&amp;WIDTH=450&amp;START_MAXIMIZED=FALSE&amp;VAR:CALENDAR=US&amp;VAR:SYMBOL=ARX&amp;VAR:INDEX=0"}</definedName>
    <definedName name="_371__FDSAUDITLINK__" hidden="1">{"fdsup://directions/FAT Viewer?action=UPDATE&amp;creator=factset&amp;DYN_ARGS=TRUE&amp;DOC_NAME=FAT:FQL_AUDITING_CLIENT_TEMPLATE.FAT&amp;display_string=Audit&amp;VAR:KEY=EFKFOZQBKX&amp;VAR:QUERY=KENTRl9TSExEUlNfRVEoUVRSX1IsMzYzNDEpQFdTRl9TSExEUlNfRVEoUVRSLDM2MzQxKSk=&amp;WINDOW=FIRST","_POPUP&amp;HEIGHT=450&amp;WIDTH=450&amp;START_MAXIMIZED=FALSE&amp;VAR:CALENDAR=US&amp;VAR:SYMBOL=ARX&amp;VAR:INDEX=0"}</definedName>
    <definedName name="_372__FDSAUDITLINK__" hidden="1">{"fdsup://directions/FAT Viewer?action=UPDATE&amp;creator=factset&amp;DYN_ARGS=TRUE&amp;DOC_NAME=FAT:FQL_AUDITING_CLIENT_TEMPLATE.FAT&amp;display_string=Audit&amp;VAR:KEY=OZKRUNWHIL&amp;VAR:QUERY=KENTRl9DT01fU0hTX09VVF9FUFNfRElMKFFUUl9SLDM2MzA4KUBXU0ZfQ09NX1NIU19PVVRfRVBTX0RJTChRV","FIsMzYzMDgpKQ==&amp;WINDOW=FIRST_POPUP&amp;HEIGHT=450&amp;WIDTH=450&amp;START_MAXIMIZED=FALSE&amp;VAR:CALENDAR=US&amp;VAR:SYMBOL=ARX&amp;VAR:INDEX=0"}</definedName>
    <definedName name="_373__FDSAUDITLINK__" hidden="1">{"fdsup://directions/FAT Viewer?action=UPDATE&amp;creator=factset&amp;DYN_ARGS=TRUE&amp;DOC_NAME=FAT:FQL_AUDITING_CLIENT_TEMPLATE.FAT&amp;display_string=Audit&amp;VAR:KEY=QPUPARQXUX&amp;VAR:QUERY=KENTRl9JTlRBTkcoUVRSX1IsMzYzMDgpQFdTRl9JTlRBTkcoUVRSLDM2MzA4KSk=&amp;WINDOW=FIRST_POPUP&amp;H","EIGHT=450&amp;WIDTH=450&amp;START_MAXIMIZED=FALSE&amp;VAR:CALENDAR=US&amp;VAR:SYMBOL=ARX&amp;VAR:INDEX=0"}</definedName>
    <definedName name="_374__FDSAUDITLINK__" hidden="1">{"fdsup://directions/FAT Viewer?action=UPDATE&amp;creator=factset&amp;DYN_ARGS=TRUE&amp;DOC_NAME=FAT:FQL_AUDITING_CLIENT_TEMPLATE.FAT&amp;display_string=Audit&amp;VAR:KEY=UNOBIVMNGP&amp;VAR:QUERY=KENTRl9TSExEUlNfRVEoUVRSX1IsMzYzMDgpQFdTRl9TSExEUlNfRVEoUVRSLDM2MzA4KSk=&amp;WINDOW=FIRST","_POPUP&amp;HEIGHT=450&amp;WIDTH=450&amp;START_MAXIMIZED=FALSE&amp;VAR:CALENDAR=US&amp;VAR:SYMBOL=ARX&amp;VAR:INDEX=0"}</definedName>
    <definedName name="_375__FDSAUDITLINK__" hidden="1">{"fdsup://directions/FAT Viewer?action=UPDATE&amp;creator=factset&amp;DYN_ARGS=TRUE&amp;DOC_NAME=FAT:FQL_AUDITING_CLIENT_TEMPLATE.FAT&amp;display_string=Audit&amp;VAR:KEY=CHSVMLSVYH&amp;VAR:QUERY=KENTRl9DT01fU0hTX09VVF9FUFNfRElMKFFUUl9SLDM2MjgwKUBXU0ZfQ09NX1NIU19PVVRfRVBTX0RJTChRV","FIsMzYyODApKQ==&amp;WINDOW=FIRST_POPUP&amp;HEIGHT=450&amp;WIDTH=450&amp;START_MAXIMIZED=FALSE&amp;VAR:CALENDAR=US&amp;VAR:SYMBOL=ARX&amp;VAR:INDEX=0"}</definedName>
    <definedName name="_376__FDSAUDITLINK__" hidden="1">{"fdsup://directions/FAT Viewer?action=UPDATE&amp;creator=factset&amp;DYN_ARGS=TRUE&amp;DOC_NAME=FAT:FQL_AUDITING_CLIENT_TEMPLATE.FAT&amp;display_string=Audit&amp;VAR:KEY=CBKNWDAHKJ&amp;VAR:QUERY=KENTRl9JTlRBTkcoUVRSX1IsMzYyODApQFdTRl9JTlRBTkcoUVRSLDM2MjgwKSk=&amp;WINDOW=FIRST_POPUP&amp;H","EIGHT=450&amp;WIDTH=450&amp;START_MAXIMIZED=FALSE&amp;VAR:CALENDAR=US&amp;VAR:SYMBOL=ARX&amp;VAR:INDEX=0"}</definedName>
    <definedName name="_377__FDSAUDITLINK__" hidden="1">{"fdsup://directions/FAT Viewer?action=UPDATE&amp;creator=factset&amp;DYN_ARGS=TRUE&amp;DOC_NAME=FAT:FQL_AUDITING_CLIENT_TEMPLATE.FAT&amp;display_string=Audit&amp;VAR:KEY=KPODUPWHYR&amp;VAR:QUERY=KENTRl9TSExEUlNfRVEoUVRSX1IsMzYyODApQFdTRl9TSExEUlNfRVEoUVRSLDM2MjgwKSk=&amp;WINDOW=FIRST","_POPUP&amp;HEIGHT=450&amp;WIDTH=450&amp;START_MAXIMIZED=FALSE&amp;VAR:CALENDAR=US&amp;VAR:SYMBOL=ARX&amp;VAR:INDEX=0"}</definedName>
    <definedName name="_378__FDSAUDITLINK__" hidden="1">{"fdsup://directions/FAT Viewer?action=UPDATE&amp;creator=factset&amp;DYN_ARGS=TRUE&amp;DOC_NAME=FAT:FQL_AUDITING_CLIENT_TEMPLATE.FAT&amp;display_string=Audit&amp;VAR:KEY=WHUFCHOVAN&amp;VAR:QUERY=KENTRl9DT01fU0hTX09VVF9FUFNfRElMKFFUUl9SLDM2MjUwKUBXU0ZfQ09NX1NIU19PVVRfRVBTX0RJTChRV","FIsMzYyNTApKQ==&amp;WINDOW=FIRST_POPUP&amp;HEIGHT=450&amp;WIDTH=450&amp;START_MAXIMIZED=FALSE&amp;VAR:CALENDAR=US&amp;VAR:SYMBOL=ARX&amp;VAR:INDEX=0"}</definedName>
    <definedName name="_379__FDSAUDITLINK__" hidden="1">{"fdsup://directions/FAT Viewer?action=UPDATE&amp;creator=factset&amp;DYN_ARGS=TRUE&amp;DOC_NAME=FAT:FQL_AUDITING_CLIENT_TEMPLATE.FAT&amp;display_string=Audit&amp;VAR:KEY=QDWBINOJIH&amp;VAR:QUERY=KENTRl9JTlRBTkcoUVRSX1IsMzYyNTApQFdTRl9JTlRBTkcoUVRSLDM2MjUwKSk=&amp;WINDOW=FIRST_POPUP&amp;H","EIGHT=450&amp;WIDTH=450&amp;START_MAXIMIZED=FALSE&amp;VAR:CALENDAR=US&amp;VAR:SYMBOL=ARX&amp;VAR:INDEX=0"}</definedName>
    <definedName name="_38__FDSAUDITLINK__" hidden="1">{"fdsup://directions/FAT Viewer?action=UPDATE&amp;creator=factset&amp;DYN_ARGS=TRUE&amp;DOC_NAME=FAT:FQL_AUDITING_CLIENT_TEMPLATE.FAT&amp;display_string=Audit&amp;VAR:KEY=YZOLCXEXUF&amp;VAR:QUERY=KENTRl9JTlRBTkcoUVRSX1IsMzYxODkpQFdTRl9JTlRBTkcoUVRSLDM2MTg5KSk=&amp;WINDOW=FIRST_POPUP&amp;H","EIGHT=450&amp;WIDTH=450&amp;START_MAXIMIZED=FALSE&amp;VAR:CALENDAR=US&amp;VAR:SYMBOL=AMD&amp;VAR:INDEX=0"}</definedName>
    <definedName name="_380__FDSAUDITLINK__" hidden="1">{"fdsup://directions/FAT Viewer?action=UPDATE&amp;creator=factset&amp;DYN_ARGS=TRUE&amp;DOC_NAME=FAT:FQL_AUDITING_CLIENT_TEMPLATE.FAT&amp;display_string=Audit&amp;VAR:KEY=UXUVUJWNOH&amp;VAR:QUERY=KENTRl9TSExEUlNfRVEoUVRSX1IsMzYyNTApQFdTRl9TSExEUlNfRVEoUVRSLDM2MjUwKSk=&amp;WINDOW=FIRST","_POPUP&amp;HEIGHT=450&amp;WIDTH=450&amp;START_MAXIMIZED=FALSE&amp;VAR:CALENDAR=US&amp;VAR:SYMBOL=ARX&amp;VAR:INDEX=0"}</definedName>
    <definedName name="_381__FDSAUDITLINK__" hidden="1">{"fdsup://directions/FAT Viewer?action=UPDATE&amp;creator=factset&amp;DYN_ARGS=TRUE&amp;DOC_NAME=FAT:FQL_AUDITING_CLIENT_TEMPLATE.FAT&amp;display_string=Audit&amp;VAR:KEY=ZMRSHSZMTM&amp;VAR:QUERY=RkZfU0hMRFJTX0VRKCdRVFInLDM0NzU4KQ==&amp;WINDOW=FIRST_POPUP&amp;HEIGHT=450&amp;WIDTH=450&amp;START_MA","XIMIZED=FALSE&amp;VAR:CALENDAR=US&amp;VAR:SYMBOL=INTC&amp;VAR:INDEX=0"}</definedName>
    <definedName name="_382__FDSAUDITLINK__" hidden="1">{"fdsup://directions/FAT Viewer?action=UPDATE&amp;creator=factset&amp;DYN_ARGS=TRUE&amp;DOC_NAME=FAT:FQL_AUDITING_CLIENT_TEMPLATE.FAT&amp;display_string=Audit&amp;VAR:KEY=ZMRSHSZMTM&amp;VAR:QUERY=RkZfU0hMRFJTX0VRKCdRVFInLDM0NzU4KQ==&amp;WINDOW=FIRST_POPUP&amp;HEIGHT=450&amp;WIDTH=450&amp;START_MA","XIMIZED=FALSE&amp;VAR:CALENDAR=US&amp;VAR:SYMBOL=INTC&amp;VAR:INDEX=0"}</definedName>
    <definedName name="_383__FDSAUDITLINK__" hidden="1">{"fdsup://directions/FAT Viewer?action=UPDATE&amp;creator=factset&amp;DYN_ARGS=TRUE&amp;DOC_NAME=FAT:FQL_AUDITING_CLIENT_TEMPLATE.FAT&amp;display_string=Audit&amp;VAR:KEY=NSPATQLEPM&amp;VAR:QUERY=RkZfU0hMRFJTX0VRKCdRVFInLDM0NzMwKQ==&amp;WINDOW=FIRST_POPUP&amp;HEIGHT=450&amp;WIDTH=450&amp;START_MA","XIMIZED=FALSE&amp;VAR:CALENDAR=US&amp;VAR:SYMBOL=INTC&amp;VAR:INDEX=0"}</definedName>
    <definedName name="_384__FDSAUDITLINK__" hidden="1">{"fdsup://directions/FAT Viewer?action=UPDATE&amp;creator=factset&amp;DYN_ARGS=TRUE&amp;DOC_NAME=FAT:FQL_AUDITING_CLIENT_TEMPLATE.FAT&amp;display_string=Audit&amp;VAR:KEY=NSPATQLEPM&amp;VAR:QUERY=RkZfU0hMRFJTX0VRKCdRVFInLDM0NzMwKQ==&amp;WINDOW=FIRST_POPUP&amp;HEIGHT=450&amp;WIDTH=450&amp;START_MA","XIMIZED=FALSE&amp;VAR:CALENDAR=US&amp;VAR:SYMBOL=INTC&amp;VAR:INDEX=0"}</definedName>
    <definedName name="_385__FDSAUDITLINK__" hidden="1">{"fdsup://directions/FAT Viewer?action=UPDATE&amp;creator=factset&amp;DYN_ARGS=TRUE&amp;DOC_NAME=FAT:FQL_AUDITING_CLIENT_TEMPLATE.FAT&amp;display_string=Audit&amp;VAR:KEY=ZQJSJORKJU&amp;VAR:QUERY=RkZfU0hMRFJTX0VRKCdRVFInLDM0Njk4KQ==&amp;WINDOW=FIRST_POPUP&amp;HEIGHT=450&amp;WIDTH=450&amp;START_MA","XIMIZED=FALSE&amp;VAR:CALENDAR=US&amp;VAR:SYMBOL=INTC&amp;VAR:INDEX=0"}</definedName>
    <definedName name="_386__FDSAUDITLINK__" hidden="1">{"fdsup://directions/FAT Viewer?action=UPDATE&amp;creator=factset&amp;DYN_ARGS=TRUE&amp;DOC_NAME=FAT:FQL_AUDITING_CLIENT_TEMPLATE.FAT&amp;display_string=Audit&amp;VAR:KEY=ZQJSJORKJU&amp;VAR:QUERY=RkZfU0hMRFJTX0VRKCdRVFInLDM0Njk4KQ==&amp;WINDOW=FIRST_POPUP&amp;HEIGHT=450&amp;WIDTH=450&amp;START_MA","XIMIZED=FALSE&amp;VAR:CALENDAR=US&amp;VAR:SYMBOL=INTC&amp;VAR:INDEX=0"}</definedName>
    <definedName name="_387__FDSAUDITLINK__" hidden="1">{"fdsup://directions/FAT Viewer?action=UPDATE&amp;creator=factset&amp;DYN_ARGS=TRUE&amp;DOC_NAME=FAT:FQL_AUDITING_CLIENT_TEMPLATE.FAT&amp;display_string=Audit&amp;VAR:KEY=INMNGDMXER&amp;VAR:QUERY=KENTRl9DT01fU0hTX09VVF9FUFNfRElMKFFUUl9SLDQxMTM3KUBXU0ZfQ09NX1NIU19PVVRfRVBTX0RJTChRV","FIsNDExMzcpKQ==&amp;WINDOW=FIRST_POPUP&amp;HEIGHT=450&amp;WIDTH=450&amp;START_MAXIMIZED=FALSE&amp;VAR:CALENDAR=US&amp;VAR:SYMBOL=ARX&amp;VAR:INDEX=0"}</definedName>
    <definedName name="_388__FDSAUDITLINK__" hidden="1">{"fdsup://directions/FAT Viewer?action=UPDATE&amp;creator=factset&amp;DYN_ARGS=TRUE&amp;DOC_NAME=FAT:FQL_AUDITING_CLIENT_TEMPLATE.FAT&amp;display_string=Audit&amp;VAR:KEY=CNCRADOVMF&amp;VAR:QUERY=KENTRl9JTlRBTkcoUVRSX1IsNDExMzcpQFdTRl9JTlRBTkcoUVRSLDQxMTM3KSk=&amp;WINDOW=FIRST_POPUP&amp;H","EIGHT=450&amp;WIDTH=450&amp;START_MAXIMIZED=FALSE&amp;VAR:CALENDAR=US&amp;VAR:SYMBOL=ARX&amp;VAR:INDEX=0"}</definedName>
    <definedName name="_389__FDSAUDITLINK__" hidden="1">{"fdsup://directions/FAT Viewer?action=UPDATE&amp;creator=factset&amp;DYN_ARGS=TRUE&amp;DOC_NAME=FAT:FQL_AUDITING_CLIENT_TEMPLATE.FAT&amp;display_string=Audit&amp;VAR:KEY=CBWLIFIVKT&amp;VAR:QUERY=KENTRl9TSExEUlNfRVEoUVRSX1IsNDExMzcpQFdTRl9TSExEUlNfRVEoUVRSLDQxMTM3KSk=&amp;WINDOW=FIRST","_POPUP&amp;HEIGHT=450&amp;WIDTH=450&amp;START_MAXIMIZED=FALSE&amp;VAR:CALENDAR=US&amp;VAR:SYMBOL=ARX&amp;VAR:INDEX=0"}</definedName>
    <definedName name="_39__FDSAUDITLINK__" hidden="1">{"fdsup://directions/FAT Viewer?action=UPDATE&amp;creator=factset&amp;DYN_ARGS=TRUE&amp;DOC_NAME=FAT:FQL_AUDITING_CLIENT_TEMPLATE.FAT&amp;display_string=Audit&amp;VAR:KEY=CHQLGXCTOF&amp;VAR:QUERY=KENTRl9JTlRBTkcoUVRSX1IsMzYxNjApQFdTRl9JTlRBTkcoUVRSLDM2MTYwKSk=&amp;WINDOW=FIRST_POPUP&amp;H","EIGHT=450&amp;WIDTH=450&amp;START_MAXIMIZED=FALSE&amp;VAR:CALENDAR=US&amp;VAR:SYMBOL=AMD&amp;VAR:INDEX=0"}</definedName>
    <definedName name="_390__FDSAUDITLINK__" hidden="1">{"fdsup://directions/FAT Viewer?action=UPDATE&amp;creator=factset&amp;DYN_ARGS=TRUE&amp;DOC_NAME=FAT:FQL_AUDITING_CLIENT_TEMPLATE.FAT&amp;display_string=Audit&amp;VAR:KEY=KZKNOXSLMX&amp;VAR:QUERY=KENTRl9DT01fU0hTX09VVF9FUFNfRElMKFFUUl9SLDQxMTIxKUBXU0ZfQ09NX1NIU19PVVRfRVBTX0RJTChRV","FIsNDExMjEpKQ==&amp;WINDOW=FIRST_POPUP&amp;HEIGHT=450&amp;WIDTH=450&amp;START_MAXIMIZED=FALSE&amp;VAR:CALENDAR=US&amp;VAR:SYMBOL=ARX&amp;VAR:INDEX=0"}</definedName>
    <definedName name="_391__FDSAUDITLINK__" hidden="1">{"fdsup://directions/FAT Viewer?action=UPDATE&amp;creator=factset&amp;DYN_ARGS=TRUE&amp;DOC_NAME=FAT:FQL_AUDITING_CLIENT_TEMPLATE.FAT&amp;display_string=Audit&amp;VAR:KEY=EXYLIFUVSD&amp;VAR:QUERY=KENTRl9JTlRBTkcoUVRSX1IsNDExMjEpQFdTRl9JTlRBTkcoUVRSLDQxMTIxKSk=&amp;WINDOW=FIRST_POPUP&amp;H","EIGHT=450&amp;WIDTH=450&amp;START_MAXIMIZED=FALSE&amp;VAR:CALENDAR=US&amp;VAR:SYMBOL=ARX&amp;VAR:INDEX=0"}</definedName>
    <definedName name="_392__FDSAUDITLINK__" hidden="1">{"fdsup://directions/FAT Viewer?action=UPDATE&amp;creator=factset&amp;DYN_ARGS=TRUE&amp;DOC_NAME=FAT:FQL_AUDITING_CLIENT_TEMPLATE.FAT&amp;display_string=Audit&amp;VAR:KEY=WRGTGJUZUH&amp;VAR:QUERY=KENTRl9TSExEUlNfRVEoUVRSX1IsNDExMjEpQFdTRl9TSExEUlNfRVEoUVRSLDQxMTIxKSk=&amp;WINDOW=FIRST","_POPUP&amp;HEIGHT=450&amp;WIDTH=450&amp;START_MAXIMIZED=FALSE&amp;VAR:CALENDAR=US&amp;VAR:SYMBOL=ARX&amp;VAR:INDEX=0"}</definedName>
    <definedName name="_393__FDSAUDITLINK__" hidden="1">{"fdsup://directions/FAT Viewer?action=UPDATE&amp;creator=factset&amp;DYN_ARGS=TRUE&amp;DOC_NAME=FAT:FQL_AUDITING_CLIENT_TEMPLATE.FAT&amp;display_string=Audit&amp;VAR:KEY=QVUNKVWZMJ&amp;VAR:QUERY=KENTRl9DT01fU0hTX09VVF9FUFNfRElMKFFUUl9SLDQxMDkwKUBXU0ZfQ09NX1NIU19PVVRfRVBTX0RJTChRV","FIsNDEwOTApKQ==&amp;WINDOW=FIRST_POPUP&amp;HEIGHT=450&amp;WIDTH=450&amp;START_MAXIMIZED=FALSE&amp;VAR:CALENDAR=US&amp;VAR:SYMBOL=ARX&amp;VAR:INDEX=0"}</definedName>
    <definedName name="_394__FDSAUDITLINK__" hidden="1">{"fdsup://directions/FAT Viewer?action=UPDATE&amp;creator=factset&amp;DYN_ARGS=TRUE&amp;DOC_NAME=FAT:FQL_AUDITING_CLIENT_TEMPLATE.FAT&amp;display_string=Audit&amp;VAR:KEY=EXSJINGVIZ&amp;VAR:QUERY=KENTRl9JTlRBTkcoUVRSX1IsNDEwOTApQFdTRl9JTlRBTkcoUVRSLDQxMDkwKSk=&amp;WINDOW=FIRST_POPUP&amp;H","EIGHT=450&amp;WIDTH=450&amp;START_MAXIMIZED=FALSE&amp;VAR:CALENDAR=US&amp;VAR:SYMBOL=ARX&amp;VAR:INDEX=0"}</definedName>
    <definedName name="_395__FDSAUDITLINK__" hidden="1">{"fdsup://directions/FAT Viewer?action=UPDATE&amp;creator=factset&amp;DYN_ARGS=TRUE&amp;DOC_NAME=FAT:FQL_AUDITING_CLIENT_TEMPLATE.FAT&amp;display_string=Audit&amp;VAR:KEY=OPMZYLCLUF&amp;VAR:QUERY=KENTRl9TSExEUlNfRVEoUVRSX1IsNDEwOTApQFdTRl9TSExEUlNfRVEoUVRSLDQxMDkwKSk=&amp;WINDOW=FIRST","_POPUP&amp;HEIGHT=450&amp;WIDTH=450&amp;START_MAXIMIZED=FALSE&amp;VAR:CALENDAR=US&amp;VAR:SYMBOL=ARX&amp;VAR:INDEX=0"}</definedName>
    <definedName name="_396__FDSAUDITLINK__" hidden="1">{"fdsup://directions/FAT Viewer?action=UPDATE&amp;creator=factset&amp;DYN_ARGS=TRUE&amp;DOC_NAME=FAT:FQL_AUDITING_CLIENT_TEMPLATE.FAT&amp;display_string=Audit&amp;VAR:KEY=INMNGDMXER&amp;VAR:QUERY=KENTRl9DT01fU0hTX09VVF9FUFNfRElMKFFUUl9SLDQxMTM3KUBXU0ZfQ09NX1NIU19PVVRfRVBTX0RJTChRV","FIsNDExMzcpKQ==&amp;WINDOW=FIRST_POPUP&amp;HEIGHT=450&amp;WIDTH=450&amp;START_MAXIMIZED=FALSE&amp;VAR:CALENDAR=US&amp;VAR:SYMBOL=ARX&amp;VAR:INDEX=0"}</definedName>
    <definedName name="_397__FDSAUDITLINK__" hidden="1">{"fdsup://directions/FAT Viewer?action=UPDATE&amp;creator=factset&amp;DYN_ARGS=TRUE&amp;DOC_NAME=FAT:FQL_AUDITING_CLIENT_TEMPLATE.FAT&amp;display_string=Audit&amp;VAR:KEY=CNCRADOVMF&amp;VAR:QUERY=KENTRl9JTlRBTkcoUVRSX1IsNDExMzcpQFdTRl9JTlRBTkcoUVRSLDQxMTM3KSk=&amp;WINDOW=FIRST_POPUP&amp;H","EIGHT=450&amp;WIDTH=450&amp;START_MAXIMIZED=FALSE&amp;VAR:CALENDAR=US&amp;VAR:SYMBOL=ARX&amp;VAR:INDEX=0"}</definedName>
    <definedName name="_398__FDSAUDITLINK__" hidden="1">{"fdsup://directions/FAT Viewer?action=UPDATE&amp;creator=factset&amp;DYN_ARGS=TRUE&amp;DOC_NAME=FAT:FQL_AUDITING_CLIENT_TEMPLATE.FAT&amp;display_string=Audit&amp;VAR:KEY=CBWLIFIVKT&amp;VAR:QUERY=KENTRl9TSExEUlNfRVEoUVRSX1IsNDExMzcpQFdTRl9TSExEUlNfRVEoUVRSLDQxMTM3KSk=&amp;WINDOW=FIRST","_POPUP&amp;HEIGHT=450&amp;WIDTH=450&amp;START_MAXIMIZED=FALSE&amp;VAR:CALENDAR=US&amp;VAR:SYMBOL=ARX&amp;VAR:INDEX=0"}</definedName>
    <definedName name="_399__FDSAUDITLINK__" hidden="1">{"fdsup://directions/FAT Viewer?action=UPDATE&amp;creator=factset&amp;DYN_ARGS=TRUE&amp;DOC_NAME=FAT:FQL_AUDITING_CLIENT_TEMPLATE.FAT&amp;display_string=Audit&amp;VAR:KEY=KZKNOXSLMX&amp;VAR:QUERY=KENTRl9DT01fU0hTX09VVF9FUFNfRElMKFFUUl9SLDQxMTIxKUBXU0ZfQ09NX1NIU19PVVRfRVBTX0RJTChRV","FIsNDExMjEpKQ==&amp;WINDOW=FIRST_POPUP&amp;HEIGHT=450&amp;WIDTH=450&amp;START_MAXIMIZED=FALSE&amp;VAR:CALENDAR=US&amp;VAR:SYMBOL=ARX&amp;VAR:INDEX=0"}</definedName>
    <definedName name="_3Q94">#REF!</definedName>
    <definedName name="_3Q95">#REF!</definedName>
    <definedName name="_4__123Graph_BCHART_1" hidden="1">#REF!</definedName>
    <definedName name="_4__FDSAUDITLINK__" hidden="1">{"fdsup://directions/FAT Viewer?action=UPDATE&amp;creator=factset&amp;DYN_ARGS=TRUE&amp;DOC_NAME=FAT:FQL_AUDITING_CLIENT_TEMPLATE.FAT&amp;display_string=Audit&amp;VAR:KEY=KBSDWPWXMZ&amp;VAR:QUERY=KENTRl9JTlRBTkcoUVRSX1IsMzcyMjUpQFdTRl9JTlRBTkcoUVRSLDM3MjI1KSk=&amp;WINDOW=FIRST_POPUP&amp;H","EIGHT=450&amp;WIDTH=450&amp;START_MAXIMIZED=FALSE&amp;VAR:CALENDAR=US&amp;VAR:SYMBOL=AMD&amp;VAR:INDEX=0"}</definedName>
    <definedName name="_40__FDSAUDITLINK__" hidden="1">{"fdsup://directions/FAT Viewer?action=UPDATE&amp;creator=factset&amp;DYN_ARGS=TRUE&amp;DOC_NAME=FAT:FQL_AUDITING_CLIENT_TEMPLATE.FAT&amp;display_string=Audit&amp;VAR:KEY=GHMLUFYXOP&amp;VAR:QUERY=KENTRl9DT01fU0hTX09VVF9FUFNfRElMKFFUUl9SLDM2MTI5KUBXU0ZfQ09NX1NIU19PVVRfRVBTX0RJTChRV","FIsMzYxMjkpKQ==&amp;WINDOW=FIRST_POPUP&amp;HEIGHT=450&amp;WIDTH=450&amp;START_MAXIMIZED=FALSE&amp;VAR:CALENDAR=US&amp;VAR:SYMBOL=AMD&amp;VAR:INDEX=0"}</definedName>
    <definedName name="_400__FDSAUDITLINK__" hidden="1">{"fdsup://directions/FAT Viewer?action=UPDATE&amp;creator=factset&amp;DYN_ARGS=TRUE&amp;DOC_NAME=FAT:FQL_AUDITING_CLIENT_TEMPLATE.FAT&amp;display_string=Audit&amp;VAR:KEY=EXYLIFUVSD&amp;VAR:QUERY=KENTRl9JTlRBTkcoUVRSX1IsNDExMjEpQFdTRl9JTlRBTkcoUVRSLDQxMTIxKSk=&amp;WINDOW=FIRST_POPUP&amp;H","EIGHT=450&amp;WIDTH=450&amp;START_MAXIMIZED=FALSE&amp;VAR:CALENDAR=US&amp;VAR:SYMBOL=ARX&amp;VAR:INDEX=0"}</definedName>
    <definedName name="_401__FDSAUDITLINK__" hidden="1">{"fdsup://directions/FAT Viewer?action=UPDATE&amp;creator=factset&amp;DYN_ARGS=TRUE&amp;DOC_NAME=FAT:FQL_AUDITING_CLIENT_TEMPLATE.FAT&amp;display_string=Audit&amp;VAR:KEY=WRGTGJUZUH&amp;VAR:QUERY=KENTRl9TSExEUlNfRVEoUVRSX1IsNDExMjEpQFdTRl9TSExEUlNfRVEoUVRSLDQxMTIxKSk=&amp;WINDOW=FIRST","_POPUP&amp;HEIGHT=450&amp;WIDTH=450&amp;START_MAXIMIZED=FALSE&amp;VAR:CALENDAR=US&amp;VAR:SYMBOL=ARX&amp;VAR:INDEX=0"}</definedName>
    <definedName name="_402__FDSAUDITLINK__" hidden="1">{"fdsup://directions/FAT Viewer?action=UPDATE&amp;creator=factset&amp;DYN_ARGS=TRUE&amp;DOC_NAME=FAT:FQL_AUDITING_CLIENT_TEMPLATE.FAT&amp;display_string=Audit&amp;VAR:KEY=QVUNKVWZMJ&amp;VAR:QUERY=KENTRl9DT01fU0hTX09VVF9FUFNfRElMKFFUUl9SLDQxMDkwKUBXU0ZfQ09NX1NIU19PVVRfRVBTX0RJTChRV","FIsNDEwOTApKQ==&amp;WINDOW=FIRST_POPUP&amp;HEIGHT=450&amp;WIDTH=450&amp;START_MAXIMIZED=FALSE&amp;VAR:CALENDAR=US&amp;VAR:SYMBOL=ARX&amp;VAR:INDEX=0"}</definedName>
    <definedName name="_403__FDSAUDITLINK__" hidden="1">{"fdsup://directions/FAT Viewer?action=UPDATE&amp;creator=factset&amp;DYN_ARGS=TRUE&amp;DOC_NAME=FAT:FQL_AUDITING_CLIENT_TEMPLATE.FAT&amp;display_string=Audit&amp;VAR:KEY=EXSJINGVIZ&amp;VAR:QUERY=KENTRl9JTlRBTkcoUVRSX1IsNDEwOTApQFdTRl9JTlRBTkcoUVRSLDQxMDkwKSk=&amp;WINDOW=FIRST_POPUP&amp;H","EIGHT=450&amp;WIDTH=450&amp;START_MAXIMIZED=FALSE&amp;VAR:CALENDAR=US&amp;VAR:SYMBOL=ARX&amp;VAR:INDEX=0"}</definedName>
    <definedName name="_404__FDSAUDITLINK__" hidden="1">{"fdsup://directions/FAT Viewer?action=UPDATE&amp;creator=factset&amp;DYN_ARGS=TRUE&amp;DOC_NAME=FAT:FQL_AUDITING_CLIENT_TEMPLATE.FAT&amp;display_string=Audit&amp;VAR:KEY=OPMZYLCLUF&amp;VAR:QUERY=KENTRl9TSExEUlNfRVEoUVRSX1IsNDEwOTApQFdTRl9TSExEUlNfRVEoUVRSLDQxMDkwKSk=&amp;WINDOW=FIRST","_POPUP&amp;HEIGHT=450&amp;WIDTH=450&amp;START_MAXIMIZED=FALSE&amp;VAR:CALENDAR=US&amp;VAR:SYMBOL=ARX&amp;VAR:INDEX=0"}</definedName>
    <definedName name="_405__FDSAUDITLINK__" hidden="1">{"fdsup://directions/FAT Viewer?action=UPDATE&amp;creator=factset&amp;DYN_ARGS=TRUE&amp;DOC_NAME=FAT:FQL_AUDITING_CLIENT_TEMPLATE.FAT&amp;display_string=Audit&amp;VAR:KEY=HWPMXQFKDG&amp;VAR:QUERY=RkZfU0hMRFJTX0VRKCdRVFInLDM0MzkzKQ==&amp;WINDOW=FIRST_POPUP&amp;HEIGHT=450&amp;WIDTH=450&amp;START_MA","XIMIZED=FALSE&amp;VAR:CALENDAR=US&amp;VAR:SYMBOL=INTC&amp;VAR:INDEX=0"}</definedName>
    <definedName name="_406__FDSAUDITLINK__" hidden="1">{"fdsup://directions/FAT Viewer?action=UPDATE&amp;creator=factset&amp;DYN_ARGS=TRUE&amp;DOC_NAME=FAT:FQL_AUDITING_CLIENT_TEMPLATE.FAT&amp;display_string=Audit&amp;VAR:KEY=HWPMXQFKDG&amp;VAR:QUERY=RkZfU0hMRFJTX0VRKCdRVFInLDM0MzkzKQ==&amp;WINDOW=FIRST_POPUP&amp;HEIGHT=450&amp;WIDTH=450&amp;START_MA","XIMIZED=FALSE&amp;VAR:CALENDAR=US&amp;VAR:SYMBOL=INTC&amp;VAR:INDEX=0"}</definedName>
    <definedName name="_407__FDSAUDITLINK__" hidden="1">{"fdsup://directions/FAT Viewer?action=UPDATE&amp;creator=factset&amp;DYN_ARGS=TRUE&amp;DOC_NAME=FAT:FQL_AUDITING_CLIENT_TEMPLATE.FAT&amp;display_string=Audit&amp;VAR:KEY=HGHQRSRMXK&amp;VAR:QUERY=RkZfU0hMRFJTX0VRKCdRVFInLDM0MzY1KQ==&amp;WINDOW=FIRST_POPUP&amp;HEIGHT=450&amp;WIDTH=450&amp;START_MA","XIMIZED=FALSE&amp;VAR:CALENDAR=US&amp;VAR:SYMBOL=INTC&amp;VAR:INDEX=0"}</definedName>
    <definedName name="_408__FDSAUDITLINK__" hidden="1">{"fdsup://directions/FAT Viewer?action=UPDATE&amp;creator=factset&amp;DYN_ARGS=TRUE&amp;DOC_NAME=FAT:FQL_AUDITING_CLIENT_TEMPLATE.FAT&amp;display_string=Audit&amp;VAR:KEY=HGHQRSRMXK&amp;VAR:QUERY=RkZfU0hMRFJTX0VRKCdRVFInLDM0MzY1KQ==&amp;WINDOW=FIRST_POPUP&amp;HEIGHT=450&amp;WIDTH=450&amp;START_MA","XIMIZED=FALSE&amp;VAR:CALENDAR=US&amp;VAR:SYMBOL=INTC&amp;VAR:INDEX=0"}</definedName>
    <definedName name="_409__FDSAUDITLINK__" hidden="1">{"fdsup://directions/FAT Viewer?action=UPDATE&amp;creator=factset&amp;DYN_ARGS=TRUE&amp;DOC_NAME=FAT:FQL_AUDITING_CLIENT_TEMPLATE.FAT&amp;display_string=Audit&amp;VAR:KEY=BUREXWXKTA&amp;VAR:QUERY=RkZfU0hMRFJTX0VRKCdRVFInLDM0MzM0KQ==&amp;WINDOW=FIRST_POPUP&amp;HEIGHT=450&amp;WIDTH=450&amp;START_MA","XIMIZED=FALSE&amp;VAR:CALENDAR=US&amp;VAR:SYMBOL=INTC&amp;VAR:INDEX=0"}</definedName>
    <definedName name="_41__FDSAUDITLINK__" hidden="1">{"fdsup://directions/FAT Viewer?action=UPDATE&amp;creator=factset&amp;DYN_ARGS=TRUE&amp;DOC_NAME=FAT:FQL_AUDITING_CLIENT_TEMPLATE.FAT&amp;display_string=Audit&amp;VAR:KEY=QPEHWNSLAR&amp;VAR:QUERY=KENTRl9JTlRBTkcoUVRSX1IsMzYxMjkpQFdTRl9JTlRBTkcoUVRSLDM2MTI5KSk=&amp;WINDOW=FIRST_POPUP&amp;H","EIGHT=450&amp;WIDTH=450&amp;START_MAXIMIZED=FALSE&amp;VAR:CALENDAR=US&amp;VAR:SYMBOL=AMD&amp;VAR:INDEX=0"}</definedName>
    <definedName name="_410__FDSAUDITLINK__" hidden="1">{"fdsup://directions/FAT Viewer?action=UPDATE&amp;creator=factset&amp;DYN_ARGS=TRUE&amp;DOC_NAME=FAT:FQL_AUDITING_CLIENT_TEMPLATE.FAT&amp;display_string=Audit&amp;VAR:KEY=BUREXWXKTA&amp;VAR:QUERY=RkZfU0hMRFJTX0VRKCdRVFInLDM0MzM0KQ==&amp;WINDOW=FIRST_POPUP&amp;HEIGHT=450&amp;WIDTH=450&amp;START_MA","XIMIZED=FALSE&amp;VAR:CALENDAR=US&amp;VAR:SYMBOL=INTC&amp;VAR:INDEX=0"}</definedName>
    <definedName name="_411__FDSAUDITLINK__" hidden="1">{"fdsup://directions/FAT Viewer?action=UPDATE&amp;creator=factset&amp;DYN_ARGS=TRUE&amp;DOC_NAME=FAT:FQL_AUDITING_CLIENT_TEMPLATE.FAT&amp;display_string=Audit&amp;VAR:KEY=XKXKRGPWXO&amp;VAR:QUERY=RkZfU0hMRFJTX0VRKCdRVFInLDM0MzAzKQ==&amp;WINDOW=FIRST_POPUP&amp;HEIGHT=450&amp;WIDTH=450&amp;START_MA","XIMIZED=FALSE&amp;VAR:CALENDAR=US&amp;VAR:SYMBOL=INTC&amp;VAR:INDEX=0"}</definedName>
    <definedName name="_412__FDSAUDITLINK__" hidden="1">{"fdsup://directions/FAT Viewer?action=UPDATE&amp;creator=factset&amp;DYN_ARGS=TRUE&amp;DOC_NAME=FAT:FQL_AUDITING_CLIENT_TEMPLATE.FAT&amp;display_string=Audit&amp;VAR:KEY=XKXKRGPWXO&amp;VAR:QUERY=RkZfU0hMRFJTX0VRKCdRVFInLDM0MzAzKQ==&amp;WINDOW=FIRST_POPUP&amp;HEIGHT=450&amp;WIDTH=450&amp;START_MA","XIMIZED=FALSE&amp;VAR:CALENDAR=US&amp;VAR:SYMBOL=INTC&amp;VAR:INDEX=0"}</definedName>
    <definedName name="_413__FDSAUDITLINK__" hidden="1">{"fdsup://directions/FAT Viewer?action=UPDATE&amp;creator=factset&amp;DYN_ARGS=TRUE&amp;DOC_NAME=FAT:FQL_AUDITING_CLIENT_TEMPLATE.FAT&amp;display_string=Audit&amp;VAR:KEY=NIVOBSJKJY&amp;VAR:QUERY=RkZfU0hMRFJTX0VRKCdRVFInLDM0MjcxKQ==&amp;WINDOW=FIRST_POPUP&amp;HEIGHT=450&amp;WIDTH=450&amp;START_MA","XIMIZED=FALSE&amp;VAR:CALENDAR=US&amp;VAR:SYMBOL=INTC&amp;VAR:INDEX=0"}</definedName>
    <definedName name="_414__FDSAUDITLINK__" hidden="1">{"fdsup://directions/FAT Viewer?action=UPDATE&amp;creator=factset&amp;DYN_ARGS=TRUE&amp;DOC_NAME=FAT:FQL_AUDITING_CLIENT_TEMPLATE.FAT&amp;display_string=Audit&amp;VAR:KEY=NIVOBSJKJY&amp;VAR:QUERY=RkZfU0hMRFJTX0VRKCdRVFInLDM0MjcxKQ==&amp;WINDOW=FIRST_POPUP&amp;HEIGHT=450&amp;WIDTH=450&amp;START_MA","XIMIZED=FALSE&amp;VAR:CALENDAR=US&amp;VAR:SYMBOL=INTC&amp;VAR:INDEX=0"}</definedName>
    <definedName name="_415__FDSAUDITLINK__" hidden="1">{"fdsup://directions/FAT Viewer?action=UPDATE&amp;creator=factset&amp;DYN_ARGS=TRUE&amp;DOC_NAME=FAT:FQL_AUDITING_CLIENT_TEMPLATE.FAT&amp;display_string=Audit&amp;VAR:KEY=HAHKDAREFM&amp;VAR:QUERY=RkZfU0hMRFJTX0VRKCdRVFInLDM0MjQyKQ==&amp;WINDOW=FIRST_POPUP&amp;HEIGHT=450&amp;WIDTH=450&amp;START_MA","XIMIZED=FALSE&amp;VAR:CALENDAR=US&amp;VAR:SYMBOL=INTC&amp;VAR:INDEX=0"}</definedName>
    <definedName name="_416__FDSAUDITLINK__" hidden="1">{"fdsup://directions/FAT Viewer?action=UPDATE&amp;creator=factset&amp;DYN_ARGS=TRUE&amp;DOC_NAME=FAT:FQL_AUDITING_CLIENT_TEMPLATE.FAT&amp;display_string=Audit&amp;VAR:KEY=HAHKDAREFM&amp;VAR:QUERY=RkZfU0hMRFJTX0VRKCdRVFInLDM0MjQyKQ==&amp;WINDOW=FIRST_POPUP&amp;HEIGHT=450&amp;WIDTH=450&amp;START_MA","XIMIZED=FALSE&amp;VAR:CALENDAR=US&amp;VAR:SYMBOL=INTC&amp;VAR:INDEX=0"}</definedName>
    <definedName name="_417__FDSAUDITLINK__" hidden="1">{"fdsup://directions/FAT Viewer?action=UPDATE&amp;creator=factset&amp;DYN_ARGS=TRUE&amp;DOC_NAME=FAT:FQL_AUDITING_CLIENT_TEMPLATE.FAT&amp;display_string=Audit&amp;VAR:KEY=LGZQZGXGXM&amp;VAR:QUERY=RkZfU0hMRFJTX0VRKCdRVFInLDM0MjEyKQ==&amp;WINDOW=FIRST_POPUP&amp;HEIGHT=450&amp;WIDTH=450&amp;START_MA","XIMIZED=FALSE&amp;VAR:CALENDAR=US&amp;VAR:SYMBOL=INTC&amp;VAR:INDEX=0"}</definedName>
    <definedName name="_418__FDSAUDITLINK__" hidden="1">{"fdsup://directions/FAT Viewer?action=UPDATE&amp;creator=factset&amp;DYN_ARGS=TRUE&amp;DOC_NAME=FAT:FQL_AUDITING_CLIENT_TEMPLATE.FAT&amp;display_string=Audit&amp;VAR:KEY=LGZQZGXGXM&amp;VAR:QUERY=RkZfU0hMRFJTX0VRKCdRVFInLDM0MjEyKQ==&amp;WINDOW=FIRST_POPUP&amp;HEIGHT=450&amp;WIDTH=450&amp;START_MA","XIMIZED=FALSE&amp;VAR:CALENDAR=US&amp;VAR:SYMBOL=INTC&amp;VAR:INDEX=0"}</definedName>
    <definedName name="_419__FDSAUDITLINK__" hidden="1">{"fdsup://directions/FAT Viewer?action=UPDATE&amp;creator=factset&amp;DYN_ARGS=TRUE&amp;DOC_NAME=FAT:FQL_AUDITING_CLIENT_TEMPLATE.FAT&amp;display_string=Audit&amp;VAR:KEY=POZGRMXOTO&amp;VAR:QUERY=RkZfU0hMRFJTX0VRKCdRVFInLDM0MTgwKQ==&amp;WINDOW=FIRST_POPUP&amp;HEIGHT=450&amp;WIDTH=450&amp;START_MA","XIMIZED=FALSE&amp;VAR:CALENDAR=US&amp;VAR:SYMBOL=INTC&amp;VAR:INDEX=0"}</definedName>
    <definedName name="_42__FDSAUDITLINK__" hidden="1">{"fdsup://directions/FAT Viewer?action=UPDATE&amp;creator=factset&amp;DYN_ARGS=TRUE&amp;DOC_NAME=FAT:FQL_AUDITING_CLIENT_TEMPLATE.FAT&amp;display_string=Audit&amp;VAR:KEY=SNKTAXSVEJ&amp;VAR:QUERY=KENTRl9DT01fU0hTX09VVF9FUFNfRElMKFFUUl9SLDM2MDk4KUBXU0ZfQ09NX1NIU19PVVRfRVBTX0RJTChRV","FIsMzYwOTgpKQ==&amp;WINDOW=FIRST_POPUP&amp;HEIGHT=450&amp;WIDTH=450&amp;START_MAXIMIZED=FALSE&amp;VAR:CALENDAR=US&amp;VAR:SYMBOL=AMD&amp;VAR:INDEX=0"}</definedName>
    <definedName name="_420__FDSAUDITLINK__" hidden="1">{"fdsup://directions/FAT Viewer?action=UPDATE&amp;creator=factset&amp;DYN_ARGS=TRUE&amp;DOC_NAME=FAT:FQL_AUDITING_CLIENT_TEMPLATE.FAT&amp;display_string=Audit&amp;VAR:KEY=POZGRMXOTO&amp;VAR:QUERY=RkZfU0hMRFJTX0VRKCdRVFInLDM0MTgwKQ==&amp;WINDOW=FIRST_POPUP&amp;HEIGHT=450&amp;WIDTH=450&amp;START_MA","XIMIZED=FALSE&amp;VAR:CALENDAR=US&amp;VAR:SYMBOL=INTC&amp;VAR:INDEX=0"}</definedName>
    <definedName name="_421__FDSAUDITLINK__" hidden="1">{"fdsup://directions/FAT Viewer?action=UPDATE&amp;creator=factset&amp;DYN_ARGS=TRUE&amp;DOC_NAME=FAT:FQL_AUDITING_CLIENT_TEMPLATE.FAT&amp;display_string=Audit&amp;VAR:KEY=LKXSPQFIJS&amp;VAR:QUERY=RkZfU0hMRFJTX0VRKCdRVFInLDM0MTUwKQ==&amp;WINDOW=FIRST_POPUP&amp;HEIGHT=450&amp;WIDTH=450&amp;START_MA","XIMIZED=FALSE&amp;VAR:CALENDAR=US&amp;VAR:SYMBOL=INTC&amp;VAR:INDEX=0"}</definedName>
    <definedName name="_422__FDSAUDITLINK__" hidden="1">{"fdsup://directions/FAT Viewer?action=UPDATE&amp;creator=factset&amp;DYN_ARGS=TRUE&amp;DOC_NAME=FAT:FQL_AUDITING_CLIENT_TEMPLATE.FAT&amp;display_string=Audit&amp;VAR:KEY=LKXSPQFIJS&amp;VAR:QUERY=RkZfU0hMRFJTX0VRKCdRVFInLDM0MTUwKQ==&amp;WINDOW=FIRST_POPUP&amp;HEIGHT=450&amp;WIDTH=450&amp;START_MA","XIMIZED=FALSE&amp;VAR:CALENDAR=US&amp;VAR:SYMBOL=INTC&amp;VAR:INDEX=0"}</definedName>
    <definedName name="_423__FDSAUDITLINK__" hidden="1">{"fdsup://directions/FAT Viewer?action=UPDATE&amp;creator=factset&amp;DYN_ARGS=TRUE&amp;DOC_NAME=FAT:FQL_AUDITING_CLIENT_TEMPLATE.FAT&amp;display_string=Audit&amp;VAR:KEY=LGJUZGDIBW&amp;VAR:QUERY=RkZfU0hMRFJTX0VRKCdRVFInLDM0MTE3KQ==&amp;WINDOW=FIRST_POPUP&amp;HEIGHT=450&amp;WIDTH=450&amp;START_MA","XIMIZED=FALSE&amp;VAR:CALENDAR=US&amp;VAR:SYMBOL=INTC&amp;VAR:INDEX=0"}</definedName>
    <definedName name="_424__FDSAUDITLINK__" hidden="1">{"fdsup://directions/FAT Viewer?action=UPDATE&amp;creator=factset&amp;DYN_ARGS=TRUE&amp;DOC_NAME=FAT:FQL_AUDITING_CLIENT_TEMPLATE.FAT&amp;display_string=Audit&amp;VAR:KEY=LGJUZGDIBW&amp;VAR:QUERY=RkZfU0hMRFJTX0VRKCdRVFInLDM0MTE3KQ==&amp;WINDOW=FIRST_POPUP&amp;HEIGHT=450&amp;WIDTH=450&amp;START_MA","XIMIZED=FALSE&amp;VAR:CALENDAR=US&amp;VAR:SYMBOL=INTC&amp;VAR:INDEX=0"}</definedName>
    <definedName name="_425__FDSAUDITLINK__" hidden="1">{"fdsup://directions/FAT Viewer?action=UPDATE&amp;creator=factset&amp;DYN_ARGS=TRUE&amp;DOC_NAME=FAT:FQL_AUDITING_CLIENT_TEMPLATE.FAT&amp;display_string=Audit&amp;VAR:KEY=BOFMHUFWNM&amp;VAR:QUERY=RkZfU0hMRFJTX0VRKCdRVFInLDM0MDg5KQ==&amp;WINDOW=FIRST_POPUP&amp;HEIGHT=450&amp;WIDTH=450&amp;START_MA","XIMIZED=FALSE&amp;VAR:CALENDAR=US&amp;VAR:SYMBOL=INTC&amp;VAR:INDEX=0"}</definedName>
    <definedName name="_426__FDSAUDITLINK__" hidden="1">{"fdsup://directions/FAT Viewer?action=UPDATE&amp;creator=factset&amp;DYN_ARGS=TRUE&amp;DOC_NAME=FAT:FQL_AUDITING_CLIENT_TEMPLATE.FAT&amp;display_string=Audit&amp;VAR:KEY=BOFMHUFWNM&amp;VAR:QUERY=RkZfU0hMRFJTX0VRKCdRVFInLDM0MDg5KQ==&amp;WINDOW=FIRST_POPUP&amp;HEIGHT=450&amp;WIDTH=450&amp;START_MA","XIMIZED=FALSE&amp;VAR:CALENDAR=US&amp;VAR:SYMBOL=INTC&amp;VAR:INDEX=0"}</definedName>
    <definedName name="_427__FDSAUDITLINK__" hidden="1">{"fdsup://directions/FAT Viewer?action=UPDATE&amp;creator=factset&amp;DYN_ARGS=TRUE&amp;DOC_NAME=FAT:FQL_AUDITING_CLIENT_TEMPLATE.FAT&amp;display_string=Audit&amp;VAR:KEY=HGRQRITOZA&amp;VAR:QUERY=RkZfU0hMRFJTX0VRKCdRVFInLDM0MDU5KQ==&amp;WINDOW=FIRST_POPUP&amp;HEIGHT=450&amp;WIDTH=450&amp;START_MA","XIMIZED=FALSE&amp;VAR:CALENDAR=US&amp;VAR:SYMBOL=INTC&amp;VAR:INDEX=0"}</definedName>
    <definedName name="_428__FDSAUDITLINK__" hidden="1">{"fdsup://directions/FAT Viewer?action=UPDATE&amp;creator=factset&amp;DYN_ARGS=TRUE&amp;DOC_NAME=FAT:FQL_AUDITING_CLIENT_TEMPLATE.FAT&amp;display_string=Audit&amp;VAR:KEY=HGRQRITOZA&amp;VAR:QUERY=RkZfU0hMRFJTX0VRKCdRVFInLDM0MDU5KQ==&amp;WINDOW=FIRST_POPUP&amp;HEIGHT=450&amp;WIDTH=450&amp;START_MA","XIMIZED=FALSE&amp;VAR:CALENDAR=US&amp;VAR:SYMBOL=INTC&amp;VAR:INDEX=0"}</definedName>
    <definedName name="_429__FDSAUDITLINK__" hidden="1">{"fdsup://directions/FAT Viewer?action=UPDATE&amp;creator=factset&amp;DYN_ARGS=TRUE&amp;DOC_NAME=FAT:FQL_AUDITING_CLIENT_TEMPLATE.FAT&amp;display_string=Audit&amp;VAR:KEY=XETYTENCVU&amp;VAR:QUERY=RkZfU0hMRFJTX0VRKCdRVFInLDM0MDI2KQ==&amp;WINDOW=FIRST_POPUP&amp;HEIGHT=450&amp;WIDTH=450&amp;START_MA","XIMIZED=FALSE&amp;VAR:CALENDAR=US&amp;VAR:SYMBOL=INTC&amp;VAR:INDEX=0"}</definedName>
    <definedName name="_43__FDSAUDITLINK__" hidden="1">{"fdsup://directions/FAT Viewer?action=UPDATE&amp;creator=factset&amp;DYN_ARGS=TRUE&amp;DOC_NAME=FAT:FQL_AUDITING_CLIENT_TEMPLATE.FAT&amp;display_string=Audit&amp;VAR:KEY=SDELUFCFMH&amp;VAR:QUERY=KENTRl9JTlRBTkcoUVRSX1IsMzYwOTgpQFdTRl9JTlRBTkcoUVRSLDM2MDk4KSk=&amp;WINDOW=FIRST_POPUP&amp;H","EIGHT=450&amp;WIDTH=450&amp;START_MAXIMIZED=FALSE&amp;VAR:CALENDAR=US&amp;VAR:SYMBOL=AMD&amp;VAR:INDEX=0"}</definedName>
    <definedName name="_430__FDSAUDITLINK__" hidden="1">{"fdsup://directions/FAT Viewer?action=UPDATE&amp;creator=factset&amp;DYN_ARGS=TRUE&amp;DOC_NAME=FAT:FQL_AUDITING_CLIENT_TEMPLATE.FAT&amp;display_string=Audit&amp;VAR:KEY=XETYTENCVU&amp;VAR:QUERY=RkZfU0hMRFJTX0VRKCdRVFInLDM0MDI2KQ==&amp;WINDOW=FIRST_POPUP&amp;HEIGHT=450&amp;WIDTH=450&amp;START_MA","XIMIZED=FALSE&amp;VAR:CALENDAR=US&amp;VAR:SYMBOL=INTC&amp;VAR:INDEX=0"}</definedName>
    <definedName name="_431__FDSAUDITLINK__" hidden="1">{"fdsup://directions/FAT Viewer?action=UPDATE&amp;creator=factset&amp;DYN_ARGS=TRUE&amp;DOC_NAME=FAT:FQL_AUDITING_CLIENT_TEMPLATE.FAT&amp;display_string=Audit&amp;VAR:KEY=PAPQVWZSDY&amp;VAR:QUERY=RkZfU0hMRFJTX0VRKCdRVFInLDMzOTk4KQ==&amp;WINDOW=FIRST_POPUP&amp;HEIGHT=450&amp;WIDTH=450&amp;START_MA","XIMIZED=FALSE&amp;VAR:CALENDAR=US&amp;VAR:SYMBOL=INTC&amp;VAR:INDEX=0"}</definedName>
    <definedName name="_432__FDSAUDITLINK__" hidden="1">{"fdsup://directions/FAT Viewer?action=UPDATE&amp;creator=factset&amp;DYN_ARGS=TRUE&amp;DOC_NAME=FAT:FQL_AUDITING_CLIENT_TEMPLATE.FAT&amp;display_string=Audit&amp;VAR:KEY=PAPQVWZSDY&amp;VAR:QUERY=RkZfU0hMRFJTX0VRKCdRVFInLDMzOTk4KQ==&amp;WINDOW=FIRST_POPUP&amp;HEIGHT=450&amp;WIDTH=450&amp;START_MA","XIMIZED=FALSE&amp;VAR:CALENDAR=US&amp;VAR:SYMBOL=INTC&amp;VAR:INDEX=0"}</definedName>
    <definedName name="_433__FDSAUDITLINK__" hidden="1">{"fdsup://directions/FAT Viewer?action=UPDATE&amp;creator=factset&amp;DYN_ARGS=TRUE&amp;DOC_NAME=FAT:FQL_AUDITING_CLIENT_TEMPLATE.FAT&amp;display_string=Audit&amp;VAR:KEY=RYXMHMTQLG&amp;VAR:QUERY=RkZfU0hMRFJTX0VRKCdRVFInLDMzOTY5KQ==&amp;WINDOW=FIRST_POPUP&amp;HEIGHT=450&amp;WIDTH=450&amp;START_MA","XIMIZED=FALSE&amp;VAR:CALENDAR=US&amp;VAR:SYMBOL=INTC&amp;VAR:INDEX=0"}</definedName>
    <definedName name="_434__FDSAUDITLINK__" hidden="1">{"fdsup://directions/FAT Viewer?action=UPDATE&amp;creator=factset&amp;DYN_ARGS=TRUE&amp;DOC_NAME=FAT:FQL_AUDITING_CLIENT_TEMPLATE.FAT&amp;display_string=Audit&amp;VAR:KEY=RYXMHMTQLG&amp;VAR:QUERY=RkZfU0hMRFJTX0VRKCdRVFInLDMzOTY5KQ==&amp;WINDOW=FIRST_POPUP&amp;HEIGHT=450&amp;WIDTH=450&amp;START_MA","XIMIZED=FALSE&amp;VAR:CALENDAR=US&amp;VAR:SYMBOL=INTC&amp;VAR:INDEX=0"}</definedName>
    <definedName name="_435__FDSAUDITLINK__" hidden="1">{"fdsup://directions/FAT Viewer?action=UPDATE&amp;creator=factset&amp;DYN_ARGS=TRUE&amp;DOC_NAME=FAT:FQL_AUDITING_CLIENT_TEMPLATE.FAT&amp;display_string=Audit&amp;VAR:KEY=TOVANGRUTG&amp;VAR:QUERY=RkZfU0hMRFJTX0VRKCdRVFInLDMzOTM4KQ==&amp;WINDOW=FIRST_POPUP&amp;HEIGHT=450&amp;WIDTH=450&amp;START_MA","XIMIZED=FALSE&amp;VAR:CALENDAR=US&amp;VAR:SYMBOL=INTC&amp;VAR:INDEX=0"}</definedName>
    <definedName name="_436__FDSAUDITLINK__" hidden="1">{"fdsup://directions/FAT Viewer?action=UPDATE&amp;creator=factset&amp;DYN_ARGS=TRUE&amp;DOC_NAME=FAT:FQL_AUDITING_CLIENT_TEMPLATE.FAT&amp;display_string=Audit&amp;VAR:KEY=TOVANGRUTG&amp;VAR:QUERY=RkZfU0hMRFJTX0VRKCdRVFInLDMzOTM4KQ==&amp;WINDOW=FIRST_POPUP&amp;HEIGHT=450&amp;WIDTH=450&amp;START_MA","XIMIZED=FALSE&amp;VAR:CALENDAR=US&amp;VAR:SYMBOL=INTC&amp;VAR:INDEX=0"}</definedName>
    <definedName name="_437__FDSAUDITLINK__" hidden="1">{"fdsup://directions/FAT Viewer?action=UPDATE&amp;creator=factset&amp;DYN_ARGS=TRUE&amp;DOC_NAME=FAT:FQL_AUDITING_CLIENT_TEMPLATE.FAT&amp;display_string=Audit&amp;VAR:KEY=PGZQZCHORI&amp;VAR:QUERY=RkZfU0hMRFJTX0VRKCdRVFInLDMzOTA3KQ==&amp;WINDOW=FIRST_POPUP&amp;HEIGHT=450&amp;WIDTH=450&amp;START_MA","XIMIZED=FALSE&amp;VAR:CALENDAR=US&amp;VAR:SYMBOL=INTC&amp;VAR:INDEX=0"}</definedName>
    <definedName name="_438__FDSAUDITLINK__" hidden="1">{"fdsup://directions/FAT Viewer?action=UPDATE&amp;creator=factset&amp;DYN_ARGS=TRUE&amp;DOC_NAME=FAT:FQL_AUDITING_CLIENT_TEMPLATE.FAT&amp;display_string=Audit&amp;VAR:KEY=PGZQZCHORI&amp;VAR:QUERY=RkZfU0hMRFJTX0VRKCdRVFInLDMzOTA3KQ==&amp;WINDOW=FIRST_POPUP&amp;HEIGHT=450&amp;WIDTH=450&amp;START_MA","XIMIZED=FALSE&amp;VAR:CALENDAR=US&amp;VAR:SYMBOL=INTC&amp;VAR:INDEX=0"}</definedName>
    <definedName name="_439__FDSAUDITLINK__" hidden="1">{"fdsup://directions/FAT Viewer?action=UPDATE&amp;creator=factset&amp;DYN_ARGS=TRUE&amp;DOC_NAME=FAT:FQL_AUDITING_CLIENT_TEMPLATE.FAT&amp;display_string=Audit&amp;VAR:KEY=TOHEHAZCLA&amp;VAR:QUERY=RkZfU0hMRFJTX0VRKCdRVFInLDMzODc3KQ==&amp;WINDOW=FIRST_POPUP&amp;HEIGHT=450&amp;WIDTH=450&amp;START_MA","XIMIZED=FALSE&amp;VAR:CALENDAR=US&amp;VAR:SYMBOL=INTC&amp;VAR:INDEX=0"}</definedName>
    <definedName name="_44__FDSAUDITLINK__" hidden="1">{"fdsup://directions/FAT Viewer?action=UPDATE&amp;creator=factset&amp;DYN_ARGS=TRUE&amp;DOC_NAME=FAT:FQL_AUDITING_CLIENT_TEMPLATE.FAT&amp;display_string=Audit&amp;VAR:KEY=GZYXSRSLAB&amp;VAR:QUERY=KENTRl9DT01fU0hTX09VVF9FUFNfRElMKFFUUl9SLDM2MDY4KUBXU0ZfQ09NX1NIU19PVVRfRVBTX0RJTChRV","FIsMzYwNjgpKQ==&amp;WINDOW=FIRST_POPUP&amp;HEIGHT=450&amp;WIDTH=450&amp;START_MAXIMIZED=FALSE&amp;VAR:CALENDAR=US&amp;VAR:SYMBOL=AMD&amp;VAR:INDEX=0"}</definedName>
    <definedName name="_440__FDSAUDITLINK__" hidden="1">{"fdsup://directions/FAT Viewer?action=UPDATE&amp;creator=factset&amp;DYN_ARGS=TRUE&amp;DOC_NAME=FAT:FQL_AUDITING_CLIENT_TEMPLATE.FAT&amp;display_string=Audit&amp;VAR:KEY=TOHEHAZCLA&amp;VAR:QUERY=RkZfU0hMRFJTX0VRKCdRVFInLDMzODc3KQ==&amp;WINDOW=FIRST_POPUP&amp;HEIGHT=450&amp;WIDTH=450&amp;START_MA","XIMIZED=FALSE&amp;VAR:CALENDAR=US&amp;VAR:SYMBOL=INTC&amp;VAR:INDEX=0"}</definedName>
    <definedName name="_441__FDSAUDITLINK__" hidden="1">{"fdsup://directions/FAT Viewer?action=UPDATE&amp;creator=factset&amp;DYN_ARGS=TRUE&amp;DOC_NAME=FAT:FQL_AUDITING_CLIENT_TEMPLATE.FAT&amp;display_string=Audit&amp;VAR:KEY=ZMTKTWRCXW&amp;VAR:QUERY=RkZfU0hMRFJTX0VRKCdRVFInLDMzODQ3KQ==&amp;WINDOW=FIRST_POPUP&amp;HEIGHT=450&amp;WIDTH=450&amp;START_MA","XIMIZED=FALSE&amp;VAR:CALENDAR=US&amp;VAR:SYMBOL=INTC&amp;VAR:INDEX=0"}</definedName>
    <definedName name="_442__FDSAUDITLINK__" hidden="1">{"fdsup://directions/FAT Viewer?action=UPDATE&amp;creator=factset&amp;DYN_ARGS=TRUE&amp;DOC_NAME=FAT:FQL_AUDITING_CLIENT_TEMPLATE.FAT&amp;display_string=Audit&amp;VAR:KEY=ZMTKTWRCXW&amp;VAR:QUERY=RkZfU0hMRFJTX0VRKCdRVFInLDMzODQ3KQ==&amp;WINDOW=FIRST_POPUP&amp;HEIGHT=450&amp;WIDTH=450&amp;START_MA","XIMIZED=FALSE&amp;VAR:CALENDAR=US&amp;VAR:SYMBOL=INTC&amp;VAR:INDEX=0"}</definedName>
    <definedName name="_443__FDSAUDITLINK__" hidden="1">{"fdsup://directions/FAT Viewer?action=UPDATE&amp;creator=factset&amp;DYN_ARGS=TRUE&amp;DOC_NAME=FAT:FQL_AUDITING_CLIENT_TEMPLATE.FAT&amp;display_string=Audit&amp;VAR:KEY=PQPIBUTQJC&amp;VAR:QUERY=RkZfU0hMRFJTX0VRKCdRVFInLDMzODE2KQ==&amp;WINDOW=FIRST_POPUP&amp;HEIGHT=450&amp;WIDTH=450&amp;START_MA","XIMIZED=FALSE&amp;VAR:CALENDAR=US&amp;VAR:SYMBOL=INTC&amp;VAR:INDEX=0"}</definedName>
    <definedName name="_444__FDSAUDITLINK__" hidden="1">{"fdsup://directions/FAT Viewer?action=UPDATE&amp;creator=factset&amp;DYN_ARGS=TRUE&amp;DOC_NAME=FAT:FQL_AUDITING_CLIENT_TEMPLATE.FAT&amp;display_string=Audit&amp;VAR:KEY=PQPIBUTQJC&amp;VAR:QUERY=RkZfU0hMRFJTX0VRKCdRVFInLDMzODE2KQ==&amp;WINDOW=FIRST_POPUP&amp;HEIGHT=450&amp;WIDTH=450&amp;START_MA","XIMIZED=FALSE&amp;VAR:CALENDAR=US&amp;VAR:SYMBOL=INTC&amp;VAR:INDEX=0"}</definedName>
    <definedName name="_445__FDSAUDITLINK__" hidden="1">{"fdsup://directions/FAT Viewer?action=UPDATE&amp;creator=factset&amp;DYN_ARGS=TRUE&amp;DOC_NAME=FAT:FQL_AUDITING_CLIENT_TEMPLATE.FAT&amp;display_string=Audit&amp;VAR:KEY=ZCXOHQROBO&amp;VAR:QUERY=RkZfU0hMRFJTX0VRKCdRVFInLDMzNzg1KQ==&amp;WINDOW=FIRST_POPUP&amp;HEIGHT=450&amp;WIDTH=450&amp;START_MA","XIMIZED=FALSE&amp;VAR:CALENDAR=US&amp;VAR:SYMBOL=INTC&amp;VAR:INDEX=0"}</definedName>
    <definedName name="_446__FDSAUDITLINK__" hidden="1">{"fdsup://directions/FAT Viewer?action=UPDATE&amp;creator=factset&amp;DYN_ARGS=TRUE&amp;DOC_NAME=FAT:FQL_AUDITING_CLIENT_TEMPLATE.FAT&amp;display_string=Audit&amp;VAR:KEY=ZCXOHQROBO&amp;VAR:QUERY=RkZfU0hMRFJTX0VRKCdRVFInLDMzNzg1KQ==&amp;WINDOW=FIRST_POPUP&amp;HEIGHT=450&amp;WIDTH=450&amp;START_MA","XIMIZED=FALSE&amp;VAR:CALENDAR=US&amp;VAR:SYMBOL=INTC&amp;VAR:INDEX=0"}</definedName>
    <definedName name="_447__FDSAUDITLINK__" hidden="1">{"fdsup://directions/FAT Viewer?action=UPDATE&amp;creator=factset&amp;DYN_ARGS=TRUE&amp;DOC_NAME=FAT:FQL_AUDITING_CLIENT_TEMPLATE.FAT&amp;display_string=Audit&amp;VAR:KEY=FOPSDUHELO&amp;VAR:QUERY=RkZfU0hMRFJTX0VRKCdRVFInLDMzNzUzKQ==&amp;WINDOW=FIRST_POPUP&amp;HEIGHT=450&amp;WIDTH=450&amp;START_MA","XIMIZED=FALSE&amp;VAR:CALENDAR=US&amp;VAR:SYMBOL=INTC&amp;VAR:INDEX=0"}</definedName>
    <definedName name="_448__FDSAUDITLINK__" hidden="1">{"fdsup://directions/FAT Viewer?action=UPDATE&amp;creator=factset&amp;DYN_ARGS=TRUE&amp;DOC_NAME=FAT:FQL_AUDITING_CLIENT_TEMPLATE.FAT&amp;display_string=Audit&amp;VAR:KEY=FOPSDUHELO&amp;VAR:QUERY=RkZfU0hMRFJTX0VRKCdRVFInLDMzNzUzKQ==&amp;WINDOW=FIRST_POPUP&amp;HEIGHT=450&amp;WIDTH=450&amp;START_MA","XIMIZED=FALSE&amp;VAR:CALENDAR=US&amp;VAR:SYMBOL=INTC&amp;VAR:INDEX=0"}</definedName>
    <definedName name="_449__FDSAUDITLINK__" hidden="1">{"fdsup://directions/FAT Viewer?action=UPDATE&amp;creator=factset&amp;DYN_ARGS=TRUE&amp;DOC_NAME=FAT:FQL_AUDITING_CLIENT_TEMPLATE.FAT&amp;display_string=Audit&amp;VAR:KEY=HGTCZQTUHC&amp;VAR:QUERY=RkZfU0hMRFJTX0VRKCdRVFInLDMzNzI0KQ==&amp;WINDOW=FIRST_POPUP&amp;HEIGHT=450&amp;WIDTH=450&amp;START_MA","XIMIZED=FALSE&amp;VAR:CALENDAR=US&amp;VAR:SYMBOL=INTC&amp;VAR:INDEX=0"}</definedName>
    <definedName name="_45__FDSAUDITLINK__" hidden="1">{"fdsup://directions/FAT Viewer?action=UPDATE&amp;creator=factset&amp;DYN_ARGS=TRUE&amp;DOC_NAME=FAT:FQL_AUDITING_CLIENT_TEMPLATE.FAT&amp;display_string=Audit&amp;VAR:KEY=OTUZKHYDIH&amp;VAR:QUERY=KENTRl9JTlRBTkcoUVRSX1IsMzYwNjgpQFdTRl9JTlRBTkcoUVRSLDM2MDY4KSk=&amp;WINDOW=FIRST_POPUP&amp;H","EIGHT=450&amp;WIDTH=450&amp;START_MAXIMIZED=FALSE&amp;VAR:CALENDAR=US&amp;VAR:SYMBOL=AMD&amp;VAR:INDEX=0"}</definedName>
    <definedName name="_450__FDSAUDITLINK__" hidden="1">{"fdsup://directions/FAT Viewer?action=UPDATE&amp;creator=factset&amp;DYN_ARGS=TRUE&amp;DOC_NAME=FAT:FQL_AUDITING_CLIENT_TEMPLATE.FAT&amp;display_string=Audit&amp;VAR:KEY=HGTCZQTUHC&amp;VAR:QUERY=RkZfU0hMRFJTX0VRKCdRVFInLDMzNzI0KQ==&amp;WINDOW=FIRST_POPUP&amp;HEIGHT=450&amp;WIDTH=450&amp;START_MA","XIMIZED=FALSE&amp;VAR:CALENDAR=US&amp;VAR:SYMBOL=INTC&amp;VAR:INDEX=0"}</definedName>
    <definedName name="_451__FDSAUDITLINK__" hidden="1">{"fdsup://directions/FAT Viewer?action=UPDATE&amp;creator=factset&amp;DYN_ARGS=TRUE&amp;DOC_NAME=FAT:FQL_AUDITING_CLIENT_TEMPLATE.FAT&amp;display_string=Audit&amp;VAR:KEY=XGRQFMFSRS&amp;VAR:QUERY=RkZfU0hMRFJTX0VRKCdRVFInLDMzNjk0KQ==&amp;WINDOW=FIRST_POPUP&amp;HEIGHT=450&amp;WIDTH=450&amp;START_MA","XIMIZED=FALSE&amp;VAR:CALENDAR=US&amp;VAR:SYMBOL=INTC&amp;VAR:INDEX=0"}</definedName>
    <definedName name="_452__FDSAUDITLINK__" hidden="1">{"fdsup://directions/FAT Viewer?action=UPDATE&amp;creator=factset&amp;DYN_ARGS=TRUE&amp;DOC_NAME=FAT:FQL_AUDITING_CLIENT_TEMPLATE.FAT&amp;display_string=Audit&amp;VAR:KEY=XGRQFMFSRS&amp;VAR:QUERY=RkZfU0hMRFJTX0VRKCdRVFInLDMzNjk0KQ==&amp;WINDOW=FIRST_POPUP&amp;HEIGHT=450&amp;WIDTH=450&amp;START_MA","XIMIZED=FALSE&amp;VAR:CALENDAR=US&amp;VAR:SYMBOL=INTC&amp;VAR:INDEX=0"}</definedName>
    <definedName name="_453__FDSAUDITLINK__" hidden="1">{"fdsup://directions/FAT Viewer?action=UPDATE&amp;creator=factset&amp;DYN_ARGS=TRUE&amp;DOC_NAME=FAT:FQL_AUDITING_CLIENT_TEMPLATE.FAT&amp;display_string=Audit&amp;VAR:KEY=RUBADODKZO&amp;VAR:QUERY=RkZfU0hMRFJTX0VRKCdRVFInLDMzNjYyKQ==&amp;WINDOW=FIRST_POPUP&amp;HEIGHT=450&amp;WIDTH=450&amp;START_MA","XIMIZED=FALSE&amp;VAR:CALENDAR=US&amp;VAR:SYMBOL=INTC&amp;VAR:INDEX=0"}</definedName>
    <definedName name="_454__FDSAUDITLINK__" hidden="1">{"fdsup://directions/FAT Viewer?action=UPDATE&amp;creator=factset&amp;DYN_ARGS=TRUE&amp;DOC_NAME=FAT:FQL_AUDITING_CLIENT_TEMPLATE.FAT&amp;display_string=Audit&amp;VAR:KEY=RUBADODKZO&amp;VAR:QUERY=RkZfU0hMRFJTX0VRKCdRVFInLDMzNjYyKQ==&amp;WINDOW=FIRST_POPUP&amp;HEIGHT=450&amp;WIDTH=450&amp;START_MA","XIMIZED=FALSE&amp;VAR:CALENDAR=US&amp;VAR:SYMBOL=INTC&amp;VAR:INDEX=0"}</definedName>
    <definedName name="_455__FDSAUDITLINK__" hidden="1">{"fdsup://directions/FAT Viewer?action=UPDATE&amp;creator=factset&amp;DYN_ARGS=TRUE&amp;DOC_NAME=FAT:FQL_AUDITING_CLIENT_TEMPLATE.FAT&amp;display_string=Audit&amp;VAR:KEY=BKNUVIVEBC&amp;VAR:QUERY=RkZfU0hMRFJTX0VRKCdRVFInLDMzNjM0KQ==&amp;WINDOW=FIRST_POPUP&amp;HEIGHT=450&amp;WIDTH=450&amp;START_MA","XIMIZED=FALSE&amp;VAR:CALENDAR=US&amp;VAR:SYMBOL=INTC&amp;VAR:INDEX=0"}</definedName>
    <definedName name="_456__FDSAUDITLINK__" hidden="1">{"fdsup://directions/FAT Viewer?action=UPDATE&amp;creator=factset&amp;DYN_ARGS=TRUE&amp;DOC_NAME=FAT:FQL_AUDITING_CLIENT_TEMPLATE.FAT&amp;display_string=Audit&amp;VAR:KEY=BKNUVIVEBC&amp;VAR:QUERY=RkZfU0hMRFJTX0VRKCdRVFInLDMzNjM0KQ==&amp;WINDOW=FIRST_POPUP&amp;HEIGHT=450&amp;WIDTH=450&amp;START_MA","XIMIZED=FALSE&amp;VAR:CALENDAR=US&amp;VAR:SYMBOL=INTC&amp;VAR:INDEX=0"}</definedName>
    <definedName name="_457__FDSAUDITLINK__" hidden="1">{"fdsup://directions/FAT Viewer?action=UPDATE&amp;creator=factset&amp;DYN_ARGS=TRUE&amp;DOC_NAME=FAT:FQL_AUDITING_CLIENT_TEMPLATE.FAT&amp;display_string=Audit&amp;VAR:KEY=JYLWDODMRU&amp;VAR:QUERY=RkZfU0hMRFJTX0VRKCdRVFInLDMzNjAzKQ==&amp;WINDOW=FIRST_POPUP&amp;HEIGHT=450&amp;WIDTH=450&amp;START_MA","XIMIZED=FALSE&amp;VAR:CALENDAR=US&amp;VAR:SYMBOL=INTC&amp;VAR:INDEX=0"}</definedName>
    <definedName name="_458__FDSAUDITLINK__" hidden="1">{"fdsup://directions/FAT Viewer?action=UPDATE&amp;creator=factset&amp;DYN_ARGS=TRUE&amp;DOC_NAME=FAT:FQL_AUDITING_CLIENT_TEMPLATE.FAT&amp;display_string=Audit&amp;VAR:KEY=JYLWDODMRU&amp;VAR:QUERY=RkZfU0hMRFJTX0VRKCdRVFInLDMzNjAzKQ==&amp;WINDOW=FIRST_POPUP&amp;HEIGHT=450&amp;WIDTH=450&amp;START_MA","XIMIZED=FALSE&amp;VAR:CALENDAR=US&amp;VAR:SYMBOL=INTC&amp;VAR:INDEX=0"}</definedName>
    <definedName name="_459__FDSAUDITLINK__" hidden="1">{"fdsup://directions/FAT Viewer?action=UPDATE&amp;creator=factset&amp;DYN_ARGS=TRUE&amp;DOC_NAME=FAT:FQL_AUDITING_CLIENT_TEMPLATE.FAT&amp;display_string=Audit&amp;VAR:KEY=PQLSBKLMJC&amp;VAR:QUERY=RkZfU0hMRFJTX0VRKCdRVFInLDMzNTcxKQ==&amp;WINDOW=FIRST_POPUP&amp;HEIGHT=450&amp;WIDTH=450&amp;START_MA","XIMIZED=FALSE&amp;VAR:CALENDAR=US&amp;VAR:SYMBOL=INTC&amp;VAR:INDEX=0"}</definedName>
    <definedName name="_46__FDSAUDITLINK__" hidden="1">{"fdsup://directions/FAT Viewer?action=UPDATE&amp;creator=factset&amp;DYN_ARGS=TRUE&amp;DOC_NAME=FAT:FQL_AUDITING_CLIENT_TEMPLATE.FAT&amp;display_string=Audit&amp;VAR:KEY=EDQFKNCBST&amp;VAR:QUERY=KENTRl9DT01fU0hTX09VVF9FUFNfRElMKFFUUl9SLDM2MDM4KUBXU0ZfQ09NX1NIU19PVVRfRVBTX0RJTChRV","FIsMzYwMzgpKQ==&amp;WINDOW=FIRST_POPUP&amp;HEIGHT=450&amp;WIDTH=450&amp;START_MAXIMIZED=FALSE&amp;VAR:CALENDAR=US&amp;VAR:SYMBOL=AMD&amp;VAR:INDEX=0"}</definedName>
    <definedName name="_460__FDSAUDITLINK__" hidden="1">{"fdsup://directions/FAT Viewer?action=UPDATE&amp;creator=factset&amp;DYN_ARGS=TRUE&amp;DOC_NAME=FAT:FQL_AUDITING_CLIENT_TEMPLATE.FAT&amp;display_string=Audit&amp;VAR:KEY=PQLSBKLMJC&amp;VAR:QUERY=RkZfU0hMRFJTX0VRKCdRVFInLDMzNTcxKQ==&amp;WINDOW=FIRST_POPUP&amp;HEIGHT=450&amp;WIDTH=450&amp;START_MA","XIMIZED=FALSE&amp;VAR:CALENDAR=US&amp;VAR:SYMBOL=INTC&amp;VAR:INDEX=0"}</definedName>
    <definedName name="_461__FDSAUDITLINK__" hidden="1">{"fdsup://directions/FAT Viewer?action=UPDATE&amp;creator=factset&amp;DYN_ARGS=TRUE&amp;DOC_NAME=FAT:FQL_AUDITING_CLIENT_TEMPLATE.FAT&amp;display_string=Audit&amp;VAR:KEY=ZODIFQVQTQ&amp;VAR:QUERY=RkZfU0hMRFJTX0VRKCdRVFInLDMzNTQyKQ==&amp;WINDOW=FIRST_POPUP&amp;HEIGHT=450&amp;WIDTH=450&amp;START_MA","XIMIZED=FALSE&amp;VAR:CALENDAR=US&amp;VAR:SYMBOL=INTC&amp;VAR:INDEX=0"}</definedName>
    <definedName name="_462__FDSAUDITLINK__" hidden="1">{"fdsup://directions/FAT Viewer?action=UPDATE&amp;creator=factset&amp;DYN_ARGS=TRUE&amp;DOC_NAME=FAT:FQL_AUDITING_CLIENT_TEMPLATE.FAT&amp;display_string=Audit&amp;VAR:KEY=ZODIFQVQTQ&amp;VAR:QUERY=RkZfU0hMRFJTX0VRKCdRVFInLDMzNTQyKQ==&amp;WINDOW=FIRST_POPUP&amp;HEIGHT=450&amp;WIDTH=450&amp;START_MA","XIMIZED=FALSE&amp;VAR:CALENDAR=US&amp;VAR:SYMBOL=INTC&amp;VAR:INDEX=0"}</definedName>
    <definedName name="_463__FDSAUDITLINK__" hidden="1">{"fdsup://directions/FAT Viewer?action=UPDATE&amp;creator=factset&amp;DYN_ARGS=TRUE&amp;DOC_NAME=FAT:FQL_AUDITING_CLIENT_TEMPLATE.FAT&amp;display_string=Audit&amp;VAR:KEY=JIDSBURQXK&amp;VAR:QUERY=RkZfU0hMRFJTX0VRKCdRVFInLDMzNTExKQ==&amp;WINDOW=FIRST_POPUP&amp;HEIGHT=450&amp;WIDTH=450&amp;START_MA","XIMIZED=FALSE&amp;VAR:CALENDAR=US&amp;VAR:SYMBOL=INTC&amp;VAR:INDEX=0"}</definedName>
    <definedName name="_464__FDSAUDITLINK__" hidden="1">{"fdsup://directions/FAT Viewer?action=UPDATE&amp;creator=factset&amp;DYN_ARGS=TRUE&amp;DOC_NAME=FAT:FQL_AUDITING_CLIENT_TEMPLATE.FAT&amp;display_string=Audit&amp;VAR:KEY=JIDSBURQXK&amp;VAR:QUERY=RkZfU0hMRFJTX0VRKCdRVFInLDMzNTExKQ==&amp;WINDOW=FIRST_POPUP&amp;HEIGHT=450&amp;WIDTH=450&amp;START_MA","XIMIZED=FALSE&amp;VAR:CALENDAR=US&amp;VAR:SYMBOL=INTC&amp;VAR:INDEX=0"}</definedName>
    <definedName name="_465__FDSAUDITLINK__" hidden="1">{"fdsup://directions/FAT Viewer?action=UPDATE&amp;creator=factset&amp;DYN_ARGS=TRUE&amp;DOC_NAME=FAT:FQL_AUDITING_CLIENT_TEMPLATE.FAT&amp;display_string=Audit&amp;VAR:KEY=VQHGHAZYHW&amp;VAR:QUERY=RkZfU0hMRFJTX0VRKCdRVFInLDMzNDgwKQ==&amp;WINDOW=FIRST_POPUP&amp;HEIGHT=450&amp;WIDTH=450&amp;START_MA","XIMIZED=FALSE&amp;VAR:CALENDAR=US&amp;VAR:SYMBOL=INTC&amp;VAR:INDEX=0"}</definedName>
    <definedName name="_466__FDSAUDITLINK__" hidden="1">{"fdsup://directions/FAT Viewer?action=UPDATE&amp;creator=factset&amp;DYN_ARGS=TRUE&amp;DOC_NAME=FAT:FQL_AUDITING_CLIENT_TEMPLATE.FAT&amp;display_string=Audit&amp;VAR:KEY=VQHGHAZYHW&amp;VAR:QUERY=RkZfU0hMRFJTX0VRKCdRVFInLDMzNDgwKQ==&amp;WINDOW=FIRST_POPUP&amp;HEIGHT=450&amp;WIDTH=450&amp;START_MA","XIMIZED=FALSE&amp;VAR:CALENDAR=US&amp;VAR:SYMBOL=INTC&amp;VAR:INDEX=0"}</definedName>
    <definedName name="_467__FDSAUDITLINK__" hidden="1">{"fdsup://directions/FAT Viewer?action=UPDATE&amp;creator=factset&amp;DYN_ARGS=TRUE&amp;DOC_NAME=FAT:FQL_AUDITING_CLIENT_TEMPLATE.FAT&amp;display_string=Audit&amp;VAR:KEY=XQFEBGDYLE&amp;VAR:QUERY=RkZfU0hMRFJTX0VRKCdRVFInLDMzNDUwKQ==&amp;WINDOW=FIRST_POPUP&amp;HEIGHT=450&amp;WIDTH=450&amp;START_MA","XIMIZED=FALSE&amp;VAR:CALENDAR=US&amp;VAR:SYMBOL=INTC&amp;VAR:INDEX=0"}</definedName>
    <definedName name="_468__FDSAUDITLINK__" hidden="1">{"fdsup://directions/FAT Viewer?action=UPDATE&amp;creator=factset&amp;DYN_ARGS=TRUE&amp;DOC_NAME=FAT:FQL_AUDITING_CLIENT_TEMPLATE.FAT&amp;display_string=Audit&amp;VAR:KEY=XQFEBGDYLE&amp;VAR:QUERY=RkZfU0hMRFJTX0VRKCdRVFInLDMzNDUwKQ==&amp;WINDOW=FIRST_POPUP&amp;HEIGHT=450&amp;WIDTH=450&amp;START_MA","XIMIZED=FALSE&amp;VAR:CALENDAR=US&amp;VAR:SYMBOL=INTC&amp;VAR:INDEX=0"}</definedName>
    <definedName name="_469__FDSAUDITLINK__" hidden="1">{"fdsup://directions/FAT Viewer?action=UPDATE&amp;creator=factset&amp;DYN_ARGS=TRUE&amp;DOC_NAME=FAT:FQL_AUDITING_CLIENT_TEMPLATE.FAT&amp;display_string=Audit&amp;VAR:KEY=DQPCVGBWXS&amp;VAR:QUERY=RkZfU0hMRFJTX0VRKCdRVFInLDMzNDE3KQ==&amp;WINDOW=FIRST_POPUP&amp;HEIGHT=450&amp;WIDTH=450&amp;START_MA","XIMIZED=FALSE&amp;VAR:CALENDAR=US&amp;VAR:SYMBOL=INTC&amp;VAR:INDEX=0"}</definedName>
    <definedName name="_47__FDSAUDITLINK__" hidden="1">{"fdsup://directions/FAT Viewer?action=UPDATE&amp;creator=factset&amp;DYN_ARGS=TRUE&amp;DOC_NAME=FAT:FQL_AUDITING_CLIENT_TEMPLATE.FAT&amp;display_string=Audit&amp;VAR:KEY=GHOZODERIN&amp;VAR:QUERY=KENTRl9JTlRBTkcoUVRSX1IsMzYwMzgpQFdTRl9JTlRBTkcoUVRSLDM2MDM4KSk=&amp;WINDOW=FIRST_POPUP&amp;H","EIGHT=450&amp;WIDTH=450&amp;START_MAXIMIZED=FALSE&amp;VAR:CALENDAR=US&amp;VAR:SYMBOL=AMD&amp;VAR:INDEX=0"}</definedName>
    <definedName name="_470__FDSAUDITLINK__" hidden="1">{"fdsup://directions/FAT Viewer?action=UPDATE&amp;creator=factset&amp;DYN_ARGS=TRUE&amp;DOC_NAME=FAT:FQL_AUDITING_CLIENT_TEMPLATE.FAT&amp;display_string=Audit&amp;VAR:KEY=DQPCVGBWXS&amp;VAR:QUERY=RkZfU0hMRFJTX0VRKCdRVFInLDMzNDE3KQ==&amp;WINDOW=FIRST_POPUP&amp;HEIGHT=450&amp;WIDTH=450&amp;START_MA","XIMIZED=FALSE&amp;VAR:CALENDAR=US&amp;VAR:SYMBOL=INTC&amp;VAR:INDEX=0"}</definedName>
    <definedName name="_471__FDSAUDITLINK__" hidden="1">{"fdsup://directions/FAT Viewer?action=UPDATE&amp;creator=factset&amp;DYN_ARGS=TRUE&amp;DOC_NAME=FAT:FQL_AUDITING_CLIENT_TEMPLATE.FAT&amp;display_string=Audit&amp;VAR:KEY=BUTWTMLQFY&amp;VAR:QUERY=RkZfU0hMRFJTX0VRKCdRVFInLDMzMzg5KQ==&amp;WINDOW=FIRST_POPUP&amp;HEIGHT=450&amp;WIDTH=450&amp;START_MA","XIMIZED=FALSE&amp;VAR:CALENDAR=US&amp;VAR:SYMBOL=INTC&amp;VAR:INDEX=0"}</definedName>
    <definedName name="_472__FDSAUDITLINK__" hidden="1">{"fdsup://directions/FAT Viewer?action=UPDATE&amp;creator=factset&amp;DYN_ARGS=TRUE&amp;DOC_NAME=FAT:FQL_AUDITING_CLIENT_TEMPLATE.FAT&amp;display_string=Audit&amp;VAR:KEY=BUTWTMLQFY&amp;VAR:QUERY=RkZfU0hMRFJTX0VRKCdRVFInLDMzMzg5KQ==&amp;WINDOW=FIRST_POPUP&amp;HEIGHT=450&amp;WIDTH=450&amp;START_MA","XIMIZED=FALSE&amp;VAR:CALENDAR=US&amp;VAR:SYMBOL=INTC&amp;VAR:INDEX=0"}</definedName>
    <definedName name="_473__FDSAUDITLINK__" hidden="1">{"fdsup://directions/FAT Viewer?action=UPDATE&amp;creator=factset&amp;DYN_ARGS=TRUE&amp;DOC_NAME=FAT:FQL_AUDITING_CLIENT_TEMPLATE.FAT&amp;display_string=Audit&amp;VAR:KEY=DITYVKZAFE&amp;VAR:QUERY=RkZfU0hMRFJTX0VRKCdRVFInLDMzMzU4KQ==&amp;WINDOW=FIRST_POPUP&amp;HEIGHT=450&amp;WIDTH=450&amp;START_MA","XIMIZED=FALSE&amp;VAR:CALENDAR=US&amp;VAR:SYMBOL=INTC&amp;VAR:INDEX=0"}</definedName>
    <definedName name="_474__FDSAUDITLINK__" hidden="1">{"fdsup://directions/FAT Viewer?action=UPDATE&amp;creator=factset&amp;DYN_ARGS=TRUE&amp;DOC_NAME=FAT:FQL_AUDITING_CLIENT_TEMPLATE.FAT&amp;display_string=Audit&amp;VAR:KEY=DITYVKZAFE&amp;VAR:QUERY=RkZfU0hMRFJTX0VRKCdRVFInLDMzMzU4KQ==&amp;WINDOW=FIRST_POPUP&amp;HEIGHT=450&amp;WIDTH=450&amp;START_MA","XIMIZED=FALSE&amp;VAR:CALENDAR=US&amp;VAR:SYMBOL=INTC&amp;VAR:INDEX=0"}</definedName>
    <definedName name="_475__FDSAUDITLINK__" hidden="1">{"fdsup://directions/FAT Viewer?action=UPDATE&amp;creator=factset&amp;DYN_ARGS=TRUE&amp;DOC_NAME=FAT:FQL_AUDITING_CLIENT_TEMPLATE.FAT&amp;display_string=Audit&amp;VAR:KEY=PMPGTETYBO&amp;VAR:QUERY=RkZfU0hMRFJTX0VRKCdRVFInLDMzMzI1KQ==&amp;WINDOW=FIRST_POPUP&amp;HEIGHT=450&amp;WIDTH=450&amp;START_MA","XIMIZED=FALSE&amp;VAR:CALENDAR=US&amp;VAR:SYMBOL=INTC&amp;VAR:INDEX=0"}</definedName>
    <definedName name="_476__FDSAUDITLINK__" hidden="1">{"fdsup://directions/FAT Viewer?action=UPDATE&amp;creator=factset&amp;DYN_ARGS=TRUE&amp;DOC_NAME=FAT:FQL_AUDITING_CLIENT_TEMPLATE.FAT&amp;display_string=Audit&amp;VAR:KEY=PMPGTETYBO&amp;VAR:QUERY=RkZfU0hMRFJTX0VRKCdRVFInLDMzMzI1KQ==&amp;WINDOW=FIRST_POPUP&amp;HEIGHT=450&amp;WIDTH=450&amp;START_MA","XIMIZED=FALSE&amp;VAR:CALENDAR=US&amp;VAR:SYMBOL=INTC&amp;VAR:INDEX=0"}</definedName>
    <definedName name="_477__FDSAUDITLINK__" hidden="1">{"fdsup://directions/FAT Viewer?action=UPDATE&amp;creator=factset&amp;DYN_ARGS=TRUE&amp;DOC_NAME=FAT:FQL_AUDITING_CLIENT_TEMPLATE.FAT&amp;display_string=Audit&amp;VAR:KEY=VMVOJSDUPC&amp;VAR:QUERY=RkZfU0hMRFJTX0VRKCdRVFInLDMzMjk3KQ==&amp;WINDOW=FIRST_POPUP&amp;HEIGHT=450&amp;WIDTH=450&amp;START_MA","XIMIZED=FALSE&amp;VAR:CALENDAR=US&amp;VAR:SYMBOL=INTC&amp;VAR:INDEX=0"}</definedName>
    <definedName name="_478__FDSAUDITLINK__" hidden="1">{"fdsup://directions/FAT Viewer?action=UPDATE&amp;creator=factset&amp;DYN_ARGS=TRUE&amp;DOC_NAME=FAT:FQL_AUDITING_CLIENT_TEMPLATE.FAT&amp;display_string=Audit&amp;VAR:KEY=VMVOJSDUPC&amp;VAR:QUERY=RkZfU0hMRFJTX0VRKCdRVFInLDMzMjk3KQ==&amp;WINDOW=FIRST_POPUP&amp;HEIGHT=450&amp;WIDTH=450&amp;START_MA","XIMIZED=FALSE&amp;VAR:CALENDAR=US&amp;VAR:SYMBOL=INTC&amp;VAR:INDEX=0"}</definedName>
    <definedName name="_479__FDSAUDITLINK__" hidden="1">{"fdsup://directions/FAT Viewer?action=UPDATE&amp;creator=factset&amp;DYN_ARGS=TRUE&amp;DOC_NAME=FAT:FQL_AUDITING_CLIENT_TEMPLATE.FAT&amp;display_string=Audit&amp;VAR:KEY=ZIJGHYRKLY&amp;VAR:QUERY=RkZfU0hMRFJTX0VRKCdRVFInLDMzMjY5KQ==&amp;WINDOW=FIRST_POPUP&amp;HEIGHT=450&amp;WIDTH=450&amp;START_MA","XIMIZED=FALSE&amp;VAR:CALENDAR=US&amp;VAR:SYMBOL=INTC&amp;VAR:INDEX=0"}</definedName>
    <definedName name="_48__FDSAUDITLINK__" hidden="1">{"fdsup://directions/FAT Viewer?action=UPDATE&amp;creator=factset&amp;DYN_ARGS=TRUE&amp;DOC_NAME=FAT:FQL_AUDITING_CLIENT_TEMPLATE.FAT&amp;display_string=Audit&amp;VAR:KEY=CNERIDSTYT&amp;VAR:QUERY=KENTRl9DT01fU0hTX09VVF9FUFNfRElMKFFUUl9SLDM2MDA3KUBXU0ZfQ09NX1NIU19PVVRfRVBTX0RJTChRV","FIsMzYwMDcpKQ==&amp;WINDOW=FIRST_POPUP&amp;HEIGHT=450&amp;WIDTH=450&amp;START_MAXIMIZED=FALSE&amp;VAR:CALENDAR=US&amp;VAR:SYMBOL=AMD&amp;VAR:INDEX=0"}</definedName>
    <definedName name="_480__FDSAUDITLINK__" hidden="1">{"fdsup://directions/FAT Viewer?action=UPDATE&amp;creator=factset&amp;DYN_ARGS=TRUE&amp;DOC_NAME=FAT:FQL_AUDITING_CLIENT_TEMPLATE.FAT&amp;display_string=Audit&amp;VAR:KEY=ZIJGHYRKLY&amp;VAR:QUERY=RkZfU0hMRFJTX0VRKCdRVFInLDMzMjY5KQ==&amp;WINDOW=FIRST_POPUP&amp;HEIGHT=450&amp;WIDTH=450&amp;START_MA","XIMIZED=FALSE&amp;VAR:CALENDAR=US&amp;VAR:SYMBOL=INTC&amp;VAR:INDEX=0"}</definedName>
    <definedName name="_481__FDSAUDITLINK__" hidden="1">{"fdsup://directions/FAT Viewer?action=UPDATE&amp;creator=factset&amp;DYN_ARGS=TRUE&amp;DOC_NAME=FAT:FQL_AUDITING_CLIENT_TEMPLATE.FAT&amp;display_string=Audit&amp;VAR:KEY=JEXQTOHCDI&amp;VAR:QUERY=RkZfU0hMRFJTX0VRKCdRVFInLDMzMjM4KQ==&amp;WINDOW=FIRST_POPUP&amp;HEIGHT=450&amp;WIDTH=450&amp;START_MA","XIMIZED=FALSE&amp;VAR:CALENDAR=US&amp;VAR:SYMBOL=INTC&amp;VAR:INDEX=0"}</definedName>
    <definedName name="_482__FDSAUDITLINK__" hidden="1">{"fdsup://directions/FAT Viewer?action=UPDATE&amp;creator=factset&amp;DYN_ARGS=TRUE&amp;DOC_NAME=FAT:FQL_AUDITING_CLIENT_TEMPLATE.FAT&amp;display_string=Audit&amp;VAR:KEY=JEXQTOHCDI&amp;VAR:QUERY=RkZfU0hMRFJTX0VRKCdRVFInLDMzMjM4KQ==&amp;WINDOW=FIRST_POPUP&amp;HEIGHT=450&amp;WIDTH=450&amp;START_MA","XIMIZED=FALSE&amp;VAR:CALENDAR=US&amp;VAR:SYMBOL=INTC&amp;VAR:INDEX=0"}</definedName>
    <definedName name="_483__FDSAUDITLINK__" hidden="1">{"fdsup://directions/FAT Viewer?action=UPDATE&amp;creator=factset&amp;DYN_ARGS=TRUE&amp;DOC_NAME=FAT:FQL_AUDITING_CLIENT_TEMPLATE.FAT&amp;display_string=Audit&amp;VAR:KEY=TURSXMBMXC&amp;VAR:QUERY=RkZfU0hMRFJTX0VRKCdRVFInLDMzMjA3KQ==&amp;WINDOW=FIRST_POPUP&amp;HEIGHT=450&amp;WIDTH=450&amp;START_MA","XIMIZED=FALSE&amp;VAR:CALENDAR=US&amp;VAR:SYMBOL=INTC&amp;VAR:INDEX=0"}</definedName>
    <definedName name="_484__FDSAUDITLINK__" hidden="1">{"fdsup://directions/FAT Viewer?action=UPDATE&amp;creator=factset&amp;DYN_ARGS=TRUE&amp;DOC_NAME=FAT:FQL_AUDITING_CLIENT_TEMPLATE.FAT&amp;display_string=Audit&amp;VAR:KEY=TURSXMBMXC&amp;VAR:QUERY=RkZfU0hMRFJTX0VRKCdRVFInLDMzMjA3KQ==&amp;WINDOW=FIRST_POPUP&amp;HEIGHT=450&amp;WIDTH=450&amp;START_MA","XIMIZED=FALSE&amp;VAR:CALENDAR=US&amp;VAR:SYMBOL=INTC&amp;VAR:INDEX=0"}</definedName>
    <definedName name="_485__FDSAUDITLINK__" hidden="1">{"fdsup://directions/FAT Viewer?action=UPDATE&amp;creator=factset&amp;DYN_ARGS=TRUE&amp;DOC_NAME=FAT:FQL_AUDITING_CLIENT_TEMPLATE.FAT&amp;display_string=Audit&amp;VAR:KEY=RGLELQNMHG&amp;VAR:QUERY=RkZfU0hMRFJTX0VRKCdRVFInLDMzMTc3KQ==&amp;WINDOW=FIRST_POPUP&amp;HEIGHT=450&amp;WIDTH=450&amp;START_MA","XIMIZED=FALSE&amp;VAR:CALENDAR=US&amp;VAR:SYMBOL=INTC&amp;VAR:INDEX=0"}</definedName>
    <definedName name="_486__FDSAUDITLINK__" hidden="1">{"fdsup://directions/FAT Viewer?action=UPDATE&amp;creator=factset&amp;DYN_ARGS=TRUE&amp;DOC_NAME=FAT:FQL_AUDITING_CLIENT_TEMPLATE.FAT&amp;display_string=Audit&amp;VAR:KEY=RGLELQNMHG&amp;VAR:QUERY=RkZfU0hMRFJTX0VRKCdRVFInLDMzMTc3KQ==&amp;WINDOW=FIRST_POPUP&amp;HEIGHT=450&amp;WIDTH=450&amp;START_MA","XIMIZED=FALSE&amp;VAR:CALENDAR=US&amp;VAR:SYMBOL=INTC&amp;VAR:INDEX=0"}</definedName>
    <definedName name="_487__FDSAUDITLINK__" hidden="1">{"fdsup://directions/FAT Viewer?action=UPDATE&amp;creator=factset&amp;DYN_ARGS=TRUE&amp;DOC_NAME=FAT:FQL_AUDITING_CLIENT_TEMPLATE.FAT&amp;display_string=Audit&amp;VAR:KEY=RABYLKXEHQ&amp;VAR:QUERY=RkZfU0hMRFJTX0VRKCdRVFInLDMzMTQ0KQ==&amp;WINDOW=FIRST_POPUP&amp;HEIGHT=450&amp;WIDTH=450&amp;START_MA","XIMIZED=FALSE&amp;VAR:CALENDAR=US&amp;VAR:SYMBOL=INTC&amp;VAR:INDEX=0"}</definedName>
    <definedName name="_488__FDSAUDITLINK__" hidden="1">{"fdsup://directions/FAT Viewer?action=UPDATE&amp;creator=factset&amp;DYN_ARGS=TRUE&amp;DOC_NAME=FAT:FQL_AUDITING_CLIENT_TEMPLATE.FAT&amp;display_string=Audit&amp;VAR:KEY=RABYLKXEHQ&amp;VAR:QUERY=RkZfU0hMRFJTX0VRKCdRVFInLDMzMTQ0KQ==&amp;WINDOW=FIRST_POPUP&amp;HEIGHT=450&amp;WIDTH=450&amp;START_MA","XIMIZED=FALSE&amp;VAR:CALENDAR=US&amp;VAR:SYMBOL=INTC&amp;VAR:INDEX=0"}</definedName>
    <definedName name="_489__FDSAUDITLINK__" hidden="1">{"fdsup://directions/FAT Viewer?action=UPDATE&amp;creator=factset&amp;DYN_ARGS=TRUE&amp;DOC_NAME=FAT:FQL_AUDITING_CLIENT_TEMPLATE.FAT&amp;display_string=Audit&amp;VAR:KEY=BWTOXUBQDG&amp;VAR:QUERY=RkZfU0hMRFJTX0VRKCdRVFInLDMzMTE2KQ==&amp;WINDOW=FIRST_POPUP&amp;HEIGHT=450&amp;WIDTH=450&amp;START_MA","XIMIZED=FALSE&amp;VAR:CALENDAR=US&amp;VAR:SYMBOL=INTC&amp;VAR:INDEX=0"}</definedName>
    <definedName name="_49__FDSAUDITLINK__" hidden="1">{"fdsup://directions/FAT Viewer?action=UPDATE&amp;creator=factset&amp;DYN_ARGS=TRUE&amp;DOC_NAME=FAT:FQL_AUDITING_CLIENT_TEMPLATE.FAT&amp;display_string=Audit&amp;VAR:KEY=IDSDCXKBEH&amp;VAR:QUERY=KENTRl9JTlRBTkcoUVRSX1IsMzYwMDcpQFdTRl9JTlRBTkcoUVRSLDM2MDA3KSk=&amp;WINDOW=FIRST_POPUP&amp;H","EIGHT=450&amp;WIDTH=450&amp;START_MAXIMIZED=FALSE&amp;VAR:CALENDAR=US&amp;VAR:SYMBOL=AMD&amp;VAR:INDEX=0"}</definedName>
    <definedName name="_490__FDSAUDITLINK__" hidden="1">{"fdsup://directions/FAT Viewer?action=UPDATE&amp;creator=factset&amp;DYN_ARGS=TRUE&amp;DOC_NAME=FAT:FQL_AUDITING_CLIENT_TEMPLATE.FAT&amp;display_string=Audit&amp;VAR:KEY=BWTOXUBQDG&amp;VAR:QUERY=RkZfU0hMRFJTX0VRKCdRVFInLDMzMTE2KQ==&amp;WINDOW=FIRST_POPUP&amp;HEIGHT=450&amp;WIDTH=450&amp;START_MA","XIMIZED=FALSE&amp;VAR:CALENDAR=US&amp;VAR:SYMBOL=INTC&amp;VAR:INDEX=0"}</definedName>
    <definedName name="_491__FDSAUDITLINK__" hidden="1">{"fdsup://directions/FAT Viewer?action=UPDATE&amp;creator=factset&amp;DYN_ARGS=TRUE&amp;DOC_NAME=FAT:FQL_AUDITING_CLIENT_TEMPLATE.FAT&amp;display_string=Audit&amp;VAR:KEY=NSNQVYVSLG&amp;VAR:QUERY=RkZfU0hMRFJTX0VRKCdRVFInLDMzMDg1KQ==&amp;WINDOW=FIRST_POPUP&amp;HEIGHT=450&amp;WIDTH=450&amp;START_MA","XIMIZED=FALSE&amp;VAR:CALENDAR=US&amp;VAR:SYMBOL=INTC&amp;VAR:INDEX=0"}</definedName>
    <definedName name="_492__FDSAUDITLINK__" hidden="1">{"fdsup://directions/FAT Viewer?action=UPDATE&amp;creator=factset&amp;DYN_ARGS=TRUE&amp;DOC_NAME=FAT:FQL_AUDITING_CLIENT_TEMPLATE.FAT&amp;display_string=Audit&amp;VAR:KEY=NSNQVYVSLG&amp;VAR:QUERY=RkZfU0hMRFJTX0VRKCdRVFInLDMzMDg1KQ==&amp;WINDOW=FIRST_POPUP&amp;HEIGHT=450&amp;WIDTH=450&amp;START_MA","XIMIZED=FALSE&amp;VAR:CALENDAR=US&amp;VAR:SYMBOL=INTC&amp;VAR:INDEX=0"}</definedName>
    <definedName name="_493__FDSAUDITLINK__" hidden="1">{"fdsup://directions/FAT Viewer?action=UPDATE&amp;creator=factset&amp;DYN_ARGS=TRUE&amp;DOC_NAME=FAT:FQL_AUDITING_CLIENT_TEMPLATE.FAT&amp;display_string=Audit&amp;VAR:KEY=TAVWBCPARC&amp;VAR:QUERY=RkZfU0hMRFJTX0VRKCdRVFInLDMzMDUzKQ==&amp;WINDOW=FIRST_POPUP&amp;HEIGHT=450&amp;WIDTH=450&amp;START_MA","XIMIZED=FALSE&amp;VAR:CALENDAR=US&amp;VAR:SYMBOL=INTC&amp;VAR:INDEX=0"}</definedName>
    <definedName name="_494__FDSAUDITLINK__" hidden="1">{"fdsup://directions/FAT Viewer?action=UPDATE&amp;creator=factset&amp;DYN_ARGS=TRUE&amp;DOC_NAME=FAT:FQL_AUDITING_CLIENT_TEMPLATE.FAT&amp;display_string=Audit&amp;VAR:KEY=TAVWBCPARC&amp;VAR:QUERY=RkZfU0hMRFJTX0VRKCdRVFInLDMzMDUzKQ==&amp;WINDOW=FIRST_POPUP&amp;HEIGHT=450&amp;WIDTH=450&amp;START_MA","XIMIZED=FALSE&amp;VAR:CALENDAR=US&amp;VAR:SYMBOL=INTC&amp;VAR:INDEX=0"}</definedName>
    <definedName name="_495__FDSAUDITLINK__" hidden="1">{"fdsup://directions/FAT Viewer?action=UPDATE&amp;creator=factset&amp;DYN_ARGS=TRUE&amp;DOC_NAME=FAT:FQL_AUDITING_CLIENT_TEMPLATE.FAT&amp;display_string=Audit&amp;VAR:KEY=XEDWJQHUTA&amp;VAR:QUERY=RkZfU0hMRFJTX0VRKCdRVFInLDMzMDI0KQ==&amp;WINDOW=FIRST_POPUP&amp;HEIGHT=450&amp;WIDTH=450&amp;START_MA","XIMIZED=FALSE&amp;VAR:CALENDAR=US&amp;VAR:SYMBOL=INTC&amp;VAR:INDEX=0"}</definedName>
    <definedName name="_496__FDSAUDITLINK__" hidden="1">{"fdsup://directions/FAT Viewer?action=UPDATE&amp;creator=factset&amp;DYN_ARGS=TRUE&amp;DOC_NAME=FAT:FQL_AUDITING_CLIENT_TEMPLATE.FAT&amp;display_string=Audit&amp;VAR:KEY=XEDWJQHUTA&amp;VAR:QUERY=RkZfU0hMRFJTX0VRKCdRVFInLDMzMDI0KQ==&amp;WINDOW=FIRST_POPUP&amp;HEIGHT=450&amp;WIDTH=450&amp;START_MA","XIMIZED=FALSE&amp;VAR:CALENDAR=US&amp;VAR:SYMBOL=INTC&amp;VAR:INDEX=0"}</definedName>
    <definedName name="_497__FDSAUDITLINK__" hidden="1">{"fdsup://directions/FAT Viewer?action=UPDATE&amp;creator=factset&amp;DYN_ARGS=TRUE&amp;DOC_NAME=FAT:FQL_AUDITING_CLIENT_TEMPLATE.FAT&amp;display_string=Audit&amp;VAR:KEY=XCNYTIDSVY&amp;VAR:QUERY=RkZfU0hMRFJTX0VRKCdRVFInLDMyOTkzKQ==&amp;WINDOW=FIRST_POPUP&amp;HEIGHT=450&amp;WIDTH=450&amp;START_MA","XIMIZED=FALSE&amp;VAR:CALENDAR=US&amp;VAR:SYMBOL=INTC&amp;VAR:INDEX=0"}</definedName>
    <definedName name="_498__FDSAUDITLINK__" hidden="1">{"fdsup://directions/FAT Viewer?action=UPDATE&amp;creator=factset&amp;DYN_ARGS=TRUE&amp;DOC_NAME=FAT:FQL_AUDITING_CLIENT_TEMPLATE.FAT&amp;display_string=Audit&amp;VAR:KEY=XCNYTIDSVY&amp;VAR:QUERY=RkZfU0hMRFJTX0VRKCdRVFInLDMyOTkzKQ==&amp;WINDOW=FIRST_POPUP&amp;HEIGHT=450&amp;WIDTH=450&amp;START_MA","XIMIZED=FALSE&amp;VAR:CALENDAR=US&amp;VAR:SYMBOL=INTC&amp;VAR:INDEX=0"}</definedName>
    <definedName name="_499__FDSAUDITLINK__" hidden="1">{"fdsup://directions/FAT Viewer?action=UPDATE&amp;creator=factset&amp;DYN_ARGS=TRUE&amp;DOC_NAME=FAT:FQL_AUDITING_CLIENT_TEMPLATE.FAT&amp;display_string=Audit&amp;VAR:KEY=ZCPSXWFEFW&amp;VAR:QUERY=RkZfU0hMRFJTX0VRKCdRVFInLDMyOTYyKQ==&amp;WINDOW=FIRST_POPUP&amp;HEIGHT=450&amp;WIDTH=450&amp;START_MA","XIMIZED=FALSE&amp;VAR:CALENDAR=US&amp;VAR:SYMBOL=INTC&amp;VAR:INDEX=0"}</definedName>
    <definedName name="_4Q94">#REF!</definedName>
    <definedName name="_4Q95">#REF!</definedName>
    <definedName name="_5__FDSAUDITLINK__" hidden="1">{"fdsup://directions/FAT Viewer?action=UPDATE&amp;creator=factset&amp;DYN_ARGS=TRUE&amp;DOC_NAME=FAT:FQL_AUDITING_CLIENT_TEMPLATE.FAT&amp;display_string=Audit&amp;VAR:KEY=KNQHUXSXOJ&amp;VAR:QUERY=KENTRl9JTlRBTkcoUVRSX1IsMzcxOTUpQFdTRl9JTlRBTkcoUVRSLDM3MTk1KSk=&amp;WINDOW=FIRST_POPUP&amp;H","EIGHT=450&amp;WIDTH=450&amp;START_MAXIMIZED=FALSE&amp;VAR:CALENDAR=US&amp;VAR:SYMBOL=AMD&amp;VAR:INDEX=0"}</definedName>
    <definedName name="_50__FDSAUDITLINK__" hidden="1">{"fdsup://directions/FAT Viewer?action=UPDATE&amp;creator=factset&amp;DYN_ARGS=TRUE&amp;DOC_NAME=FAT:FQL_AUDITING_CLIENT_TEMPLATE.FAT&amp;display_string=Audit&amp;VAR:KEY=WLOFSPIDKT&amp;VAR:QUERY=KENTRl9DT01fU0hTX09VVF9FUFNfRElMKFFUUl9SLDM1OTc2KUBXU0ZfQ09NX1NIU19PVVRfRVBTX0RJTChRV","FIsMzU5NzYpKQ==&amp;WINDOW=FIRST_POPUP&amp;HEIGHT=450&amp;WIDTH=450&amp;START_MAXIMIZED=FALSE&amp;VAR:CALENDAR=US&amp;VAR:SYMBOL=AMD&amp;VAR:INDEX=0"}</definedName>
    <definedName name="_500__FDSAUDITLINK__" hidden="1">{"fdsup://directions/FAT Viewer?action=UPDATE&amp;creator=factset&amp;DYN_ARGS=TRUE&amp;DOC_NAME=FAT:FQL_AUDITING_CLIENT_TEMPLATE.FAT&amp;display_string=Audit&amp;VAR:KEY=ZCPSXWFEFW&amp;VAR:QUERY=RkZfU0hMRFJTX0VRKCdRVFInLDMyOTYyKQ==&amp;WINDOW=FIRST_POPUP&amp;HEIGHT=450&amp;WIDTH=450&amp;START_MA","XIMIZED=FALSE&amp;VAR:CALENDAR=US&amp;VAR:SYMBOL=INTC&amp;VAR:INDEX=0"}</definedName>
    <definedName name="_501__FDSAUDITLINK__" hidden="1">{"fdsup://directions/FAT Viewer?action=UPDATE&amp;creator=factset&amp;DYN_ARGS=TRUE&amp;DOC_NAME=FAT:FQL_AUDITING_CLIENT_TEMPLATE.FAT&amp;display_string=Audit&amp;VAR:KEY=ZWPUTOJWNY&amp;VAR:QUERY=RkZfU0hMRFJTX0VRKCdRVFInLDMyOTMyKQ==&amp;WINDOW=FIRST_POPUP&amp;HEIGHT=450&amp;WIDTH=450&amp;START_MA","XIMIZED=FALSE&amp;VAR:CALENDAR=US&amp;VAR:SYMBOL=INTC&amp;VAR:INDEX=0"}</definedName>
    <definedName name="_502__FDSAUDITLINK__" hidden="1">{"fdsup://directions/FAT Viewer?action=UPDATE&amp;creator=factset&amp;DYN_ARGS=TRUE&amp;DOC_NAME=FAT:FQL_AUDITING_CLIENT_TEMPLATE.FAT&amp;display_string=Audit&amp;VAR:KEY=ZWPUTOJWNY&amp;VAR:QUERY=RkZfU0hMRFJTX0VRKCdRVFInLDMyOTMyKQ==&amp;WINDOW=FIRST_POPUP&amp;HEIGHT=450&amp;WIDTH=450&amp;START_MA","XIMIZED=FALSE&amp;VAR:CALENDAR=US&amp;VAR:SYMBOL=INTC&amp;VAR:INDEX=0"}</definedName>
    <definedName name="_503__FDSAUDITLINK__" hidden="1">{"fdsup://directions/FAT Viewer?action=UPDATE&amp;creator=factset&amp;DYN_ARGS=TRUE&amp;DOC_NAME=FAT:FQL_AUDITING_CLIENT_TEMPLATE.FAT&amp;display_string=Audit&amp;VAR:KEY=JWVGDSFAZS&amp;VAR:QUERY=RkZfU0hMRFJTX0VRKCdRVFInLDMyOTA0KQ==&amp;WINDOW=FIRST_POPUP&amp;HEIGHT=450&amp;WIDTH=450&amp;START_MA","XIMIZED=FALSE&amp;VAR:CALENDAR=US&amp;VAR:SYMBOL=INTC&amp;VAR:INDEX=0"}</definedName>
    <definedName name="_504__FDSAUDITLINK__" hidden="1">{"fdsup://directions/FAT Viewer?action=UPDATE&amp;creator=factset&amp;DYN_ARGS=TRUE&amp;DOC_NAME=FAT:FQL_AUDITING_CLIENT_TEMPLATE.FAT&amp;display_string=Audit&amp;VAR:KEY=JWVGDSFAZS&amp;VAR:QUERY=RkZfU0hMRFJTX0VRKCdRVFInLDMyOTA0KQ==&amp;WINDOW=FIRST_POPUP&amp;HEIGHT=450&amp;WIDTH=450&amp;START_MA","XIMIZED=FALSE&amp;VAR:CALENDAR=US&amp;VAR:SYMBOL=INTC&amp;VAR:INDEX=0"}</definedName>
    <definedName name="_505__FDSAUDITLINK__" hidden="1">{"fdsup://directions/FAT Viewer?action=UPDATE&amp;creator=factset&amp;DYN_ARGS=TRUE&amp;DOC_NAME=FAT:FQL_AUDITING_CLIENT_TEMPLATE.FAT&amp;display_string=Audit&amp;VAR:KEY=BUHOHWNMFQ&amp;VAR:QUERY=RkZfU0hMRFJTX0VRKCdRVFInLDMyODcxKQ==&amp;WINDOW=FIRST_POPUP&amp;HEIGHT=450&amp;WIDTH=450&amp;START_MA","XIMIZED=FALSE&amp;VAR:CALENDAR=US&amp;VAR:SYMBOL=INTC&amp;VAR:INDEX=0"}</definedName>
    <definedName name="_506__FDSAUDITLINK__" hidden="1">{"fdsup://directions/FAT Viewer?action=UPDATE&amp;creator=factset&amp;DYN_ARGS=TRUE&amp;DOC_NAME=FAT:FQL_AUDITING_CLIENT_TEMPLATE.FAT&amp;display_string=Audit&amp;VAR:KEY=BUHOHWNMFQ&amp;VAR:QUERY=RkZfU0hMRFJTX0VRKCdRVFInLDMyODcxKQ==&amp;WINDOW=FIRST_POPUP&amp;HEIGHT=450&amp;WIDTH=450&amp;START_MA","XIMIZED=FALSE&amp;VAR:CALENDAR=US&amp;VAR:SYMBOL=INTC&amp;VAR:INDEX=0"}</definedName>
    <definedName name="_507__FDSAUDITLINK__" hidden="1">{"fdsup://directions/FAT Viewer?action=UPDATE&amp;creator=factset&amp;DYN_ARGS=TRUE&amp;DOC_NAME=FAT:FQL_AUDITING_CLIENT_TEMPLATE.FAT&amp;display_string=Audit&amp;VAR:KEY=MZWLQDCNML&amp;VAR:QUERY=KENTRl9DT01fU0hTX09VVF9FUFNfRElMKFFUUl9SLDQxMDI5KUBXU0ZfQ09NX1NIU19PVVRfRVBTX0RJTChRV","FIsNDEwMjkpKQ==&amp;WINDOW=FIRST_POPUP&amp;HEIGHT=450&amp;WIDTH=450&amp;START_MAXIMIZED=FALSE&amp;VAR:CALENDAR=US&amp;VAR:SYMBOL=INTC&amp;VAR:INDEX=0"}</definedName>
    <definedName name="_508__FDSAUDITLINK__" hidden="1">{"fdsup://directions/FAT Viewer?action=UPDATE&amp;creator=factset&amp;DYN_ARGS=TRUE&amp;DOC_NAME=FAT:FQL_AUDITING_CLIENT_TEMPLATE.FAT&amp;display_string=Audit&amp;VAR:KEY=IJKJSNUDKZ&amp;VAR:QUERY=KENTRl9JTlRBTkcoUVRSX1IsNDEwMjkpQFdTRl9JTlRBTkcoUVRSLDQxMDI5KSk=&amp;WINDOW=FIRST_POPUP&amp;H","EIGHT=450&amp;WIDTH=450&amp;START_MAXIMIZED=FALSE&amp;VAR:CALENDAR=US&amp;VAR:SYMBOL=INTC&amp;VAR:INDEX=0"}</definedName>
    <definedName name="_509__FDSAUDITLINK__" hidden="1">{"fdsup://directions/FAT Viewer?action=UPDATE&amp;creator=factset&amp;DYN_ARGS=TRUE&amp;DOC_NAME=FAT:FQL_AUDITING_CLIENT_TEMPLATE.FAT&amp;display_string=Audit&amp;VAR:KEY=GBQFEFKZQL&amp;VAR:QUERY=KENTRl9TSExEUlNfRVEoUVRSX1IsNDEwMjkpQFdTRl9TSExEUlNfRVEoUVRSLDQxMDI5KSk=&amp;WINDOW=FIRST","_POPUP&amp;HEIGHT=450&amp;WIDTH=450&amp;START_MAXIMIZED=FALSE&amp;VAR:CALENDAR=US&amp;VAR:SYMBOL=INTC&amp;VAR:INDEX=0"}</definedName>
    <definedName name="_51__FDSAUDITLINK__" hidden="1">{"fdsup://directions/FAT Viewer?action=UPDATE&amp;creator=factset&amp;DYN_ARGS=TRUE&amp;DOC_NAME=FAT:FQL_AUDITING_CLIENT_TEMPLATE.FAT&amp;display_string=Audit&amp;VAR:KEY=YRULSLWLSP&amp;VAR:QUERY=KENTRl9JTlRBTkcoUVRSX1IsMzU5NzYpQFdTRl9JTlRBTkcoUVRSLDM1OTc2KSk=&amp;WINDOW=FIRST_POPUP&amp;H","EIGHT=450&amp;WIDTH=450&amp;START_MAXIMIZED=FALSE&amp;VAR:CALENDAR=US&amp;VAR:SYMBOL=AMD&amp;VAR:INDEX=0"}</definedName>
    <definedName name="_510__FDSAUDITLINK__" hidden="1">{"fdsup://directions/FAT Viewer?action=UPDATE&amp;creator=factset&amp;DYN_ARGS=TRUE&amp;DOC_NAME=FAT:FQL_AUDITING_CLIENT_TEMPLATE.FAT&amp;display_string=Audit&amp;VAR:KEY=YZEJQZMVOJ&amp;VAR:QUERY=KENTRl9DT01fU0hTX09VVF9FUFNfRElMKFFUUl9SLDQwODE2KUBXU0ZfQ09NX1NIU19PVVRfRVBTX0RJTChRV","FIsNDA4MTYpKQ==&amp;WINDOW=FIRST_POPUP&amp;HEIGHT=450&amp;WIDTH=450&amp;START_MAXIMIZED=FALSE&amp;VAR:CALENDAR=US&amp;VAR:SYMBOL=INTC&amp;VAR:INDEX=0"}</definedName>
    <definedName name="_511__FDSAUDITLINK__" hidden="1">{"fdsup://directions/FAT Viewer?action=UPDATE&amp;creator=factset&amp;DYN_ARGS=TRUE&amp;DOC_NAME=FAT:FQL_AUDITING_CLIENT_TEMPLATE.FAT&amp;display_string=Audit&amp;VAR:KEY=QBSZOPQVET&amp;VAR:QUERY=KENTRl9JTlRBTkcoUVRSX1IsNDA4MTYpQFdTRl9JTlRBTkcoUVRSLDQwODE2KSk=&amp;WINDOW=FIRST_POPUP&amp;H","EIGHT=450&amp;WIDTH=450&amp;START_MAXIMIZED=FALSE&amp;VAR:CALENDAR=US&amp;VAR:SYMBOL=INTC&amp;VAR:INDEX=0"}</definedName>
    <definedName name="_512__FDSAUDITLINK__" hidden="1">{"fdsup://directions/FAT Viewer?action=UPDATE&amp;creator=factset&amp;DYN_ARGS=TRUE&amp;DOC_NAME=FAT:FQL_AUDITING_CLIENT_TEMPLATE.FAT&amp;display_string=Audit&amp;VAR:KEY=IXADWDUJMR&amp;VAR:QUERY=KENTRl9TSExEUlNfRVEoUVRSX1IsNDA4MTYpQFdTRl9TSExEUlNfRVEoUVRSLDQwODE2KSk=&amp;WINDOW=FIRST","_POPUP&amp;HEIGHT=450&amp;WIDTH=450&amp;START_MAXIMIZED=FALSE&amp;VAR:CALENDAR=US&amp;VAR:SYMBOL=INTC&amp;VAR:INDEX=0"}</definedName>
    <definedName name="_513__FDSAUDITLINK__" hidden="1">{"fdsup://directions/FAT Viewer?action=UPDATE&amp;creator=factset&amp;DYN_ARGS=TRUE&amp;DOC_NAME=FAT:FQL_AUDITING_CLIENT_TEMPLATE.FAT&amp;display_string=Audit&amp;VAR:KEY=WVIBCVCZYB&amp;VAR:QUERY=KENTRl9DT01fU0hTX09VVF9FUFNfRElMKFFUUl9SLDQwOTk5KUBXU0ZfQ09NX1NIU19PVVRfRVBTX0RJTChRV","FIsNDA5OTkpKQ==&amp;WINDOW=FIRST_POPUP&amp;HEIGHT=450&amp;WIDTH=450&amp;START_MAXIMIZED=FALSE&amp;VAR:CALENDAR=US&amp;VAR:SYMBOL=INTC&amp;VAR:INDEX=0"}</definedName>
    <definedName name="_514__FDSAUDITLINK__" hidden="1">{"fdsup://directions/FAT Viewer?action=UPDATE&amp;creator=factset&amp;DYN_ARGS=TRUE&amp;DOC_NAME=FAT:FQL_AUDITING_CLIENT_TEMPLATE.FAT&amp;display_string=Audit&amp;VAR:KEY=QBQHQRGDSH&amp;VAR:QUERY=KENTRl9JTlRBTkcoUVRSX1IsNDA5OTkpQFdTRl9JTlRBTkcoUVRSLDQwOTk5KSk=&amp;WINDOW=FIRST_POPUP&amp;H","EIGHT=450&amp;WIDTH=450&amp;START_MAXIMIZED=FALSE&amp;VAR:CALENDAR=US&amp;VAR:SYMBOL=INTC&amp;VAR:INDEX=0"}</definedName>
    <definedName name="_515__FDSAUDITLINK__" hidden="1">{"fdsup://directions/FAT Viewer?action=UPDATE&amp;creator=factset&amp;DYN_ARGS=TRUE&amp;DOC_NAME=FAT:FQL_AUDITING_CLIENT_TEMPLATE.FAT&amp;display_string=Audit&amp;VAR:KEY=GBSVMNWTKB&amp;VAR:QUERY=KENTRl9TSExEUlNfRVEoUVRSX1IsNDA5OTkpQFdTRl9TSExEUlNfRVEoUVRSLDQwOTk5KSk=&amp;WINDOW=FIRST","_POPUP&amp;HEIGHT=450&amp;WIDTH=450&amp;START_MAXIMIZED=FALSE&amp;VAR:CALENDAR=US&amp;VAR:SYMBOL=INTC&amp;VAR:INDEX=0"}</definedName>
    <definedName name="_516__FDSAUDITLINK__" hidden="1">{"fdsup://directions/FAT Viewer?action=UPDATE&amp;creator=factset&amp;DYN_ARGS=TRUE&amp;DOC_NAME=FAT:FQL_AUDITING_CLIENT_TEMPLATE.FAT&amp;display_string=Audit&amp;VAR:KEY=MZWLQDCNML&amp;VAR:QUERY=KENTRl9DT01fU0hTX09VVF9FUFNfRElMKFFUUl9SLDQxMDI5KUBXU0ZfQ09NX1NIU19PVVRfRVBTX0RJTChRV","FIsNDEwMjkpKQ==&amp;WINDOW=FIRST_POPUP&amp;HEIGHT=450&amp;WIDTH=450&amp;START_MAXIMIZED=FALSE&amp;VAR:CALENDAR=US&amp;VAR:SYMBOL=INTC&amp;VAR:INDEX=0"}</definedName>
    <definedName name="_517__FDSAUDITLINK__" hidden="1">{"fdsup://directions/FAT Viewer?action=UPDATE&amp;creator=factset&amp;DYN_ARGS=TRUE&amp;DOC_NAME=FAT:FQL_AUDITING_CLIENT_TEMPLATE.FAT&amp;display_string=Audit&amp;VAR:KEY=IJKJSNUDKZ&amp;VAR:QUERY=KENTRl9JTlRBTkcoUVRSX1IsNDEwMjkpQFdTRl9JTlRBTkcoUVRSLDQxMDI5KSk=&amp;WINDOW=FIRST_POPUP&amp;H","EIGHT=450&amp;WIDTH=450&amp;START_MAXIMIZED=FALSE&amp;VAR:CALENDAR=US&amp;VAR:SYMBOL=INTC&amp;VAR:INDEX=0"}</definedName>
    <definedName name="_518__FDSAUDITLINK__" hidden="1">{"fdsup://directions/FAT Viewer?action=UPDATE&amp;creator=factset&amp;DYN_ARGS=TRUE&amp;DOC_NAME=FAT:FQL_AUDITING_CLIENT_TEMPLATE.FAT&amp;display_string=Audit&amp;VAR:KEY=GBQFEFKZQL&amp;VAR:QUERY=KENTRl9TSExEUlNfRVEoUVRSX1IsNDEwMjkpQFdTRl9TSExEUlNfRVEoUVRSLDQxMDI5KSk=&amp;WINDOW=FIRST","_POPUP&amp;HEIGHT=450&amp;WIDTH=450&amp;START_MAXIMIZED=FALSE&amp;VAR:CALENDAR=US&amp;VAR:SYMBOL=INTC&amp;VAR:INDEX=0"}</definedName>
    <definedName name="_52__FDSAUDITLINK__" hidden="1">{"fdsup://directions/FAT Viewer?action=UPDATE&amp;creator=factset&amp;DYN_ARGS=TRUE&amp;DOC_NAME=FAT:FQL_AUDITING_CLIENT_TEMPLATE.FAT&amp;display_string=Audit&amp;VAR:KEY=EBEVWZUTSV&amp;VAR:QUERY=KENTRl9DT01fU0hTX09VVF9FUFNfRElMKFFUUl9SLDM1OTQ0KUBXU0ZfQ09NX1NIU19PVVRfRVBTX0RJTChRV","FIsMzU5NDQpKQ==&amp;WINDOW=FIRST_POPUP&amp;HEIGHT=450&amp;WIDTH=450&amp;START_MAXIMIZED=FALSE&amp;VAR:CALENDAR=US&amp;VAR:SYMBOL=AMD&amp;VAR:INDEX=0"}</definedName>
    <definedName name="_522__FDSAUDITLINK__" hidden="1">{"fdsup://directions/FAT Viewer?action=UPDATE&amp;creator=factset&amp;DYN_ARGS=TRUE&amp;DOC_NAME=FAT:FQL_AUDITING_CLIENT_TEMPLATE.FAT&amp;display_string=Audit&amp;VAR:KEY=AZYZAZOHSN&amp;VAR:QUERY=KENTRl9TSExEUlNfRVEoUVRSX1IsNDEwOTApQFdTRl9TSExEUlNfRVEoUVRSLDQxMDkwKSk=&amp;WINDOW=FIRST","_POPUP&amp;HEIGHT=450&amp;WIDTH=450&amp;START_MAXIMIZED=FALSE&amp;VAR:CALENDAR=US&amp;VAR:SYMBOL=INTC&amp;VAR:INDEX=0"}</definedName>
    <definedName name="_523__FDSAUDITLINK__" hidden="1">{"fdsup://directions/FAT Viewer?action=UPDATE&amp;creator=factset&amp;DYN_ARGS=TRUE&amp;DOC_NAME=FAT:FQL_AUDITING_CLIENT_TEMPLATE.FAT&amp;display_string=Audit&amp;VAR:KEY=KDCPCRGJOX&amp;VAR:QUERY=KENTRl9JTlRBTkcoUVRSX1IsNDEwOTApQFdTRl9JTlRBTkcoUVRSLDQxMDkwKSk=&amp;WINDOW=FIRST_POPUP&amp;H","EIGHT=450&amp;WIDTH=450&amp;START_MAXIMIZED=FALSE&amp;VAR:CALENDAR=US&amp;VAR:SYMBOL=INTC&amp;VAR:INDEX=0"}</definedName>
    <definedName name="_524__FDSAUDITLINK__" hidden="1">{"fdsup://directions/FAT Viewer?action=UPDATE&amp;creator=factset&amp;DYN_ARGS=TRUE&amp;DOC_NAME=FAT:FQL_AUDITING_CLIENT_TEMPLATE.FAT&amp;display_string=Audit&amp;VAR:KEY=WNEPKPEBAB&amp;VAR:QUERY=KENTRl9DT01fU0hTX09VVF9FUFNfRElMKFFUUl9SLDQxMDkwKUBXU0ZfQ09NX1NIU19PVVRfRVBTX0RJTChRV","FIsNDEwOTApKQ==&amp;WINDOW=FIRST_POPUP&amp;HEIGHT=450&amp;WIDTH=450&amp;START_MAXIMIZED=FALSE&amp;VAR:CALENDAR=US&amp;VAR:SYMBOL=INTC&amp;VAR:INDEX=0"}</definedName>
    <definedName name="_53__FDSAUDITLINK__" hidden="1">{"fdsup://directions/FAT Viewer?action=UPDATE&amp;creator=factset&amp;DYN_ARGS=TRUE&amp;DOC_NAME=FAT:FQL_AUDITING_CLIENT_TEMPLATE.FAT&amp;display_string=Audit&amp;VAR:KEY=ADUJIFGTCH&amp;VAR:QUERY=KENTRl9JTlRBTkcoUVRSX1IsMzU5NDQpQFdTRl9JTlRBTkcoUVRSLDM1OTQ0KSk=&amp;WINDOW=FIRST_POPUP&amp;H","EIGHT=450&amp;WIDTH=450&amp;START_MAXIMIZED=FALSE&amp;VAR:CALENDAR=US&amp;VAR:SYMBOL=AMD&amp;VAR:INDEX=0"}</definedName>
    <definedName name="_54__FDSAUDITLINK__" hidden="1">{"fdsup://directions/FAT Viewer?action=UPDATE&amp;creator=factset&amp;DYN_ARGS=TRUE&amp;DOC_NAME=FAT:FQL_AUDITING_CLIENT_TEMPLATE.FAT&amp;display_string=Audit&amp;VAR:KEY=CPQLWXQJWZ&amp;VAR:QUERY=KENTRl9DT01fU0hTX09VVF9FUFNfRElMKFFUUl9SLDM1OTE1KUBXU0ZfQ09NX1NIU19PVVRfRVBTX0RJTChRV","FIsMzU5MTUpKQ==&amp;WINDOW=FIRST_POPUP&amp;HEIGHT=450&amp;WIDTH=450&amp;START_MAXIMIZED=FALSE&amp;VAR:CALENDAR=US&amp;VAR:SYMBOL=AMD&amp;VAR:INDEX=0"}</definedName>
    <definedName name="_55__FDSAUDITLINK__" hidden="1">{"fdsup://directions/FAT Viewer?action=UPDATE&amp;creator=factset&amp;DYN_ARGS=TRUE&amp;DOC_NAME=FAT:FQL_AUDITING_CLIENT_TEMPLATE.FAT&amp;display_string=Audit&amp;VAR:KEY=SJMFWTEDQT&amp;VAR:QUERY=KENTRl9JTlRBTkcoUVRSX1IsMzU5MTUpQFdTRl9JTlRBTkcoUVRSLDM1OTE1KSk=&amp;WINDOW=FIRST_POPUP&amp;H","EIGHT=450&amp;WIDTH=450&amp;START_MAXIMIZED=FALSE&amp;VAR:CALENDAR=US&amp;VAR:SYMBOL=AMD&amp;VAR:INDEX=0"}</definedName>
    <definedName name="_56__FDSAUDITLINK__" hidden="1">{"fdsup://directions/FAT Viewer?action=UPDATE&amp;creator=factset&amp;DYN_ARGS=TRUE&amp;DOC_NAME=FAT:FQL_AUDITING_CLIENT_TEMPLATE.FAT&amp;display_string=Audit&amp;VAR:KEY=UTCXKBMJSL&amp;VAR:QUERY=KENTRl9DT01fU0hTX09VVF9FUFNfRElMKFFUUl9SLDM1ODg1KUBXU0ZfQ09NX1NIU19PVVRfRVBTX0RJTChRV","FIsMzU4ODUpKQ==&amp;WINDOW=FIRST_POPUP&amp;HEIGHT=450&amp;WIDTH=450&amp;START_MAXIMIZED=FALSE&amp;VAR:CALENDAR=US&amp;VAR:SYMBOL=AMD&amp;VAR:INDEX=0"}</definedName>
    <definedName name="_57__FDSAUDITLINK__" hidden="1">{"fdsup://directions/FAT Viewer?action=UPDATE&amp;creator=factset&amp;DYN_ARGS=TRUE&amp;DOC_NAME=FAT:FQL_AUDITING_CLIENT_TEMPLATE.FAT&amp;display_string=Audit&amp;VAR:KEY=YHAFMROTUR&amp;VAR:QUERY=KENTRl9JTlRBTkcoUVRSX1IsMzU4ODUpQFdTRl9JTlRBTkcoUVRSLDM1ODg1KSk=&amp;WINDOW=FIRST_POPUP&amp;H","EIGHT=450&amp;WIDTH=450&amp;START_MAXIMIZED=FALSE&amp;VAR:CALENDAR=US&amp;VAR:SYMBOL=AMD&amp;VAR:INDEX=0"}</definedName>
    <definedName name="_58__FDSAUDITLINK__" hidden="1">{"fdsup://directions/FAT Viewer?action=UPDATE&amp;creator=factset&amp;DYN_ARGS=TRUE&amp;DOC_NAME=FAT:FQL_AUDITING_CLIENT_TEMPLATE.FAT&amp;display_string=Audit&amp;VAR:KEY=WRKHKBULMF&amp;VAR:QUERY=KENTRl9DT01fU0hTX09VVF9FUFNfRElMKFFUUl9SLDM1ODUzKUBXU0ZfQ09NX1NIU19PVVRfRVBTX0RJTChRV","FIsMzU4NTMpKQ==&amp;WINDOW=FIRST_POPUP&amp;HEIGHT=450&amp;WIDTH=450&amp;START_MAXIMIZED=FALSE&amp;VAR:CALENDAR=US&amp;VAR:SYMBOL=AMD&amp;VAR:INDEX=0"}</definedName>
    <definedName name="_59__FDSAUDITLINK__" hidden="1">{"fdsup://directions/FAT Viewer?action=UPDATE&amp;creator=factset&amp;DYN_ARGS=TRUE&amp;DOC_NAME=FAT:FQL_AUDITING_CLIENT_TEMPLATE.FAT&amp;display_string=Audit&amp;VAR:KEY=YPSXIVMLQF&amp;VAR:QUERY=KENTRl9JTlRBTkcoUVRSX1IsMzU4NTMpQFdTRl9JTlRBTkcoUVRSLDM1ODUzKSk=&amp;WINDOW=FIRST_POPUP&amp;H","EIGHT=450&amp;WIDTH=450&amp;START_MAXIMIZED=FALSE&amp;VAR:CALENDAR=US&amp;VAR:SYMBOL=AMD&amp;VAR:INDEX=0"}</definedName>
    <definedName name="_6__123Graph_CCHART_1" hidden="1">#REF!</definedName>
    <definedName name="_6__FDSAUDITLINK__" hidden="1">{"fdsup://directions/FAT Viewer?action=UPDATE&amp;creator=factset&amp;DYN_ARGS=TRUE&amp;DOC_NAME=FAT:FQL_AUDITING_CLIENT_TEMPLATE.FAT&amp;display_string=Audit&amp;VAR:KEY=ETKFAHIZCJ&amp;VAR:QUERY=KENTRl9JTlRBTkcoUVRSX1IsMzcxNjIpQFdTRl9JTlRBTkcoUVRSLDM3MTYyKSk=&amp;WINDOW=FIRST_POPUP&amp;H","EIGHT=450&amp;WIDTH=450&amp;START_MAXIMIZED=FALSE&amp;VAR:CALENDAR=US&amp;VAR:SYMBOL=AMD&amp;VAR:INDEX=0"}</definedName>
    <definedName name="_60__FDSAUDITLINK__" hidden="1">{"fdsup://directions/FAT Viewer?action=UPDATE&amp;creator=factset&amp;DYN_ARGS=TRUE&amp;DOC_NAME=FAT:FQL_AUDITING_CLIENT_TEMPLATE.FAT&amp;display_string=Audit&amp;VAR:KEY=IJGHIFGLAL&amp;VAR:QUERY=KENTRl9DT01fU0hTX09VVF9FUFNfRElMKFFUUl9SLDM1ODI1KUBXU0ZfQ09NX1NIU19PVVRfRVBTX0RJTChRV","FIsMzU4MjUpKQ==&amp;WINDOW=FIRST_POPUP&amp;HEIGHT=450&amp;WIDTH=450&amp;START_MAXIMIZED=FALSE&amp;VAR:CALENDAR=US&amp;VAR:SYMBOL=AMD&amp;VAR:INDEX=0"}</definedName>
    <definedName name="_61__FDSAUDITLINK__" hidden="1">{"fdsup://directions/FAT Viewer?action=UPDATE&amp;creator=factset&amp;DYN_ARGS=TRUE&amp;DOC_NAME=FAT:FQL_AUDITING_CLIENT_TEMPLATE.FAT&amp;display_string=Audit&amp;VAR:KEY=WJALMDCVGZ&amp;VAR:QUERY=KENTRl9JTlRBTkcoUVRSX1IsMzU4MjUpQFdTRl9JTlRBTkcoUVRSLDM1ODI1KSk=&amp;WINDOW=FIRST_POPUP&amp;H","EIGHT=450&amp;WIDTH=450&amp;START_MAXIMIZED=FALSE&amp;VAR:CALENDAR=US&amp;VAR:SYMBOL=AMD&amp;VAR:INDEX=0"}</definedName>
    <definedName name="_62__FDSAUDITLINK__" hidden="1">{"fdsup://directions/FAT Viewer?action=UPDATE&amp;creator=factset&amp;DYN_ARGS=TRUE&amp;DOC_NAME=FAT:FQL_AUDITING_CLIENT_TEMPLATE.FAT&amp;display_string=Audit&amp;VAR:KEY=UXWPCHWDOV&amp;VAR:QUERY=KENTRl9DT01fU0hTX09VVF9FUFNfRElMKFFUUl9SLDM1Nzk1KUBXU0ZfQ09NX1NIU19PVVRfRVBTX0RJTChRV","FIsMzU3OTUpKQ==&amp;WINDOW=FIRST_POPUP&amp;HEIGHT=450&amp;WIDTH=450&amp;START_MAXIMIZED=FALSE&amp;VAR:CALENDAR=US&amp;VAR:SYMBOL=AMD&amp;VAR:INDEX=0"}</definedName>
    <definedName name="_63__FDSAUDITLINK__" hidden="1">{"fdsup://directions/FAT Viewer?action=UPDATE&amp;creator=factset&amp;DYN_ARGS=TRUE&amp;DOC_NAME=FAT:FQL_AUDITING_CLIENT_TEMPLATE.FAT&amp;display_string=Audit&amp;VAR:KEY=UTYTONUTUT&amp;VAR:QUERY=KENTRl9JTlRBTkcoUVRSX1IsMzU3OTUpQFdTRl9JTlRBTkcoUVRSLDM1Nzk1KSk=&amp;WINDOW=FIRST_POPUP&amp;H","EIGHT=450&amp;WIDTH=450&amp;START_MAXIMIZED=FALSE&amp;VAR:CALENDAR=US&amp;VAR:SYMBOL=AMD&amp;VAR:INDEX=0"}</definedName>
    <definedName name="_64__FDSAUDITLINK__" hidden="1">{"fdsup://directions/FAT Viewer?action=UPDATE&amp;creator=factset&amp;DYN_ARGS=TRUE&amp;DOC_NAME=FAT:FQL_AUDITING_CLIENT_TEMPLATE.FAT&amp;display_string=Audit&amp;VAR:KEY=ELAPKZILEN&amp;VAR:QUERY=KENTRl9DT01fU0hTX09VVF9FUFNfRElMKFFUUl9SLDM1NzYyKUBXU0ZfQ09NX1NIU19PVVRfRVBTX0RJTChRV","FIsMzU3NjIpKQ==&amp;WINDOW=FIRST_POPUP&amp;HEIGHT=450&amp;WIDTH=450&amp;START_MAXIMIZED=FALSE&amp;VAR:CALENDAR=US&amp;VAR:SYMBOL=AMD&amp;VAR:INDEX=0"}</definedName>
    <definedName name="_65__FDSAUDITLINK__" hidden="1">{"fdsup://directions/FAT Viewer?action=UPDATE&amp;creator=factset&amp;DYN_ARGS=TRUE&amp;DOC_NAME=FAT:FQL_AUDITING_CLIENT_TEMPLATE.FAT&amp;display_string=Audit&amp;VAR:KEY=MFCDCRELIN&amp;VAR:QUERY=KENTRl9JTlRBTkcoUVRSX1IsMzU3NjIpQFdTRl9JTlRBTkcoUVRSLDM1NzYyKSk=&amp;WINDOW=FIRST_POPUP&amp;H","EIGHT=450&amp;WIDTH=450&amp;START_MAXIMIZED=FALSE&amp;VAR:CALENDAR=US&amp;VAR:SYMBOL=AMD&amp;VAR:INDEX=0"}</definedName>
    <definedName name="_66__FDSAUDITLINK__" hidden="1">{"fdsup://directions/FAT Viewer?action=UPDATE&amp;creator=factset&amp;DYN_ARGS=TRUE&amp;DOC_NAME=FAT:FQL_AUDITING_CLIENT_TEMPLATE.FAT&amp;display_string=Audit&amp;VAR:KEY=UVQPSPEXKP&amp;VAR:QUERY=KENTRl9DT01fU0hTX09VVF9FUFNfRElMKFFUUl9SLDM1NzM0KUBXU0ZfQ09NX1NIU19PVVRfRVBTX0RJTChRV","FIsMzU3MzQpKQ==&amp;WINDOW=FIRST_POPUP&amp;HEIGHT=450&amp;WIDTH=450&amp;START_MAXIMIZED=FALSE&amp;VAR:CALENDAR=US&amp;VAR:SYMBOL=AMD&amp;VAR:INDEX=0"}</definedName>
    <definedName name="_67__FDSAUDITLINK__" hidden="1">{"fdsup://directions/FAT Viewer?action=UPDATE&amp;creator=factset&amp;DYN_ARGS=TRUE&amp;DOC_NAME=FAT:FQL_AUDITING_CLIENT_TEMPLATE.FAT&amp;display_string=Audit&amp;VAR:KEY=MZMFUVILAH&amp;VAR:QUERY=KENTRl9JTlRBTkcoUVRSX1IsMzU3MzQpQFdTRl9JTlRBTkcoUVRSLDM1NzM0KSk=&amp;WINDOW=FIRST_POPUP&amp;H","EIGHT=450&amp;WIDTH=450&amp;START_MAXIMIZED=FALSE&amp;VAR:CALENDAR=US&amp;VAR:SYMBOL=AMD&amp;VAR:INDEX=0"}</definedName>
    <definedName name="_68__FDSAUDITLINK__" hidden="1">{"fdsup://directions/FAT Viewer?action=UPDATE&amp;creator=factset&amp;DYN_ARGS=TRUE&amp;DOC_NAME=FAT:FQL_AUDITING_CLIENT_TEMPLATE.FAT&amp;display_string=Audit&amp;VAR:KEY=WXWFMPKBQH&amp;VAR:QUERY=KENTRl9DT01fU0hTX09VVF9FUFNfRElMKFFUUl9SLDM1NzAzKUBXU0ZfQ09NX1NIU19PVVRfRVBTX0RJTChRV","FIsMzU3MDMpKQ==&amp;WINDOW=FIRST_POPUP&amp;HEIGHT=450&amp;WIDTH=450&amp;START_MAXIMIZED=FALSE&amp;VAR:CALENDAR=US&amp;VAR:SYMBOL=AMD&amp;VAR:INDEX=0"}</definedName>
    <definedName name="_69__FDSAUDITLINK__" hidden="1">{"fdsup://directions/FAT Viewer?action=UPDATE&amp;creator=factset&amp;DYN_ARGS=TRUE&amp;DOC_NAME=FAT:FQL_AUDITING_CLIENT_TEMPLATE.FAT&amp;display_string=Audit&amp;VAR:KEY=WHORIJCLQR&amp;VAR:QUERY=KENTRl9JTlRBTkcoUVRSX1IsMzU3MDMpQFdTRl9JTlRBTkcoUVRSLDM1NzAzKSk=&amp;WINDOW=FIRST_POPUP&amp;H","EIGHT=450&amp;WIDTH=450&amp;START_MAXIMIZED=FALSE&amp;VAR:CALENDAR=US&amp;VAR:SYMBOL=AMD&amp;VAR:INDEX=0"}</definedName>
    <definedName name="_7__FDSAUDITLINK__" hidden="1">{"fdsup://directions/FAT Viewer?action=UPDATE&amp;creator=factset&amp;DYN_ARGS=TRUE&amp;DOC_NAME=FAT:FQL_AUDITING_CLIENT_TEMPLATE.FAT&amp;display_string=Audit&amp;VAR:KEY=EZYLEXSBON&amp;VAR:QUERY=KENTRl9JTlRBTkcoUVRSX1IsMzcxMzQpQFdTRl9JTlRBTkcoUVRSLDM3MTM0KSk=&amp;WINDOW=FIRST_POPUP&amp;H","EIGHT=450&amp;WIDTH=450&amp;START_MAXIMIZED=FALSE&amp;VAR:CALENDAR=US&amp;VAR:SYMBOL=AMD&amp;VAR:INDEX=0"}</definedName>
    <definedName name="_70__FDSAUDITLINK__" hidden="1">{"fdsup://directions/FAT Viewer?action=UPDATE&amp;creator=factset&amp;DYN_ARGS=TRUE&amp;DOC_NAME=FAT:FQL_AUDITING_CLIENT_TEMPLATE.FAT&amp;display_string=Audit&amp;VAR:KEY=MFOJMXQBSH&amp;VAR:QUERY=KENTRl9DT01fU0hTX09VVF9FUFNfRElMKFFUUl9SLDM1NjcxKUBXU0ZfQ09NX1NIU19PVVRfRVBTX0RJTChRV","FIsMzU2NzEpKQ==&amp;WINDOW=FIRST_POPUP&amp;HEIGHT=450&amp;WIDTH=450&amp;START_MAXIMIZED=FALSE&amp;VAR:CALENDAR=US&amp;VAR:SYMBOL=AMD&amp;VAR:INDEX=0"}</definedName>
    <definedName name="_71__FDSAUDITLINK__" hidden="1">{"fdsup://directions/FAT Viewer?action=UPDATE&amp;creator=factset&amp;DYN_ARGS=TRUE&amp;DOC_NAME=FAT:FQL_AUDITING_CLIENT_TEMPLATE.FAT&amp;display_string=Audit&amp;VAR:KEY=UZKNORULAP&amp;VAR:QUERY=KENTRl9JTlRBTkcoUVRSX1IsMzU2NzEpQFdTRl9JTlRBTkcoUVRSLDM1NjcxKSk=&amp;WINDOW=FIRST_POPUP&amp;H","EIGHT=450&amp;WIDTH=450&amp;START_MAXIMIZED=FALSE&amp;VAR:CALENDAR=US&amp;VAR:SYMBOL=AMD&amp;VAR:INDEX=0"}</definedName>
    <definedName name="_72__FDSAUDITLINK__" hidden="1">{"fdsup://directions/FAT Viewer?action=UPDATE&amp;creator=factset&amp;DYN_ARGS=TRUE&amp;DOC_NAME=FAT:FQL_AUDITING_CLIENT_TEMPLATE.FAT&amp;display_string=Audit&amp;VAR:KEY=GRSJMBEBKN&amp;VAR:QUERY=KENTRl9DT01fU0hTX09VVF9FUFNfRElMKFFUUl9SLDM1NjQyKUBXU0ZfQ09NX1NIU19PVVRfRVBTX0RJTChRV","FIsMzU2NDIpKQ==&amp;WINDOW=FIRST_POPUP&amp;HEIGHT=450&amp;WIDTH=450&amp;START_MAXIMIZED=FALSE&amp;VAR:CALENDAR=US&amp;VAR:SYMBOL=AMD&amp;VAR:INDEX=0"}</definedName>
    <definedName name="_73__FDSAUDITLINK__" hidden="1">{"fdsup://directions/FAT Viewer?action=UPDATE&amp;creator=factset&amp;DYN_ARGS=TRUE&amp;DOC_NAME=FAT:FQL_AUDITING_CLIENT_TEMPLATE.FAT&amp;display_string=Audit&amp;VAR:KEY=QZOFENSXWF&amp;VAR:QUERY=KENTRl9JTlRBTkcoUVRSX1IsMzU2NDIpQFdTRl9JTlRBTkcoUVRSLDM1NjQyKSk=&amp;WINDOW=FIRST_POPUP&amp;H","EIGHT=450&amp;WIDTH=450&amp;START_MAXIMIZED=FALSE&amp;VAR:CALENDAR=US&amp;VAR:SYMBOL=AMD&amp;VAR:INDEX=0"}</definedName>
    <definedName name="_74__FDSAUDITLINK__" hidden="1">{"fdsup://directions/FAT Viewer?action=UPDATE&amp;creator=factset&amp;DYN_ARGS=TRUE&amp;DOC_NAME=FAT:FQL_AUDITING_CLIENT_TEMPLATE.FAT&amp;display_string=Audit&amp;VAR:KEY=EVIPSVMXYV&amp;VAR:QUERY=KENTRl9DT01fU0hTX09VVF9FUFNfRElMKFFUUl9SLDM1NjExKUBXU0ZfQ09NX1NIU19PVVRfRVBTX0RJTChRV","FIsMzU2MTEpKQ==&amp;WINDOW=FIRST_POPUP&amp;HEIGHT=450&amp;WIDTH=450&amp;START_MAXIMIZED=FALSE&amp;VAR:CALENDAR=US&amp;VAR:SYMBOL=AMD&amp;VAR:INDEX=0"}</definedName>
    <definedName name="_75__FDSAUDITLINK__" hidden="1">{"fdsup://directions/FAT Viewer?action=UPDATE&amp;creator=factset&amp;DYN_ARGS=TRUE&amp;DOC_NAME=FAT:FQL_AUDITING_CLIENT_TEMPLATE.FAT&amp;display_string=Audit&amp;VAR:KEY=WPMHKVAZOP&amp;VAR:QUERY=KENTRl9JTlRBTkcoUVRSX1IsMzU2MTEpQFdTRl9JTlRBTkcoUVRSLDM1NjExKSk=&amp;WINDOW=FIRST_POPUP&amp;H","EIGHT=450&amp;WIDTH=450&amp;START_MAXIMIZED=FALSE&amp;VAR:CALENDAR=US&amp;VAR:SYMBOL=AMD&amp;VAR:INDEX=0"}</definedName>
    <definedName name="_76__FDSAUDITLINK__" hidden="1">{"fdsup://directions/FAT Viewer?action=UPDATE&amp;creator=factset&amp;DYN_ARGS=TRUE&amp;DOC_NAME=FAT:FQL_AUDITING_CLIENT_TEMPLATE.FAT&amp;display_string=Audit&amp;VAR:KEY=SHKVGPWDET&amp;VAR:QUERY=KENTRl9DT01fU0hTX09VVF9FUFNfRElMKFFUUl9SLDM1NTgwKUBXU0ZfQ09NX1NIU19PVVRfRVBTX0RJTChRV","FIsMzU1ODApKQ==&amp;WINDOW=FIRST_POPUP&amp;HEIGHT=450&amp;WIDTH=450&amp;START_MAXIMIZED=FALSE&amp;VAR:CALENDAR=US&amp;VAR:SYMBOL=AMD&amp;VAR:INDEX=0"}</definedName>
    <definedName name="_77__FDSAUDITLINK__" hidden="1">{"fdsup://directions/FAT Viewer?action=UPDATE&amp;creator=factset&amp;DYN_ARGS=TRUE&amp;DOC_NAME=FAT:FQL_AUDITING_CLIENT_TEMPLATE.FAT&amp;display_string=Audit&amp;VAR:KEY=SRCDYLMVGF&amp;VAR:QUERY=KENTRl9JTlRBTkcoUVRSX1IsMzU1ODApQFdTRl9JTlRBTkcoUVRSLDM1NTgwKSk=&amp;WINDOW=FIRST_POPUP&amp;H","EIGHT=450&amp;WIDTH=450&amp;START_MAXIMIZED=FALSE&amp;VAR:CALENDAR=US&amp;VAR:SYMBOL=AMD&amp;VAR:INDEX=0"}</definedName>
    <definedName name="_78__FDSAUDITLINK__" hidden="1">{"fdsup://directions/FAT Viewer?action=UPDATE&amp;creator=factset&amp;DYN_ARGS=TRUE&amp;DOC_NAME=FAT:FQL_AUDITING_CLIENT_TEMPLATE.FAT&amp;display_string=Audit&amp;VAR:KEY=YXUXYFSFKL&amp;VAR:QUERY=KENTRl9DT01fU0hTX09VVF9FUFNfRElMKFFUUl9SLDM1NTUwKUBXU0ZfQ09NX1NIU19PVVRfRVBTX0RJTChRV","FIsMzU1NTApKQ==&amp;WINDOW=FIRST_POPUP&amp;HEIGHT=450&amp;WIDTH=450&amp;START_MAXIMIZED=FALSE&amp;VAR:CALENDAR=US&amp;VAR:SYMBOL=AMD&amp;VAR:INDEX=0"}</definedName>
    <definedName name="_79__FDSAUDITLINK__" hidden="1">{"fdsup://directions/FAT Viewer?action=UPDATE&amp;creator=factset&amp;DYN_ARGS=TRUE&amp;DOC_NAME=FAT:FQL_AUDITING_CLIENT_TEMPLATE.FAT&amp;display_string=Audit&amp;VAR:KEY=IHCZEJALUT&amp;VAR:QUERY=KENTRl9JTlRBTkcoUVRSX1IsMzU1NTApQFdTRl9JTlRBTkcoUVRSLDM1NTUwKSk=&amp;WINDOW=FIRST_POPUP&amp;H","EIGHT=450&amp;WIDTH=450&amp;START_MAXIMIZED=FALSE&amp;VAR:CALENDAR=US&amp;VAR:SYMBOL=AMD&amp;VAR:INDEX=0"}</definedName>
    <definedName name="_8__FDSAUDITLINK__" hidden="1">{"fdsup://directions/FAT Viewer?action=UPDATE&amp;creator=factset&amp;DYN_ARGS=TRUE&amp;DOC_NAME=FAT:FQL_AUDITING_CLIENT_TEMPLATE.FAT&amp;display_string=Audit&amp;VAR:KEY=YBCFILUNWN&amp;VAR:QUERY=KENTRl9JTlRBTkcoUVRSX1IsMzcxMDMpQFdTRl9JTlRBTkcoUVRSLDM3MTAzKSk=&amp;WINDOW=FIRST_POPUP&amp;H","EIGHT=450&amp;WIDTH=450&amp;START_MAXIMIZED=FALSE&amp;VAR:CALENDAR=US&amp;VAR:SYMBOL=AMD&amp;VAR:INDEX=0"}</definedName>
    <definedName name="_80__FDSAUDITLINK__" hidden="1">{"fdsup://directions/FAT Viewer?action=UPDATE&amp;creator=factset&amp;DYN_ARGS=TRUE&amp;DOC_NAME=FAT:FQL_AUDITING_CLIENT_TEMPLATE.FAT&amp;display_string=Audit&amp;VAR:KEY=IHKPSJOXQD&amp;VAR:QUERY=KENTRl9DT01fU0hTX09VVF9FUFNfRElMKFFUUl9SLDM1NTIwKUBXU0ZfQ09NX1NIU19PVVRfRVBTX0RJTChRV","FIsMzU1MjApKQ==&amp;WINDOW=FIRST_POPUP&amp;HEIGHT=450&amp;WIDTH=450&amp;START_MAXIMIZED=FALSE&amp;VAR:CALENDAR=US&amp;VAR:SYMBOL=AMD&amp;VAR:INDEX=0"}</definedName>
    <definedName name="_81__FDSAUDITLINK__" hidden="1">{"fdsup://directions/FAT Viewer?action=UPDATE&amp;creator=factset&amp;DYN_ARGS=TRUE&amp;DOC_NAME=FAT:FQL_AUDITING_CLIENT_TEMPLATE.FAT&amp;display_string=Audit&amp;VAR:KEY=MDORUPWHUH&amp;VAR:QUERY=KENTRl9JTlRBTkcoUVRSX1IsMzU1MjApQFdTRl9JTlRBTkcoUVRSLDM1NTIwKSk=&amp;WINDOW=FIRST_POPUP&amp;H","EIGHT=450&amp;WIDTH=450&amp;START_MAXIMIZED=FALSE&amp;VAR:CALENDAR=US&amp;VAR:SYMBOL=AMD&amp;VAR:INDEX=0"}</definedName>
    <definedName name="_82__FDSAUDITLINK__" hidden="1">{"fdsup://directions/FAT Viewer?action=UPDATE&amp;creator=factset&amp;DYN_ARGS=TRUE&amp;DOC_NAME=FAT:FQL_AUDITING_CLIENT_TEMPLATE.FAT&amp;display_string=Audit&amp;VAR:KEY=ULODCBGXQH&amp;VAR:QUERY=KENTRl9DT01fU0hTX09VVF9FUFNfRElMKFFUUl9SLDM1NDg5KUBXU0ZfQ09NX1NIU19PVVRfRVBTX0RJTChRV","FIsMzU0ODkpKQ==&amp;WINDOW=FIRST_POPUP&amp;HEIGHT=450&amp;WIDTH=450&amp;START_MAXIMIZED=FALSE&amp;VAR:CALENDAR=US&amp;VAR:SYMBOL=AMD&amp;VAR:INDEX=0"}</definedName>
    <definedName name="_83__FDSAUDITLINK__" hidden="1">{"fdsup://directions/FAT Viewer?action=UPDATE&amp;creator=factset&amp;DYN_ARGS=TRUE&amp;DOC_NAME=FAT:FQL_AUDITING_CLIENT_TEMPLATE.FAT&amp;display_string=Audit&amp;VAR:KEY=WDUVIBAHQF&amp;VAR:QUERY=KENTRl9JTlRBTkcoUVRSX1IsMzU0ODkpQFdTRl9JTlRBTkcoUVRSLDM1NDg5KSk=&amp;WINDOW=FIRST_POPUP&amp;H","EIGHT=450&amp;WIDTH=450&amp;START_MAXIMIZED=FALSE&amp;VAR:CALENDAR=US&amp;VAR:SYMBOL=AMD&amp;VAR:INDEX=0"}</definedName>
    <definedName name="_84__FDSAUDITLINK__" hidden="1">{"fdsup://directions/FAT Viewer?action=UPDATE&amp;creator=factset&amp;DYN_ARGS=TRUE&amp;DOC_NAME=FAT:FQL_AUDITING_CLIENT_TEMPLATE.FAT&amp;display_string=Audit&amp;VAR:KEY=CJYHSVKLIH&amp;VAR:QUERY=KENTRl9DT01fU0hTX09VVF9FUFNfRElMKFFUUl9SLDM1NDYxKUBXU0ZfQ09NX1NIU19PVVRfRVBTX0RJTChRV","FIsMzU0NjEpKQ==&amp;WINDOW=FIRST_POPUP&amp;HEIGHT=450&amp;WIDTH=450&amp;START_MAXIMIZED=FALSE&amp;VAR:CALENDAR=US&amp;VAR:SYMBOL=AMD&amp;VAR:INDEX=0"}</definedName>
    <definedName name="_85__FDSAUDITLINK__" hidden="1">{"fdsup://directions/FAT Viewer?action=UPDATE&amp;creator=factset&amp;DYN_ARGS=TRUE&amp;DOC_NAME=FAT:FQL_AUDITING_CLIENT_TEMPLATE.FAT&amp;display_string=Audit&amp;VAR:KEY=IDQFUTKTQB&amp;VAR:QUERY=KENTRl9JTlRBTkcoUVRSX1IsMzU0NjEpQFdTRl9JTlRBTkcoUVRSLDM1NDYxKSk=&amp;WINDOW=FIRST_POPUP&amp;H","EIGHT=450&amp;WIDTH=450&amp;START_MAXIMIZED=FALSE&amp;VAR:CALENDAR=US&amp;VAR:SYMBOL=AMD&amp;VAR:INDEX=0"}</definedName>
    <definedName name="_86__FDSAUDITLINK__" hidden="1">{"fdsup://directions/FAT Viewer?action=UPDATE&amp;creator=factset&amp;DYN_ARGS=TRUE&amp;DOC_NAME=FAT:FQL_AUDITING_CLIENT_TEMPLATE.FAT&amp;display_string=Audit&amp;VAR:KEY=WRCLSVCXCX&amp;VAR:QUERY=KENTRl9DT01fU0hTX09VVF9FUFNfRElMKFFUUl9SLDM1NDMwKUBXU0ZfQ09NX1NIU19PVVRfRVBTX0RJTChRV","FIsMzU0MzApKQ==&amp;WINDOW=FIRST_POPUP&amp;HEIGHT=450&amp;WIDTH=450&amp;START_MAXIMIZED=FALSE&amp;VAR:CALENDAR=US&amp;VAR:SYMBOL=AMD&amp;VAR:INDEX=0"}</definedName>
    <definedName name="_87__FDSAUDITLINK__" hidden="1">{"fdsup://directions/FAT Viewer?action=UPDATE&amp;creator=factset&amp;DYN_ARGS=TRUE&amp;DOC_NAME=FAT:FQL_AUDITING_CLIENT_TEMPLATE.FAT&amp;display_string=Audit&amp;VAR:KEY=OHYPEZAZUT&amp;VAR:QUERY=KENTRl9JTlRBTkcoUVRSX1IsMzU0MzApQFdTRl9JTlRBTkcoUVRSLDM1NDMwKSk=&amp;WINDOW=FIRST_POPUP&amp;H","EIGHT=450&amp;WIDTH=450&amp;START_MAXIMIZED=FALSE&amp;VAR:CALENDAR=US&amp;VAR:SYMBOL=AMD&amp;VAR:INDEX=0"}</definedName>
    <definedName name="_88__FDSAUDITLINK__" hidden="1">{"fdsup://directions/FAT Viewer?action=UPDATE&amp;creator=factset&amp;DYN_ARGS=TRUE&amp;DOC_NAME=FAT:FQL_AUDITING_CLIENT_TEMPLATE.FAT&amp;display_string=Audit&amp;VAR:KEY=ENCNMDQVWL&amp;VAR:QUERY=KENTRl9DT01fU0hTX09VVF9FUFNfRElMKFFUUl9SLDM1Mzk4KUBXU0ZfQ09NX1NIU19PVVRfRVBTX0RJTChRV","FIsMzUzOTgpKQ==&amp;WINDOW=FIRST_POPUP&amp;HEIGHT=450&amp;WIDTH=450&amp;START_MAXIMIZED=FALSE&amp;VAR:CALENDAR=US&amp;VAR:SYMBOL=AMD&amp;VAR:INDEX=0"}</definedName>
    <definedName name="_89__FDSAUDITLINK__" hidden="1">{"fdsup://directions/FAT Viewer?action=UPDATE&amp;creator=factset&amp;DYN_ARGS=TRUE&amp;DOC_NAME=FAT:FQL_AUDITING_CLIENT_TEMPLATE.FAT&amp;display_string=Audit&amp;VAR:KEY=QTOBYXIPWP&amp;VAR:QUERY=KENTRl9JTlRBTkcoUVRSX1IsMzUzOTgpQFdTRl9JTlRBTkcoUVRSLDM1Mzk4KSk=&amp;WINDOW=FIRST_POPUP&amp;H","EIGHT=450&amp;WIDTH=450&amp;START_MAXIMIZED=FALSE&amp;VAR:CALENDAR=US&amp;VAR:SYMBOL=AMD&amp;VAR:INDEX=0"}</definedName>
    <definedName name="_9__FDSAUDITLINK__" hidden="1">{"fdsup://directions/FAT Viewer?action=UPDATE&amp;creator=factset&amp;DYN_ARGS=TRUE&amp;DOC_NAME=FAT:FQL_AUDITING_CLIENT_TEMPLATE.FAT&amp;display_string=Audit&amp;VAR:KEY=SFUXURANYB&amp;VAR:QUERY=KENTRl9JTlRBTkcoUVRSX1IsMzcwNzEpQFdTRl9JTlRBTkcoUVRSLDM3MDcxKSk=&amp;WINDOW=FIRST_POPUP&amp;H","EIGHT=450&amp;WIDTH=450&amp;START_MAXIMIZED=FALSE&amp;VAR:CALENDAR=US&amp;VAR:SYMBOL=AMD&amp;VAR:INDEX=0"}</definedName>
    <definedName name="_90__FDSAUDITLINK__" hidden="1">{"fdsup://directions/FAT Viewer?action=UPDATE&amp;creator=factset&amp;DYN_ARGS=TRUE&amp;DOC_NAME=FAT:FQL_AUDITING_CLIENT_TEMPLATE.FAT&amp;display_string=Audit&amp;VAR:KEY=QFSNWJODKD&amp;VAR:QUERY=KENTRl9DT01fU0hTX09VVF9FUFNfRElMKFFUUl9SLDM1MzY5KUBXU0ZfQ09NX1NIU19PVVRfRVBTX0RJTChRV","FIsMzUzNjkpKQ==&amp;WINDOW=FIRST_POPUP&amp;HEIGHT=450&amp;WIDTH=450&amp;START_MAXIMIZED=FALSE&amp;VAR:CALENDAR=US&amp;VAR:SYMBOL=AMD&amp;VAR:INDEX=0"}</definedName>
    <definedName name="_91__FDSAUDITLINK__" hidden="1">{"fdsup://directions/FAT Viewer?action=UPDATE&amp;creator=factset&amp;DYN_ARGS=TRUE&amp;DOC_NAME=FAT:FQL_AUDITING_CLIENT_TEMPLATE.FAT&amp;display_string=Audit&amp;VAR:KEY=OVETQNUPQT&amp;VAR:QUERY=KENTRl9JTlRBTkcoUVRSX1IsMzUzNjkpQFdTRl9JTlRBTkcoUVRSLDM1MzY5KSk=&amp;WINDOW=FIRST_POPUP&amp;H","EIGHT=450&amp;WIDTH=450&amp;START_MAXIMIZED=FALSE&amp;VAR:CALENDAR=US&amp;VAR:SYMBOL=AMD&amp;VAR:INDEX=0"}</definedName>
    <definedName name="_92__FDSAUDITLINK__" hidden="1">{"fdsup://directions/FAT Viewer?action=UPDATE&amp;creator=factset&amp;DYN_ARGS=TRUE&amp;DOC_NAME=FAT:FQL_AUDITING_CLIENT_TEMPLATE.FAT&amp;display_string=Audit&amp;VAR:KEY=UDYZADSRMH&amp;VAR:QUERY=KENTRl9DT01fU0hTX09VVF9FUFNfRElMKFFUUl9SLDM1MzM4KUBXU0ZfQ09NX1NIU19PVVRfRVBTX0RJTChRV","FIsMzUzMzgpKQ==&amp;WINDOW=FIRST_POPUP&amp;HEIGHT=450&amp;WIDTH=450&amp;START_MAXIMIZED=FALSE&amp;VAR:CALENDAR=US&amp;VAR:SYMBOL=AMD&amp;VAR:INDEX=0"}</definedName>
    <definedName name="_93__FDSAUDITLINK__" hidden="1">{"fdsup://directions/FAT Viewer?action=UPDATE&amp;creator=factset&amp;DYN_ARGS=TRUE&amp;DOC_NAME=FAT:FQL_AUDITING_CLIENT_TEMPLATE.FAT&amp;display_string=Audit&amp;VAR:KEY=YVQVMNCTKZ&amp;VAR:QUERY=KENTRl9JTlRBTkcoUVRSX1IsMzUzMzgpQFdTRl9JTlRBTkcoUVRSLDM1MzM4KSk=&amp;WINDOW=FIRST_POPUP&amp;H","EIGHT=450&amp;WIDTH=450&amp;START_MAXIMIZED=FALSE&amp;VAR:CALENDAR=US&amp;VAR:SYMBOL=AMD&amp;VAR:INDEX=0"}</definedName>
    <definedName name="_94__FDSAUDITLINK__" hidden="1">{"fdsup://directions/FAT Viewer?action=UPDATE&amp;creator=factset&amp;DYN_ARGS=TRUE&amp;DOC_NAME=FAT:FQL_AUDITING_CLIENT_TEMPLATE.FAT&amp;display_string=Audit&amp;VAR:KEY=MXOJOBSRWN&amp;VAR:QUERY=KENTRl9DT01fU0hTX09VVF9FUFNfRElMKFFUUl9SLDM1MzA3KUBXU0ZfQ09NX1NIU19PVVRfRVBTX0RJTChRV","FIsMzUzMDcpKQ==&amp;WINDOW=FIRST_POPUP&amp;HEIGHT=450&amp;WIDTH=450&amp;START_MAXIMIZED=FALSE&amp;VAR:CALENDAR=US&amp;VAR:SYMBOL=AMD&amp;VAR:INDEX=0"}</definedName>
    <definedName name="_95__FDSAUDITLINK__" hidden="1">{"fdsup://directions/FAT Viewer?action=UPDATE&amp;creator=factset&amp;DYN_ARGS=TRUE&amp;DOC_NAME=FAT:FQL_AUDITING_CLIENT_TEMPLATE.FAT&amp;display_string=Audit&amp;VAR:KEY=OXMJMNKLCB&amp;VAR:QUERY=KENTRl9JTlRBTkcoUVRSX1IsMzUzMDcpQFdTRl9JTlRBTkcoUVRSLDM1MzA3KSk=&amp;WINDOW=FIRST_POPUP&amp;H","EIGHT=450&amp;WIDTH=450&amp;START_MAXIMIZED=FALSE&amp;VAR:CALENDAR=US&amp;VAR:SYMBOL=AMD&amp;VAR:INDEX=0"}</definedName>
    <definedName name="_96__FDSAUDITLINK__" hidden="1">{"fdsup://directions/FAT Viewer?action=UPDATE&amp;creator=factset&amp;DYN_ARGS=TRUE&amp;DOC_NAME=FAT:FQL_AUDITING_CLIENT_TEMPLATE.FAT&amp;display_string=Audit&amp;VAR:KEY=WBIXEVWHYL&amp;VAR:QUERY=KENTRl9DT01fU0hTX09VVF9FUFNfRElMKFFUUl9SLDM1Mjc3KUBXU0ZfQ09NX1NIU19PVVRfRVBTX0RJTChRV","FIsMzUyNzcpKQ==&amp;WINDOW=FIRST_POPUP&amp;HEIGHT=450&amp;WIDTH=450&amp;START_MAXIMIZED=FALSE&amp;VAR:CALENDAR=US&amp;VAR:SYMBOL=AMD&amp;VAR:INDEX=0"}</definedName>
    <definedName name="_97__FDSAUDITLINK__" hidden="1">{"fdsup://directions/FAT Viewer?action=UPDATE&amp;creator=factset&amp;DYN_ARGS=TRUE&amp;DOC_NAME=FAT:FQL_AUDITING_CLIENT_TEMPLATE.FAT&amp;display_string=Audit&amp;VAR:KEY=OJKRGZATWX&amp;VAR:QUERY=KENTRl9JTlRBTkcoUVRSX1IsMzUyNzcpQFdTRl9JTlRBTkcoUVRSLDM1Mjc3KSk=&amp;WINDOW=FIRST_POPUP&amp;H","EIGHT=450&amp;WIDTH=450&amp;START_MAXIMIZED=FALSE&amp;VAR:CALENDAR=US&amp;VAR:SYMBOL=AMD&amp;VAR:INDEX=0"}</definedName>
    <definedName name="_98__FDSAUDITLINK__" hidden="1">{"fdsup://directions/FAT Viewer?action=UPDATE&amp;creator=factset&amp;DYN_ARGS=TRUE&amp;DOC_NAME=FAT:FQL_AUDITING_CLIENT_TEMPLATE.FAT&amp;display_string=Audit&amp;VAR:KEY=OVWBEHWVYT&amp;VAR:QUERY=KENTRl9DT01fU0hTX09VVF9FUFNfRElMKFFUUl9SLDM1MjQ0KUBXU0ZfQ09NX1NIU19PVVRfRVBTX0RJTChRV","FIsMzUyNDQpKQ==&amp;WINDOW=FIRST_POPUP&amp;HEIGHT=450&amp;WIDTH=450&amp;START_MAXIMIZED=FALSE&amp;VAR:CALENDAR=US&amp;VAR:SYMBOL=AMD&amp;VAR:INDEX=0"}</definedName>
    <definedName name="_99__FDSAUDITLINK__" hidden="1">{"fdsup://directions/FAT Viewer?action=UPDATE&amp;creator=factset&amp;DYN_ARGS=TRUE&amp;DOC_NAME=FAT:FQL_AUDITING_CLIENT_TEMPLATE.FAT&amp;display_string=Audit&amp;VAR:KEY=EFSRULINKP&amp;VAR:QUERY=KENTRl9JTlRBTkcoUVRSX1IsMzUyNDQpQFdTRl9JTlRBTkcoUVRSLDM1MjQ0KSk=&amp;WINDOW=FIRST_POPUP&amp;H","EIGHT=450&amp;WIDTH=450&amp;START_MAXIMIZED=FALSE&amp;VAR:CALENDAR=US&amp;VAR:SYMBOL=AMD&amp;VAR:INDEX=0"}</definedName>
    <definedName name="_avg96">#REF!</definedName>
    <definedName name="_avg97">#REF!</definedName>
    <definedName name="_avg98">#REF!</definedName>
    <definedName name="_axe99">#REF!</definedName>
    <definedName name="_bdm.0446c32ea0ff4682aa0106f5ec2426f9.edm" hidden="1">#REF!</definedName>
    <definedName name="_bdm.0f75ce151a2f4334b862e6c3832c3245.edm" hidden="1">#REF!</definedName>
    <definedName name="_bdm.13E7FC9FA9C44DA2ABBEE5E982009FF8.edm" hidden="1">#REF!</definedName>
    <definedName name="_bdm.234037d38f054c65972d22b81843b085.edm" hidden="1">#REF!</definedName>
    <definedName name="_bdm.2631af3130cc4f6b954a68c6487259e4.edm" hidden="1">#REF!</definedName>
    <definedName name="_bdm.274CC89995CE4CC89434F68E011C840A.edm" localSheetId="2" hidden="1">NVDA!$CG$6</definedName>
    <definedName name="_bdm.28c94b8d8d574ddbb7714c0c9d9392d9.edm" hidden="1">#REF!</definedName>
    <definedName name="_bdm.3805246567204471A1B783B7CD5D5075.edm" hidden="1">#REF!</definedName>
    <definedName name="_bdm.78596DE8CD6C4D89A0C471175B14231C.edm" hidden="1">#REF!</definedName>
    <definedName name="_bdm.79e73b5501484b878c9628042ad14a14.edm" hidden="1">#REF!</definedName>
    <definedName name="_bdm.9715E2696B4D4DCA9E592F64010E2B7C.edm" hidden="1">NVDA!$1:$1048576</definedName>
    <definedName name="_bdm.cba450d086f341eda30b9b769561965d.edm" hidden="1">#REF!</definedName>
    <definedName name="_bdm.DBAC0C7662F946CAAE55253DCC99D982.edm" hidden="1">#REF!</definedName>
    <definedName name="_bdm.ec8bce0512324ad3b474a265d2aa2c4d.edm" hidden="1">#REF!</definedName>
    <definedName name="_bdm.F805F1478AF24352BA852220AE44BBC0.edm" hidden="1">#REF!</definedName>
    <definedName name="_bdm.FastTrackBookmark.11_20_2023_4_17_52_PM.edm" hidden="1">Worksheet!$CN$79:$CN$82</definedName>
    <definedName name="_bdm.FastTrackBookmark.11_7_2023_3_14_40_PM.edm" hidden="1">#REF!</definedName>
    <definedName name="_bdm.FastTrackBookmark.2_23_2018_6_20_03_PM.edm" hidden="1">#REF!</definedName>
    <definedName name="_bdm.FastTrackBookmark.3_23_2018_12_04_00_PM.edm" hidden="1">#REF!</definedName>
    <definedName name="_bdm.FastTrackBookmark.3_24_2020_9_48_11_PM.edm" hidden="1">#REF!</definedName>
    <definedName name="_bdm.FastTrackBookmark.3_30_2020_11_22_41_AM.edm" hidden="1">#REF!</definedName>
    <definedName name="_bdm.FastTrackBookmark.3_4_2018_2_50_37_PM.edm" hidden="1">#REF!</definedName>
    <definedName name="_bdm.FastTrackBookmark.5_2_2019_5_10_21_PM.edm" hidden="1">#REF!</definedName>
    <definedName name="_bei98">#REF!</definedName>
    <definedName name="_bei99">#REF!</definedName>
    <definedName name="_bwc98">#REF!</definedName>
    <definedName name="_bwc99">#REF!</definedName>
    <definedName name="_CAT1">#REF!</definedName>
    <definedName name="_CAT2">#REF!</definedName>
    <definedName name="_CAT3">#REF!</definedName>
    <definedName name="_cdt98">#REF!</definedName>
    <definedName name="_cdt99">#REF!</definedName>
    <definedName name="_CSC2">#REF!</definedName>
    <definedName name="_DAT1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CF2">#REF!</definedName>
    <definedName name="_DIV1998">#REF!</definedName>
    <definedName name="_DIV1999">#REF!</definedName>
    <definedName name="_DLX1.USE">#REF!</definedName>
    <definedName name="_DLX2.USE">#REF!</definedName>
    <definedName name="_DLX3.USE">#REF!</definedName>
    <definedName name="_DLX4.USE">#REF!</definedName>
    <definedName name="_dps01">#REF!</definedName>
    <definedName name="_DPS02">#REF!</definedName>
    <definedName name="_DPS97">#REF!</definedName>
    <definedName name="_DPS98">#REF!</definedName>
    <definedName name="_DPS99">#REF!</definedName>
    <definedName name="_EPS01">#REF!</definedName>
    <definedName name="_EPS02">#REF!</definedName>
    <definedName name="_EPS1997">#REF!</definedName>
    <definedName name="_EPS1998">#REF!</definedName>
    <definedName name="_EPS1999">#REF!</definedName>
    <definedName name="_eps2000">#REF!</definedName>
    <definedName name="_eps2001">#REF!</definedName>
    <definedName name="_eps2002">#REF!</definedName>
    <definedName name="_EPS2003">#REF!</definedName>
    <definedName name="_eps2004">#REF!</definedName>
    <definedName name="_EPS94">#REF!</definedName>
    <definedName name="_EPS95">#REF!</definedName>
    <definedName name="_EPS96">#REF!</definedName>
    <definedName name="_eps97">#REF!</definedName>
    <definedName name="_eps98">#REF!</definedName>
    <definedName name="_eps99">#REF!</definedName>
    <definedName name="_FCF1999">#REF!</definedName>
    <definedName name="_FCF2000">#REF!</definedName>
    <definedName name="_FCF2001">#REF!</definedName>
    <definedName name="_FCF2002">#REF!</definedName>
    <definedName name="_FCF2003">#REF!</definedName>
    <definedName name="_FCF2004">#REF!</definedName>
    <definedName name="_Fill" hidden="1">#REF!</definedName>
    <definedName name="_FYE2004">#REF!</definedName>
    <definedName name="_FYE2005">#REF!</definedName>
    <definedName name="_gdp01">#REF!</definedName>
    <definedName name="_gdp02">#REF!</definedName>
    <definedName name="_gdp03">#REF!</definedName>
    <definedName name="_gdp04">#REF!</definedName>
    <definedName name="_gdp05">#REF!</definedName>
    <definedName name="_gdp96">#REF!</definedName>
    <definedName name="_gdp97">#REF!</definedName>
    <definedName name="_gdp98">#REF!</definedName>
    <definedName name="_gdp99">#REF!</definedName>
    <definedName name="_grm98">#REF!</definedName>
    <definedName name="_grm99">#REF!</definedName>
    <definedName name="_Key1" hidden="1">#REF!</definedName>
    <definedName name="_LD2">#REF!</definedName>
    <definedName name="_ND01">#REF!</definedName>
    <definedName name="_ND02">#REF!</definedName>
    <definedName name="_ND98">#REF!</definedName>
    <definedName name="_ND99">#REF!</definedName>
    <definedName name="_Net01">#REF!</definedName>
    <definedName name="_Net02">#REF!</definedName>
    <definedName name="_net2000">#REF!</definedName>
    <definedName name="_net2001">#REF!</definedName>
    <definedName name="_net2002">#REF!</definedName>
    <definedName name="_net2003">#REF!</definedName>
    <definedName name="_net2004">#REF!</definedName>
    <definedName name="_net96">#REF!</definedName>
    <definedName name="_Net97">#REF!</definedName>
    <definedName name="_Net98">#REF!</definedName>
    <definedName name="_Net99">#REF!</definedName>
    <definedName name="_NIA92">#REF!</definedName>
    <definedName name="_NIA93">#REF!</definedName>
    <definedName name="_NIA94">#REF!</definedName>
    <definedName name="_opm98">#REF!</definedName>
    <definedName name="_opm99">#REF!</definedName>
    <definedName name="_Order1" hidden="1">0</definedName>
    <definedName name="_Order2" hidden="1">255</definedName>
    <definedName name="_Q1" hidden="1">{"'Standalone List Price Trends'!$A$1:$X$56"}</definedName>
    <definedName name="_Q2" hidden="1">{"'Standalone List Price Trends'!$A$1:$X$56"}</definedName>
    <definedName name="_Q3" hidden="1">{"'Standalone List Price Trends'!$A$1:$X$56"}</definedName>
    <definedName name="_Q4" hidden="1">{"'Standalone List Price Trends'!$A$1:$X$56"}</definedName>
    <definedName name="_Q5" hidden="1">{"'Standalone List Price Trends'!$A$1:$X$56"}</definedName>
    <definedName name="_Q9" hidden="1">{"'Standalone List Price Trends'!$A$1:$X$56"}</definedName>
    <definedName name="_QT10">#REF!</definedName>
    <definedName name="_rev1997">#REF!</definedName>
    <definedName name="_rev1998">#REF!</definedName>
    <definedName name="_rev1999">#REF!</definedName>
    <definedName name="_rev2000">#REF!</definedName>
    <definedName name="_rev2001">#REF!</definedName>
    <definedName name="_rev2002">#REF!</definedName>
    <definedName name="_rev2003">#REF!</definedName>
    <definedName name="_REV89">#REF!</definedName>
    <definedName name="_REV90">#REF!</definedName>
    <definedName name="_REV91">#REF!</definedName>
    <definedName name="_REV92">#REF!</definedName>
    <definedName name="_REV93">#REF!</definedName>
    <definedName name="_REV94">#REF!</definedName>
    <definedName name="_REV95">#REF!</definedName>
    <definedName name="_REV96">#REF!</definedName>
    <definedName name="_rev97">#REF!</definedName>
    <definedName name="_rev98">#REF!</definedName>
    <definedName name="_rev99">#REF!</definedName>
    <definedName name="_rw1" hidden="1">{"'Standalone List Price Trends'!$A$1:$X$56"}</definedName>
    <definedName name="_rw2" hidden="1">{"'Standalone List Price Trends'!$A$1:$X$56"}</definedName>
    <definedName name="_rw3" hidden="1">{"'Standalone List Price Trends'!$A$1:$X$56"}</definedName>
    <definedName name="_rw4" hidden="1">{"'Standalone List Price Trends'!$A$1:$X$56"}</definedName>
    <definedName name="_Scenario_new_change" hidden="1">#REF!</definedName>
    <definedName name="_scenchg_count" hidden="1">1</definedName>
    <definedName name="_scenchg1" hidden="1">#REF!</definedName>
    <definedName name="_Sort" hidden="1">#REF!</definedName>
    <definedName name="_t5">#REF!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ax96">#REF!</definedName>
    <definedName name="_Tax97">#REF!</definedName>
    <definedName name="_Tax98">#REF!</definedName>
    <definedName name="_Tax99">#REF!</definedName>
    <definedName name="_TOP10">#REF!</definedName>
    <definedName name="_X2">#REF!</definedName>
    <definedName name="_X3">#REF!</definedName>
    <definedName name="_X6">#REF!</definedName>
    <definedName name="_X7">#REF!</definedName>
    <definedName name="a">#REF!</definedName>
    <definedName name="A_ALL_ADI_">#REF!</definedName>
    <definedName name="A_ALL_ALTR">#REF!</definedName>
    <definedName name="A_ALL_AMAT">#REF!</definedName>
    <definedName name="A_ALL_AMAT_">#REF!</definedName>
    <definedName name="A_ALL_AMD_">#REF!</definedName>
    <definedName name="A_ALL_AMT">#REF!</definedName>
    <definedName name="A_ALL_APXT">#REF!</definedName>
    <definedName name="A_ALL_ARM">#REF!</definedName>
    <definedName name="A_ALL_ARW">#REF!</definedName>
    <definedName name="A_ALL_ARW_">#REF!</definedName>
    <definedName name="A_ALL_ARX">#REF!</definedName>
    <definedName name="A_ALL_AVGO">#REF!</definedName>
    <definedName name="A_ALL_AVGO_">#REF!</definedName>
    <definedName name="A_ALL_BRCM">#REF!</definedName>
    <definedName name="A_ALL_BRCM_">#REF!</definedName>
    <definedName name="A_ALL_BSY">#REF!</definedName>
    <definedName name="A_ALL_CCI">#REF!</definedName>
    <definedName name="A_ALL_CDNS">#REF!</definedName>
    <definedName name="A_ALL_CFG">#REF!</definedName>
    <definedName name="A_ALL_CHTR">#REF!</definedName>
    <definedName name="A_ALL_CMCSA">#REF!</definedName>
    <definedName name="A_ALL_CRWD">#REF!</definedName>
    <definedName name="A_ALL_CSAL">#REF!</definedName>
    <definedName name="A_ALL_CTL">#REF!</definedName>
    <definedName name="A_ALL_CTL_">#REF!</definedName>
    <definedName name="A_ALL_CTSH">#REF!</definedName>
    <definedName name="A_ALL_DBX">#REF!</definedName>
    <definedName name="A_ALL_DIS">#REF!</definedName>
    <definedName name="A_ALL_DTV">#REF!</definedName>
    <definedName name="A_ALL_EQIX">#REF!</definedName>
    <definedName name="A_ALL_FTNT">#REF!</definedName>
    <definedName name="A_ALL_FTRCQ">#REF!</definedName>
    <definedName name="A_ALL_FYBR">#REF!</definedName>
    <definedName name="A_ALL_INTC_">#REF!</definedName>
    <definedName name="A_ALL_INTU" localSheetId="3">#REF!</definedName>
    <definedName name="A_ALL_INTU">#REF!</definedName>
    <definedName name="A_ALL_INTU_" localSheetId="3">#REF!</definedName>
    <definedName name="A_ALL_INTU_">#REF!</definedName>
    <definedName name="A_ALL_KEYWORDS_TYPE_Breakdown_EQTY_200001646">#REF!</definedName>
    <definedName name="A_ALL_KEYWORDS_TYPE_Breakdown_EQTY_200002831">#REF!</definedName>
    <definedName name="A_ALL_KEYWORDS_TYPE_Breakdown_EQTY_200004419">#REF!</definedName>
    <definedName name="A_ALL_KEYWORDS_TYPE_ScalarContributed_EQTY_200000304">#REF!,#REF!,#REF!,#REF!</definedName>
    <definedName name="A_ALL_KEYWORDS_TYPE_ScalarContributed_EQTY_200000813">#REF!,#REF!,#REF!,#REF!,#REF!</definedName>
    <definedName name="A_ALL_KEYWORDS_TYPE_ScalarContributed_EQTY_200001265">#REF!,#REF!,#REF!,#REF!</definedName>
    <definedName name="A_ALL_KEYWORDS_TYPE_ScalarContributed_EQTY_200001320">#REF!,#REF!,#REF!,#REF!</definedName>
    <definedName name="A_ALL_KEYWORDS_TYPE_ScalarContributed_EQTY_200001330">#REF!,#REF!,#REF!,#REF!</definedName>
    <definedName name="A_ALL_KEYWORDS_TYPE_ScalarContributed_EQTY_200001353">#REF!,#REF!</definedName>
    <definedName name="A_ALL_KEYWORDS_TYPE_ScalarContributed_EQTY_200001371">#REF!,#REF!</definedName>
    <definedName name="A_ALL_KEYWORDS_TYPE_ScalarContributed_EQTY_200001381">#REF!,#REF!,#REF!,#REF!,#REF!</definedName>
    <definedName name="A_ALL_KEYWORDS_TYPE_ScalarContributed_EQTY_200001646">#REF!,#REF!,#REF!,#REF!</definedName>
    <definedName name="A_ALL_KEYWORDS_TYPE_ScalarContributed_EQTY_200002282">#REF!,#REF!,#REF!,#REF!,#REF!</definedName>
    <definedName name="A_ALL_KEYWORDS_TYPE_ScalarContributed_EQTY_200002283">#REF!,#REF!,#REF!,#REF!,#REF!</definedName>
    <definedName name="A_ALL_KEYWORDS_TYPE_ScalarContributed_EQTY_200002309">#REF!,#REF!,#REF!,#REF!,#REF!</definedName>
    <definedName name="A_ALL_KEYWORDS_TYPE_ScalarContributed_EQTY_200002831">#REF!,#REF!,#REF!,#REF!,#REF!</definedName>
    <definedName name="A_ALL_KEYWORDS_TYPE_ScalarContributed_EQTY_200002833">#REF!,#REF!,#REF!,#REF!</definedName>
    <definedName name="A_ALL_KEYWORDS_TYPE_ScalarContributed_EQTY_200003036">#REF!,#REF!,#REF!,#REF!,#REF!</definedName>
    <definedName name="A_ALL_KEYWORDS_TYPE_ScalarContributed_EQTY_200003037">#REF!,#REF!,#REF!,#REF!</definedName>
    <definedName name="A_ALL_KEYWORDS_TYPE_ScalarContributed_EQTY_200003892">#REF!,#REF!,#REF!,#REF!</definedName>
    <definedName name="A_ALL_KEYWORDS_TYPE_ScalarContributed_EQTY_200004230">#REF!,#REF!,#REF!,#REF!,#REF!</definedName>
    <definedName name="A_ALL_KEYWORDS_TYPE_ScalarContributed_EQTY_200004419">#REF!,#REF!,#REF!,#REF!</definedName>
    <definedName name="A_ALL_KEYWORDS_TYPE_ScalarContributed_EQTY_200004906">#REF!,#REF!,#REF!,#REF!,#REF!</definedName>
    <definedName name="A_ALL_KEYWORDS_TYPE_ScalarContributed_EQTY_200005326">#REF!,#REF!,#REF!,#REF!,#REF!</definedName>
    <definedName name="A_ALL_KEYWORDS_TYPE_ScalarContributed_EQTY_200005490">#REF!,#REF!,#REF!,#REF!,#REF!</definedName>
    <definedName name="A_ALL_KEYWORDS_TYPE_ScalarContributed_EQTY_200005674">#REF!,#REF!,#REF!,#REF!,#REF!</definedName>
    <definedName name="A_ALL_KEYWORDS_TYPE_ScalarContributed_EQTY_200005722">#REF!,#REF!,#REF!,#REF!,#REF!</definedName>
    <definedName name="A_ALL_KEYWORDS_TYPE_ScalarContributed_EQTY_200006232">#REF!,#REF!,#REF!,#REF!</definedName>
    <definedName name="A_ALL_KEYWORDS_TYPE_ScalarContributed_EQTY_200006333">#REF!,#REF!,#REF!,#REF!</definedName>
    <definedName name="A_ALL_KEYWORDS_TYPE_ScalarContributed_EQTY_200006384">#REF!,#REF!,#REF!,#REF!,#REF!</definedName>
    <definedName name="A_ALL_KEYWORDS_TYPE_ScalarContributed_EQTY_200007794">#REF!,#REF!,#REF!,#REF!,#REF!</definedName>
    <definedName name="A_ALL_KEYWORDS_TYPE_ScalarContributed_EQTY_200009556">#REF!,#REF!,#REF!,#REF!</definedName>
    <definedName name="A_ALL_KEYWORDS_TYPE_ScalarContributed_EQTY_200009677">#REF!,#REF!,#REF!,#REF!,#REF!</definedName>
    <definedName name="A_ALL_KEYWORDS_TYPE_ScalarContributed_EQTY_200010313">#REF!,#REF!,#REF!,#REF!</definedName>
    <definedName name="A_ALL_KEYWORDS_TYPE_ScalarContributed_EQTY_200011598">#REF!,#REF!,#REF!,#REF!,#REF!</definedName>
    <definedName name="A_ALL_KEYWORDS_TYPE_ScalarContributed_EQTY_200012393">#REF!,#REF!,#REF!,#REF!,#REF!</definedName>
    <definedName name="A_ALL_KEYWORDS_TYPE_ScalarContributed_EQTY_200012762">#REF!,#REF!,#REF!,#REF!</definedName>
    <definedName name="A_ALL_KEYWORDS_TYPE_ScalarContributed_EQTY_200014300">#REF!,#REF!,#REF!,#REF!</definedName>
    <definedName name="A_ALL_KEYWORDS_TYPE_ScalarContributed_EQTY_200014367">#REF!,#REF!,#REF!,#REF!,#REF!</definedName>
    <definedName name="A_ALL_KEYWORDS_TYPE_ScalarContributed_EQTY_200014493">#REF!,#REF!,#REF!,#REF!</definedName>
    <definedName name="A_ALL_KEYWORDS_TYPE_ScalarContributed_EQTY_200014750">#REF!,#REF!,#REF!,#REF!,#REF!</definedName>
    <definedName name="A_ALL_KEYWORDS_TYPE_ScalarContributed_EQTY_200015107">#REF!,#REF!,#REF!,#REF!</definedName>
    <definedName name="A_ALL_KEYWORDS_TYPE_ScalarContributed_EQTY_200015716">#REF!,#REF!,#REF!,#REF!</definedName>
    <definedName name="A_ALL_KEYWORDS_TYPE_ScalarContributed_EQTY_200015757">#REF!,#REF!,#REF!,#REF!</definedName>
    <definedName name="A_ALL_KEYWORDS_TYPE_ScalarContributed_EQTY_200016026">#REF!,#REF!,#REF!,#REF!</definedName>
    <definedName name="A_ALL_KEYWORDS_TYPE_ScalarContributed_EQTY_200017745">#REF!,#REF!,#REF!,#REF!,#REF!</definedName>
    <definedName name="A_ALL_KEYWORDS_TYPE_ScalarContributed_EQTY_200019587">#REF!,#REF!,#REF!,#REF!</definedName>
    <definedName name="A_ALL_KEYWORDS_TYPE_ScalarContributed_EQTY_200019588">#REF!,#REF!,#REF!,#REF!</definedName>
    <definedName name="A_ALL_KEYWORDS_TYPE_ScalarContributed_EQTY_200021484">#REF!,#REF!,#REF!,#REF!,#REF!</definedName>
    <definedName name="A_ALL_KEYWORDS_TYPE_ScalarContributed_ISSR_208000027">#REF!,#REF!</definedName>
    <definedName name="A_ALL_KEYWORDS_TYPE_ScalarContributed_ISSR_208000156">#REF!,#REF!</definedName>
    <definedName name="A_ALL_KEYWORDS_TYPE_ScalarContributed_ISSR_208000430">#REF!,#REF!,#REF!,#REF!,#REF!,#REF!,#REF!,#REF!,#REF!,#REF!,#REF!</definedName>
    <definedName name="A_ALL_KEYWORDS_TYPE_ScalarContributed_ISSR_208000435">#REF!,#REF!</definedName>
    <definedName name="A_ALL_KEYWORDS_TYPE_ScalarContributed_ISSR_208000468">#REF!,#REF!</definedName>
    <definedName name="A_ALL_KEYWORDS_TYPE_ScalarContributed_ISSR_208000603">#REF!</definedName>
    <definedName name="A_ALL_KEYWORDS_TYPE_ScalarContributed_ISSR_208000826">#REF!,#REF!,#REF!,#REF!</definedName>
    <definedName name="A_ALL_KEYWORDS_TYPE_ScalarContributed_ISSR_208000827">#REF!,#REF!,#REF!</definedName>
    <definedName name="A_ALL_KEYWORDS_TYPE_ScalarContributed_ISSR_208000836">#REF!,#REF!,#REF!</definedName>
    <definedName name="A_ALL_KEYWORDS_TYPE_ScalarContributed_ISSR_208000976">#REF!,#REF!</definedName>
    <definedName name="A_ALL_KEYWORDS_TYPE_ScalarContributed_ISSR_208000977">#REF!,#REF!</definedName>
    <definedName name="A_ALL_KEYWORDS_TYPE_ScalarContributed_ISSR_208001048">#REF!,#REF!</definedName>
    <definedName name="A_ALL_KEYWORDS_TYPE_ScalarContributed_ISSR_208001204">#REF!,#REF!,#REF!</definedName>
    <definedName name="A_ALL_KEYWORDS_TYPE_ScalarContributed_ISSR_208001258">#REF!</definedName>
    <definedName name="A_ALL_KEYWORDS_TYPE_ScalarContributed_ISSR_208001370">#REF!,#REF!</definedName>
    <definedName name="A_ALL_KEYWORDS_TYPE_ScalarContributed_ISSR_208001515">#REF!,#REF!</definedName>
    <definedName name="A_ALL_KEYWORDS_TYPE_ScalarContributed_ISSR_208001562">#REF!,#REF!,#REF!</definedName>
    <definedName name="A_ALL_KEYWORDS_TYPE_ScalarContributed_ISSR_208001627">#REF!,#REF!,#REF!</definedName>
    <definedName name="A_ALL_KEYWORDS_TYPE_ScalarContributed_ISSR_208001640">#REF!,#REF!</definedName>
    <definedName name="A_ALL_KEYWORDS_TYPE_ScalarContributed_ISSR_208001765">#REF!,#REF!,#REF!</definedName>
    <definedName name="A_ALL_KEYWORDS_TYPE_ScalarContributed_ISSR_208001785">#REF!,#REF!</definedName>
    <definedName name="A_ALL_KEYWORDS_TYPE_ScalarContributed_ISSR_208002651">#REF!,#REF!</definedName>
    <definedName name="A_ALL_KEYWORDS_TYPE_ScalarContributed_ISSR_208005795">#REF!,#REF!</definedName>
    <definedName name="A_ALL_KEYWORDS_TYPE_ScalarContributed_ISSR_208007986">#REF!,#REF!,#REF!</definedName>
    <definedName name="A_ALL_KEYWORDS_TYPE_ScalarContributed_ISSR_208008030">#REF!,#REF!,#REF!</definedName>
    <definedName name="A_ALL_KEYWORDS_TYPE_ScalarContributed_ISSR_208008836">#REF!,#REF!</definedName>
    <definedName name="A_ALL_KEYWORDS_TYPE_ScalarContributed_ISSR_208009377">#REF!,#REF!</definedName>
    <definedName name="A_ALL_KEYWORDS_TYPE_ScalarContributed_ISSR_208009722">#REF!</definedName>
    <definedName name="A_ALL_KEYWORDS_TYPE_ScalarContributed_ISSR_208011028">#REF!,#REF!,#REF!</definedName>
    <definedName name="A_ALL_KEYWORDS_TYPE_ScalarContributed_ISSR_208011556">#REF!,#REF!</definedName>
    <definedName name="A_ALL_KEYWORDS_TYPE_ScalarContributed_ISSR_208011888">#REF!,#REF!,#REF!,#REF!,#REF!,#REF!,#REF!,#REF!,#REF!,#REF!,#REF!</definedName>
    <definedName name="A_ALL_KEYWORDS_TYPE_ScalarContributed_ISSR_208012959">#REF!,#REF!,#REF!</definedName>
    <definedName name="A_ALL_KEYWORDS_TYPE_ScalarContributed_ISSR_208015351">#REF!,#REF!</definedName>
    <definedName name="A_ALL_KEYWORDS_TYPE_ScalarContributed_ISSR_208018132">#REF!,#REF!,#REF!</definedName>
    <definedName name="A_ALL_KEYWORDS_TYPE_ScalarContributed_ISSR_208018133">#REF!,#REF!,#REF!,#REF!,#REF!,#REF!,#REF!,#REF!,#REF!,#REF!,#REF!,#REF!</definedName>
    <definedName name="A_ALL_KEYWORDS_TYPE_ScalarContributed_ISSR_208018253">#REF!,#REF!,#REF!</definedName>
    <definedName name="A_ALL_KEYWORDS_TYPE_ScalarContributed_ISSR_208020566">#REF!,#REF!,#REF!</definedName>
    <definedName name="A_ALL_KEYWORDS_TYPE_ScalarContributed_ISSR_208020919">#REF!,#REF!,#REF!</definedName>
    <definedName name="A_ALL_KEYWORDS_TYPE_ScalarReference_EQTY_200001646">#REF!</definedName>
    <definedName name="A_ALL_KEYWORDS_TYPE_ScalarReference_EQTY_200002831">#REF!</definedName>
    <definedName name="A_ALL_KEYWORDS_TYPE_ScalarReference_EQTY_200004419">#REF!</definedName>
    <definedName name="A_ALL_KEYWORDS_TYPE_ScalarReference_EQTY_200012762">#REF!</definedName>
    <definedName name="A_ALL_KEYWORDS_TYPE_ScalarReference_EQTY_200014750">#REF!</definedName>
    <definedName name="A_ALL_KEYWORDS_TYPE_ScalarReference_ISSR_208000603">#REF!</definedName>
    <definedName name="A_ALL_KEYWORDS_TYPE_ScalarReference_ISSR_208000976">#REF!</definedName>
    <definedName name="A_ALL_KEYWORDS_TYPE_ScalarReference_ISSR_208001258">#REF!</definedName>
    <definedName name="A_ALL_KEYWORDS_TYPE_ScalarReference_ISSR_208009722">#REF!</definedName>
    <definedName name="A_ALL_KEYWORDS_TYPE_ScalarReference_ISSR_208011556">#REF!</definedName>
    <definedName name="A_ALL_KEYWORDS_TYPE_Vector_EQTY_200000304">#REF!,#REF!,#REF!,#REF!,#REF!,#REF!,#REF!</definedName>
    <definedName name="A_ALL_KEYWORDS_TYPE_Vector_EQTY_200000813">#REF!,#REF!,#REF!,#REF!,#REF!,#REF!,#REF!</definedName>
    <definedName name="A_ALL_KEYWORDS_TYPE_Vector_EQTY_200001265">#REF!,#REF!,#REF!,#REF!,#REF!,#REF!,#REF!</definedName>
    <definedName name="A_ALL_KEYWORDS_TYPE_Vector_EQTY_200001320">#REF!,#REF!,#REF!,#REF!,#REF!,#REF!,#REF!</definedName>
    <definedName name="A_ALL_KEYWORDS_TYPE_Vector_EQTY_200001330">#REF!,#REF!,#REF!,#REF!,#REF!,#REF!,#REF!</definedName>
    <definedName name="A_ALL_KEYWORDS_TYPE_Vector_EQTY_200001353">#REF!,#REF!,#REF!,#REF!,#REF!</definedName>
    <definedName name="A_ALL_KEYWORDS_TYPE_Vector_EQTY_200001371">#REF!,#REF!,#REF!,#REF!,#REF!</definedName>
    <definedName name="A_ALL_KEYWORDS_TYPE_Vector_EQTY_200001381">#REF!,#REF!,#REF!,#REF!,#REF!,#REF!,#REF!</definedName>
    <definedName name="A_ALL_KEYWORDS_TYPE_Vector_EQTY_200001646">#REF!,#REF!,#REF!,#REF!,#REF!,#REF!,#REF!,#REF!</definedName>
    <definedName name="A_ALL_KEYWORDS_TYPE_Vector_EQTY_200002282">#REF!,#REF!,#REF!,#REF!,#REF!,#REF!,#REF!,#REF!</definedName>
    <definedName name="A_ALL_KEYWORDS_TYPE_Vector_EQTY_200002283">#REF!,#REF!,#REF!,#REF!,#REF!,#REF!,#REF!,#REF!</definedName>
    <definedName name="A_ALL_KEYWORDS_TYPE_Vector_EQTY_200002309">#REF!,#REF!,#REF!,#REF!,#REF!,#REF!,#REF!,#REF!</definedName>
    <definedName name="A_ALL_KEYWORDS_TYPE_Vector_EQTY_200002831">#REF!,#REF!,#REF!,#REF!,#REF!,#REF!,#REF!</definedName>
    <definedName name="A_ALL_KEYWORDS_TYPE_Vector_EQTY_200002833">#REF!,#REF!,#REF!,#REF!,#REF!,#REF!,#REF!</definedName>
    <definedName name="A_ALL_KEYWORDS_TYPE_Vector_EQTY_200003036">#REF!,#REF!,#REF!,#REF!,#REF!,#REF!,#REF!</definedName>
    <definedName name="A_ALL_KEYWORDS_TYPE_Vector_EQTY_200003037">#REF!,#REF!,#REF!,#REF!,#REF!,#REF!,#REF!</definedName>
    <definedName name="A_ALL_KEYWORDS_TYPE_Vector_EQTY_200003892">#REF!,#REF!,#REF!,#REF!,#REF!,#REF!,#REF!</definedName>
    <definedName name="A_ALL_KEYWORDS_TYPE_Vector_EQTY_200004230">#REF!,#REF!,#REF!,#REF!,#REF!,#REF!,#REF!,#REF!</definedName>
    <definedName name="A_ALL_KEYWORDS_TYPE_Vector_EQTY_200004419">#REF!,#REF!,#REF!,#REF!,#REF!,#REF!,#REF!</definedName>
    <definedName name="A_ALL_KEYWORDS_TYPE_Vector_EQTY_200004906">#REF!,#REF!,#REF!,#REF!,#REF!,#REF!,#REF!</definedName>
    <definedName name="A_ALL_KEYWORDS_TYPE_Vector_EQTY_200005184">#REF!,#REF!,#REF!,#REF!,#REF!,#REF!,#REF!</definedName>
    <definedName name="A_ALL_KEYWORDS_TYPE_Vector_EQTY_200005326">#REF!,#REF!,#REF!,#REF!,#REF!,#REF!,#REF!</definedName>
    <definedName name="A_ALL_KEYWORDS_TYPE_Vector_EQTY_200005490">#REF!,#REF!,#REF!,#REF!,#REF!,#REF!,#REF!,#REF!</definedName>
    <definedName name="A_ALL_KEYWORDS_TYPE_Vector_EQTY_200005722">#REF!,#REF!,#REF!,#REF!,#REF!,#REF!,#REF!</definedName>
    <definedName name="A_ALL_KEYWORDS_TYPE_Vector_EQTY_200006232">#REF!,#REF!,#REF!,#REF!,#REF!,#REF!,#REF!</definedName>
    <definedName name="A_ALL_KEYWORDS_TYPE_Vector_EQTY_200006333">#REF!,#REF!,#REF!,#REF!,#REF!,#REF!,#REF!,#REF!,#REF!</definedName>
    <definedName name="A_ALL_KEYWORDS_TYPE_Vector_EQTY_200006384">#REF!,#REF!,#REF!,#REF!,#REF!,#REF!,#REF!</definedName>
    <definedName name="A_ALL_KEYWORDS_TYPE_Vector_EQTY_200009556">#REF!,#REF!,#REF!,#REF!,#REF!,#REF!,#REF!</definedName>
    <definedName name="A_ALL_KEYWORDS_TYPE_Vector_EQTY_200010313">#REF!,#REF!,#REF!,#REF!,#REF!,#REF!,#REF!,#REF!</definedName>
    <definedName name="A_ALL_KEYWORDS_TYPE_Vector_EQTY_200011598">#REF!,#REF!,#REF!,#REF!,#REF!,#REF!,#REF!</definedName>
    <definedName name="A_ALL_KEYWORDS_TYPE_Vector_EQTY_200012393">#REF!,#REF!,#REF!,#REF!,#REF!,#REF!,#REF!</definedName>
    <definedName name="A_ALL_KEYWORDS_TYPE_Vector_EQTY_200012762">#REF!,#REF!,#REF!,#REF!,#REF!,#REF!,#REF!</definedName>
    <definedName name="A_ALL_KEYWORDS_TYPE_Vector_EQTY_200014300">#REF!,#REF!,#REF!,#REF!,#REF!,#REF!,#REF!</definedName>
    <definedName name="A_ALL_KEYWORDS_TYPE_Vector_EQTY_200014493">#REF!,#REF!,#REF!,#REF!,#REF!,#REF!,#REF!</definedName>
    <definedName name="A_ALL_KEYWORDS_TYPE_Vector_EQTY_200014750">#REF!,#REF!,#REF!,#REF!,#REF!,#REF!,#REF!</definedName>
    <definedName name="A_ALL_KEYWORDS_TYPE_Vector_EQTY_200015107">#REF!,#REF!,#REF!,#REF!,#REF!,#REF!,#REF!</definedName>
    <definedName name="A_ALL_KEYWORDS_TYPE_Vector_EQTY_200015716">#REF!,#REF!,#REF!,#REF!,#REF!,#REF!,#REF!</definedName>
    <definedName name="A_ALL_KEYWORDS_TYPE_Vector_EQTY_200015757">#REF!,#REF!,#REF!,#REF!,#REF!,#REF!,#REF!,#REF!</definedName>
    <definedName name="A_ALL_KEYWORDS_TYPE_Vector_EQTY_200016026">#REF!,#REF!,#REF!,#REF!,#REF!,#REF!,#REF!,#REF!</definedName>
    <definedName name="A_ALL_KEYWORDS_TYPE_Vector_EQTY_200017745">#REF!,#REF!,#REF!,#REF!,#REF!,#REF!,#REF!</definedName>
    <definedName name="A_ALL_KEYWORDS_TYPE_Vector_EQTY_200019588">#REF!,#REF!,#REF!,#REF!,#REF!,#REF!,#REF!</definedName>
    <definedName name="A_ALL_KEYWORDS_TYPE_Vector_EQTY_200021484">#REF!,#REF!,#REF!,#REF!,#REF!,#REF!,#REF!</definedName>
    <definedName name="A_ALL_KEYWORDS_TYPE_Vector_ISSR_208000027">#REF!,#REF!,#REF!,#REF!,#REF!,#REF!,#REF!,#REF!,#REF!,#REF!</definedName>
    <definedName name="A_ALL_KEYWORDS_TYPE_Vector_ISSR_208000156">#REF!,#REF!,#REF!,#REF!,#REF!,#REF!,#REF!,#REF!,#REF!,#REF!,#REF!,#REF!,#REF!</definedName>
    <definedName name="A_ALL_KEYWORDS_TYPE_Vector_ISSR_208000430">#REF!,#REF!,#REF!,#REF!,#REF!,#REF!,#REF!,#REF!,#REF!,#REF!,#REF!,#REF!,#REF!,#REF!</definedName>
    <definedName name="A_ALL_KEYWORDS_TYPE_Vector_ISSR_208000435">#REF!,#REF!,#REF!,#REF!,#REF!,#REF!,#REF!,#REF!,#REF!,#REF!</definedName>
    <definedName name="A_ALL_KEYWORDS_TYPE_Vector_ISSR_208000451">#REF!,#REF!,#REF!,#REF!,#REF!,#REF!,#REF!,#REF!,#REF!,#REF!,#REF!,#REF!,#REF!,#REF!,#REF!,#REF!,#REF!,#REF!,#REF!,#REF!,#REF!,#REF!,#REF!,#REF!,#REF!,#REF!</definedName>
    <definedName name="A_ALL_KEYWORDS_TYPE_Vector_ISSR_208000468">#REF!,#REF!,#REF!,#REF!,#REF!,#REF!,#REF!,#REF!,#REF!,#REF!,#REF!,#REF!,#REF!,#REF!</definedName>
    <definedName name="A_ALL_KEYWORDS_TYPE_Vector_ISSR_208000603">#REF!,#REF!,#REF!,#REF!,#REF!,#REF!,#REF!,#REF!,#REF!,#REF!</definedName>
    <definedName name="A_ALL_KEYWORDS_TYPE_Vector_ISSR_208000826">#REF!,#REF!,#REF!,#REF!,#REF!,#REF!,#REF!,#REF!,#REF!,#REF!,#REF!,#REF!,#REF!,#REF!,#REF!,#REF!</definedName>
    <definedName name="A_ALL_KEYWORDS_TYPE_Vector_ISSR_208000827">#REF!,#REF!,#REF!,#REF!,#REF!,#REF!,#REF!,#REF!,#REF!,#REF!,#REF!,#REF!,#REF!,#REF!,#REF!,#REF!</definedName>
    <definedName name="A_ALL_KEYWORDS_TYPE_Vector_ISSR_208000836">#REF!,#REF!,#REF!,#REF!,#REF!,#REF!,#REF!,#REF!,#REF!,#REF!,#REF!,#REF!,#REF!</definedName>
    <definedName name="A_ALL_KEYWORDS_TYPE_Vector_ISSR_208000976">#REF!,#REF!,#REF!,#REF!,#REF!,#REF!,#REF!,#REF!,#REF!,#REF!,#REF!,#REF!,#REF!</definedName>
    <definedName name="A_ALL_KEYWORDS_TYPE_Vector_ISSR_208000977">#REF!,#REF!,#REF!,#REF!,#REF!,#REF!,#REF!,#REF!,#REF!,#REF!,#REF!,#REF!,#REF!,#REF!,#REF!</definedName>
    <definedName name="A_ALL_KEYWORDS_TYPE_Vector_ISSR_208001018" localSheetId="3">#REF!,#REF!,#REF!,#REF!,#REF!,#REF!,#REF!,#REF!,#REF!,#REF!</definedName>
    <definedName name="A_ALL_KEYWORDS_TYPE_Vector_ISSR_208001018">#REF!,#REF!,#REF!,#REF!,#REF!,#REF!,#REF!,#REF!,#REF!,#REF!</definedName>
    <definedName name="A_ALL_KEYWORDS_TYPE_Vector_ISSR_208001048">#REF!,#REF!,#REF!,#REF!,#REF!,#REF!,#REF!,#REF!,#REF!,#REF!,#REF!,#REF!,#REF!,#REF!</definedName>
    <definedName name="A_ALL_KEYWORDS_TYPE_Vector_ISSR_208001049">#REF!,#REF!,#REF!,#REF!,#REF!,#REF!,#REF!,#REF!,#REF!,#REF!,#REF!,#REF!,#REF!,#REF!,#REF!</definedName>
    <definedName name="A_ALL_KEYWORDS_TYPE_Vector_ISSR_208001137">#REF!,#REF!,#REF!,#REF!,#REF!,#REF!,#REF!,#REF!,#REF!,#REF!,#REF!,#REF!,#REF!,#REF!,#REF!</definedName>
    <definedName name="A_ALL_KEYWORDS_TYPE_Vector_ISSR_208001204">#REF!,#REF!,#REF!,#REF!,#REF!,#REF!,#REF!,#REF!,#REF!,#REF!,#REF!,#REF!,#REF!,#REF!</definedName>
    <definedName name="A_ALL_KEYWORDS_TYPE_Vector_ISSR_208001217">#REF!,#REF!,#REF!,#REF!,#REF!,#REF!,#REF!,#REF!,#REF!,#REF!,#REF!,#REF!,#REF!,#REF!,#REF!</definedName>
    <definedName name="A_ALL_KEYWORDS_TYPE_Vector_ISSR_208001258">#REF!,#REF!,#REF!,#REF!,#REF!,#REF!,#REF!,#REF!,#REF!,#REF!,#REF!,#REF!,#REF!,#REF!,#REF!</definedName>
    <definedName name="A_ALL_KEYWORDS_TYPE_Vector_ISSR_208001370">#REF!,#REF!,#REF!,#REF!,#REF!,#REF!,#REF!,#REF!,#REF!,#REF!,#REF!,#REF!,#REF!</definedName>
    <definedName name="A_ALL_KEYWORDS_TYPE_Vector_ISSR_208001515">#REF!,#REF!,#REF!,#REF!,#REF!,#REF!,#REF!,#REF!,#REF!,#REF!,#REF!,#REF!</definedName>
    <definedName name="A_ALL_KEYWORDS_TYPE_Vector_ISSR_208001562">#REF!,#REF!,#REF!,#REF!,#REF!,#REF!,#REF!,#REF!,#REF!,#REF!,#REF!,#REF!,#REF!</definedName>
    <definedName name="A_ALL_KEYWORDS_TYPE_Vector_ISSR_208001627">#REF!,#REF!,#REF!,#REF!,#REF!,#REF!,#REF!,#REF!,#REF!,#REF!,#REF!,#REF!,#REF!</definedName>
    <definedName name="A_ALL_KEYWORDS_TYPE_Vector_ISSR_208001640">#REF!,#REF!,#REF!,#REF!,#REF!,#REF!,#REF!,#REF!,#REF!,#REF!,#REF!,#REF!,#REF!</definedName>
    <definedName name="A_ALL_KEYWORDS_TYPE_Vector_ISSR_208001765">#REF!,#REF!,#REF!,#REF!,#REF!,#REF!,#REF!,#REF!,#REF!,#REF!,#REF!,#REF!,#REF!,#REF!,#REF!</definedName>
    <definedName name="A_ALL_KEYWORDS_TYPE_Vector_ISSR_208001785">#REF!,#REF!,#REF!,#REF!,#REF!,#REF!,#REF!,#REF!,#REF!,#REF!,#REF!,#REF!,#REF!</definedName>
    <definedName name="A_ALL_KEYWORDS_TYPE_Vector_ISSR_208002651">#REF!,#REF!,#REF!,#REF!,#REF!,#REF!,#REF!,#REF!,#REF!,#REF!,#REF!,#REF!,#REF!</definedName>
    <definedName name="A_ALL_KEYWORDS_TYPE_Vector_ISSR_208005795">#REF!,#REF!,#REF!,#REF!,#REF!,#REF!,#REF!,#REF!,#REF!,#REF!</definedName>
    <definedName name="A_ALL_KEYWORDS_TYPE_Vector_ISSR_208007359">#REF!,#REF!,#REF!,#REF!,#REF!,#REF!,#REF!,#REF!,#REF!</definedName>
    <definedName name="A_ALL_KEYWORDS_TYPE_Vector_ISSR_208007452">#REF!,#REF!,#REF!,#REF!,#REF!,#REF!,#REF!,#REF!,#REF!,#REF!,#REF!,#REF!,#REF!,#REF!,#REF!,#REF!,#REF!,#REF!,#REF!,#REF!,#REF!,#REF!,#REF!,#REF!,#REF!</definedName>
    <definedName name="A_ALL_KEYWORDS_TYPE_Vector_ISSR_208007986">#REF!,#REF!,#REF!,#REF!,#REF!,#REF!,#REF!,#REF!,#REF!,#REF!,#REF!,#REF!,#REF!,#REF!,#REF!</definedName>
    <definedName name="A_ALL_KEYWORDS_TYPE_Vector_ISSR_208008030">#REF!,#REF!,#REF!,#REF!,#REF!,#REF!,#REF!,#REF!,#REF!,#REF!,#REF!,#REF!,#REF!,#REF!,#REF!,#REF!,#REF!,#REF!,#REF!,#REF!</definedName>
    <definedName name="A_ALL_KEYWORDS_TYPE_Vector_ISSR_208008836">#REF!,#REF!,#REF!,#REF!,#REF!,#REF!,#REF!,#REF!,#REF!,#REF!</definedName>
    <definedName name="A_ALL_KEYWORDS_TYPE_Vector_ISSR_208009377">#REF!,#REF!,#REF!,#REF!,#REF!,#REF!,#REF!,#REF!,#REF!,#REF!,#REF!,#REF!,#REF!</definedName>
    <definedName name="A_ALL_KEYWORDS_TYPE_Vector_ISSR_208009722">#REF!,#REF!,#REF!,#REF!,#REF!,#REF!,#REF!,#REF!,#REF!</definedName>
    <definedName name="A_ALL_KEYWORDS_TYPE_Vector_ISSR_208010209">#REF!,#REF!,#REF!,#REF!,#REF!,#REF!,#REF!,#REF!,#REF!,#REF!,#REF!,#REF!,#REF!,#REF!,#REF!</definedName>
    <definedName name="A_ALL_KEYWORDS_TYPE_Vector_ISSR_208011028">#REF!,#REF!,#REF!,#REF!,#REF!,#REF!,#REF!,#REF!,#REF!,#REF!,#REF!,#REF!,#REF!</definedName>
    <definedName name="A_ALL_KEYWORDS_TYPE_Vector_ISSR_208011072">#REF!,#REF!,#REF!,#REF!,#REF!,#REF!,#REF!,#REF!,#REF!,#REF!,#REF!,#REF!,#REF!,#REF!</definedName>
    <definedName name="A_ALL_KEYWORDS_TYPE_Vector_ISSR_208011212">#REF!,#REF!,#REF!,#REF!,#REF!,#REF!,#REF!,#REF!,#REF!,#REF!,#REF!,#REF!,#REF!,#REF!</definedName>
    <definedName name="A_ALL_KEYWORDS_TYPE_Vector_ISSR_208011556">#REF!,#REF!,#REF!,#REF!,#REF!,#REF!,#REF!,#REF!,#REF!,#REF!</definedName>
    <definedName name="A_ALL_KEYWORDS_TYPE_Vector_ISSR_208011888">#REF!,#REF!,#REF!,#REF!,#REF!,#REF!,#REF!,#REF!,#REF!,#REF!,#REF!,#REF!,#REF!,#REF!,#REF!,#REF!,#REF!,#REF!,#REF!</definedName>
    <definedName name="A_ALL_KEYWORDS_TYPE_Vector_ISSR_208012959">#REF!,#REF!,#REF!,#REF!,#REF!,#REF!,#REF!,#REF!,#REF!,#REF!,#REF!,#REF!,#REF!,#REF!,#REF!,#REF!</definedName>
    <definedName name="A_ALL_KEYWORDS_TYPE_Vector_ISSR_208013278">#REF!,#REF!,#REF!,#REF!,#REF!,#REF!,#REF!,#REF!,#REF!,#REF!,#REF!,#REF!</definedName>
    <definedName name="A_ALL_KEYWORDS_TYPE_Vector_ISSR_208015351">#REF!,#REF!,#REF!,#REF!,#REF!,#REF!,#REF!,#REF!,#REF!,#REF!,#REF!,#REF!</definedName>
    <definedName name="A_ALL_KEYWORDS_TYPE_Vector_ISSR_208017249">#REF!,#REF!,#REF!,#REF!,#REF!,#REF!,#REF!,#REF!,#REF!,#REF!,#REF!,#REF!</definedName>
    <definedName name="A_ALL_KEYWORDS_TYPE_Vector_ISSR_208018132">#REF!,#REF!,#REF!,#REF!,#REF!,#REF!,#REF!,#REF!,#REF!,#REF!,#REF!,#REF!,#REF!</definedName>
    <definedName name="A_ALL_KEYWORDS_TYPE_Vector_ISSR_208018133">#REF!,#REF!,#REF!,#REF!,#REF!,#REF!,#REF!,#REF!,#REF!,#REF!,#REF!,#REF!,#REF!,#REF!,#REF!,#REF!,#REF!,#REF!,#REF!,#REF!,#REF!,#REF!,#REF!</definedName>
    <definedName name="A_ALL_KEYWORDS_TYPE_Vector_ISSR_208018253">#REF!,#REF!,#REF!,#REF!,#REF!,#REF!,#REF!,#REF!,#REF!,#REF!,#REF!,#REF!,#REF!</definedName>
    <definedName name="A_ALL_KEYWORDS_TYPE_Vector_ISSR_208020566">#REF!,#REF!,#REF!,#REF!,#REF!,#REF!,#REF!,#REF!,#REF!,#REF!,#REF!,#REF!,#REF!</definedName>
    <definedName name="A_ALL_KEYWORDS_TYPE_Vector_ISSR_208020919">#REF!,#REF!,#REF!,#REF!,#REF!,#REF!,#REF!,#REF!,#REF!,#REF!,#REF!,#REF!,#REF!</definedName>
    <definedName name="A_ALL_KEYWORDS_TYPE_Vector_ISSR_208021926">#REF!,#REF!,#REF!,#REF!,#REF!,#REF!,#REF!,#REF!,#REF!,#REF!,#REF!,#REF!,#REF!</definedName>
    <definedName name="A_ALL_KNBE">#REF!</definedName>
    <definedName name="A_ALL_LUMN">#REF!</definedName>
    <definedName name="A_ALL_MCFE">#REF!</definedName>
    <definedName name="A_ALL_MCHP_">#REF!</definedName>
    <definedName name="A_ALL_MDB">#REF!</definedName>
    <definedName name="A_ALL_MRVL_">#REF!</definedName>
    <definedName name="A_ALL_NVDA">#REF!</definedName>
    <definedName name="A_ALL_NVDA_">#REF!</definedName>
    <definedName name="A_ALL_NXPI_">#REF!</definedName>
    <definedName name="A_ALL_PERIODS_ARX">#REF!</definedName>
    <definedName name="A_ALL_PERIODS_T">#REF!</definedName>
    <definedName name="A_ALL_RCI">#REF!</definedName>
    <definedName name="A_ALL_RPD">#REF!</definedName>
    <definedName name="A_ALL_S">#REF!</definedName>
    <definedName name="A_ALL_SECTION_KEYWORDS_EQTY_200001646_1314">#REF!</definedName>
    <definedName name="A_ALL_SECTION_KEYWORDS_EQTY_200001646_1319">#REF!</definedName>
    <definedName name="A_ALL_SECTION_KEYWORDS_EQTY_200001646_131E">#REF!</definedName>
    <definedName name="A_ALL_SECTION_KEYWORDS_EQTY_200001646_131O">#REF!</definedName>
    <definedName name="A_ALL_SECTION_KEYWORDS_EQTY_200001646_131P">#REF!</definedName>
    <definedName name="A_ALL_SECTION_KEYWORDS_EQTY_200001646_13A">#REF!</definedName>
    <definedName name="A_ALL_SECTION_KEYWORDS_EQTY_200001646_13K">#REF!</definedName>
    <definedName name="A_ALL_SECTION_KEYWORDS_EQTY_200001646_13U">#REF!</definedName>
    <definedName name="A_ALL_SECTION_KEYWORDS_EQTY_200001646_13V">#REF!</definedName>
    <definedName name="A_ALL_SECTION_KEYWORDS_EQTY_200001646_13W">#REF!</definedName>
    <definedName name="A_ALL_SECTION_KEYWORDS_EQTY_200001646_Reference_Data">#REF!</definedName>
    <definedName name="A_ALL_SECTION_KEYWORDS_EQTY_200002831_1314">#REF!</definedName>
    <definedName name="A_ALL_SECTION_KEYWORDS_EQTY_200002831_1319">#REF!</definedName>
    <definedName name="A_ALL_SECTION_KEYWORDS_EQTY_200002831_131E">#REF!</definedName>
    <definedName name="A_ALL_SECTION_KEYWORDS_EQTY_200002831_131O">#REF!</definedName>
    <definedName name="A_ALL_SECTION_KEYWORDS_EQTY_200002831_13A">#REF!</definedName>
    <definedName name="A_ALL_SECTION_KEYWORDS_EQTY_200002831_13K">#REF!</definedName>
    <definedName name="A_ALL_SECTION_KEYWORDS_EQTY_200002831_13U">#REF!</definedName>
    <definedName name="A_ALL_SECTION_KEYWORDS_EQTY_200002831_13V">#REF!</definedName>
    <definedName name="A_ALL_SECTION_KEYWORDS_EQTY_200002831_13W">#REF!</definedName>
    <definedName name="A_ALL_SECTION_KEYWORDS_EQTY_200002831_Reference_Data">#REF!</definedName>
    <definedName name="A_ALL_SECTION_KEYWORDS_EQTY_200004230_13A">#REF!</definedName>
    <definedName name="A_ALL_SECTION_KEYWORDS_EQTY_200004230_13K">#REF!</definedName>
    <definedName name="A_ALL_SECTION_KEYWORDS_EQTY_200004419_1314">#REF!</definedName>
    <definedName name="A_ALL_SECTION_KEYWORDS_EQTY_200004419_1319">#REF!</definedName>
    <definedName name="A_ALL_SECTION_KEYWORDS_EQTY_200004419_131E">#REF!</definedName>
    <definedName name="A_ALL_SECTION_KEYWORDS_EQTY_200004419_131O">#REF!</definedName>
    <definedName name="A_ALL_SECTION_KEYWORDS_EQTY_200004419_13A">#REF!</definedName>
    <definedName name="A_ALL_SECTION_KEYWORDS_EQTY_200004419_13K">#REF!</definedName>
    <definedName name="A_ALL_SECTION_KEYWORDS_EQTY_200004419_13U">#REF!</definedName>
    <definedName name="A_ALL_SECTION_KEYWORDS_EQTY_200004419_13V">#REF!</definedName>
    <definedName name="A_ALL_SECTION_KEYWORDS_EQTY_200004419_13W">#REF!</definedName>
    <definedName name="A_ALL_SECTION_KEYWORDS_EQTY_200004419_Reference_Data">#REF!</definedName>
    <definedName name="A_ALL_SECTION_KEYWORDS_EQTY_200005326_13A">#REF!</definedName>
    <definedName name="A_ALL_SECTION_KEYWORDS_EQTY_200005326_13K">#REF!</definedName>
    <definedName name="A_ALL_SECTION_KEYWORDS_EQTY_200005722_13A">#REF!</definedName>
    <definedName name="A_ALL_SECTION_KEYWORDS_EQTY_200005722_13K">#REF!</definedName>
    <definedName name="A_ALL_SECTION_KEYWORDS_EQTY_200006333_13A">#REF!</definedName>
    <definedName name="A_ALL_SECTION_KEYWORDS_EQTY_200006333_13K">#REF!</definedName>
    <definedName name="A_ALL_SECTION_KEYWORDS_EQTY_200012762_1314">#REF!</definedName>
    <definedName name="A_ALL_SECTION_KEYWORDS_EQTY_200012762_1319">#REF!</definedName>
    <definedName name="A_ALL_SECTION_KEYWORDS_EQTY_200012762_131E">#REF!</definedName>
    <definedName name="A_ALL_SECTION_KEYWORDS_EQTY_200012762_131O">#REF!</definedName>
    <definedName name="A_ALL_SECTION_KEYWORDS_EQTY_200012762_13A">#REF!</definedName>
    <definedName name="A_ALL_SECTION_KEYWORDS_EQTY_200012762_13K">#REF!</definedName>
    <definedName name="A_ALL_SECTION_KEYWORDS_EQTY_200012762_13U">#REF!</definedName>
    <definedName name="A_ALL_SECTION_KEYWORDS_EQTY_200012762_13V">#REF!</definedName>
    <definedName name="A_ALL_SECTION_KEYWORDS_EQTY_200012762_13W">#REF!</definedName>
    <definedName name="A_ALL_SECTION_KEYWORDS_EQTY_200012762_Reference_Data">#REF!</definedName>
    <definedName name="A_ALL_SECTION_KEYWORDS_EQTY_200014750_1314">#REF!</definedName>
    <definedName name="A_ALL_SECTION_KEYWORDS_EQTY_200014750_1319">#REF!</definedName>
    <definedName name="A_ALL_SECTION_KEYWORDS_EQTY_200014750_131E">#REF!</definedName>
    <definedName name="A_ALL_SECTION_KEYWORDS_EQTY_200014750_131O">#REF!</definedName>
    <definedName name="A_ALL_SECTION_KEYWORDS_EQTY_200014750_13A">#REF!</definedName>
    <definedName name="A_ALL_SECTION_KEYWORDS_EQTY_200014750_13K">#REF!</definedName>
    <definedName name="A_ALL_SECTION_KEYWORDS_EQTY_200014750_13U">#REF!</definedName>
    <definedName name="A_ALL_SECTION_KEYWORDS_EQTY_200014750_13V">#REF!</definedName>
    <definedName name="A_ALL_SECTION_KEYWORDS_EQTY_200014750_13W">#REF!</definedName>
    <definedName name="A_ALL_SECTION_KEYWORDS_EQTY_200014750_Reference_Data">#REF!</definedName>
    <definedName name="A_ALL_SECTION_KEYWORDS_EQTY_200019587_13A">#REF!</definedName>
    <definedName name="A_ALL_SECTION_KEYWORDS_EQTY_200019588_13A">#REF!</definedName>
    <definedName name="A_ALL_SECTION_KEYWORDS_EQTY_200019588_13K">#REF!</definedName>
    <definedName name="A_ALL_SECTION_KEYWORDS_EQTY_200021484_13A">#REF!</definedName>
    <definedName name="A_ALL_SECTION_KEYWORDS_EQTY_200021484_13K">#REF!</definedName>
    <definedName name="A_ALL_SECTION_KEYWORDS_ISSR_208000027_136E">#REF!,#REF!</definedName>
    <definedName name="A_ALL_SECTION_KEYWORDS_ISSR_208000402_136J">#REF!,#REF!</definedName>
    <definedName name="A_ALL_SECTION_KEYWORDS_ISSR_208000430_136E">#REF!,#REF!</definedName>
    <definedName name="A_ALL_SECTION_KEYWORDS_ISSR_208000435_136E">#REF!,#REF!</definedName>
    <definedName name="A_ALL_SECTION_KEYWORDS_ISSR_208000435_136J">#REF!,#REF!</definedName>
    <definedName name="A_ALL_SECTION_KEYWORDS_ISSR_208000468_13V">#REF!,#REF!</definedName>
    <definedName name="A_ALL_SECTION_KEYWORDS_ISSR_208000603_1314">#REF!</definedName>
    <definedName name="A_ALL_SECTION_KEYWORDS_ISSR_208000603_13168">#REF!</definedName>
    <definedName name="A_ALL_SECTION_KEYWORDS_ISSR_208000603_1319">#REF!</definedName>
    <definedName name="A_ALL_SECTION_KEYWORDS_ISSR_208000603_131E">#REF!</definedName>
    <definedName name="A_ALL_SECTION_KEYWORDS_ISSR_208000603_131J">#REF!</definedName>
    <definedName name="A_ALL_SECTION_KEYWORDS_ISSR_208000603_131O">#REF!</definedName>
    <definedName name="A_ALL_SECTION_KEYWORDS_ISSR_208000603_131P">#REF!</definedName>
    <definedName name="A_ALL_SECTION_KEYWORDS_ISSR_208000603_13A">#REF!</definedName>
    <definedName name="A_ALL_SECTION_KEYWORDS_ISSR_208000603_13U">#REF!</definedName>
    <definedName name="A_ALL_SECTION_KEYWORDS_ISSR_208000603_13V">#REF!</definedName>
    <definedName name="A_ALL_SECTION_KEYWORDS_ISSR_208000603_Reference_Data">#REF!</definedName>
    <definedName name="A_ALL_SECTION_KEYWORDS_ISSR_208000826_136J">#REF!,#REF!</definedName>
    <definedName name="A_ALL_SECTION_KEYWORDS_ISSR_208000827_136J">#REF!,#REF!</definedName>
    <definedName name="A_ALL_SECTION_KEYWORDS_ISSR_208000836_131O">#REF!,#REF!</definedName>
    <definedName name="A_ALL_SECTION_KEYWORDS_ISSR_208000976_1314">#REF!</definedName>
    <definedName name="A_ALL_SECTION_KEYWORDS_ISSR_208000976_13168">#REF!</definedName>
    <definedName name="A_ALL_SECTION_KEYWORDS_ISSR_208000976_1316T">#REF!</definedName>
    <definedName name="A_ALL_SECTION_KEYWORDS_ISSR_208000976_1316U">#REF!</definedName>
    <definedName name="A_ALL_SECTION_KEYWORDS_ISSR_208000976_1319">#REF!</definedName>
    <definedName name="A_ALL_SECTION_KEYWORDS_ISSR_208000976_131E">#REF!</definedName>
    <definedName name="A_ALL_SECTION_KEYWORDS_ISSR_208000976_131J">#REF!</definedName>
    <definedName name="A_ALL_SECTION_KEYWORDS_ISSR_208000976_131O">#REF!</definedName>
    <definedName name="A_ALL_SECTION_KEYWORDS_ISSR_208000976_136E">#REF!,#REF!</definedName>
    <definedName name="A_ALL_SECTION_KEYWORDS_ISSR_208000976_13A">#REF!</definedName>
    <definedName name="A_ALL_SECTION_KEYWORDS_ISSR_208000976_13U">#REF!</definedName>
    <definedName name="A_ALL_SECTION_KEYWORDS_ISSR_208000976_13V">#REF!,#REF!</definedName>
    <definedName name="A_ALL_SECTION_KEYWORDS_ISSR_208000976_Reference_Data">#REF!</definedName>
    <definedName name="A_ALL_SECTION_KEYWORDS_ISSR_208000977_136E">#REF!,#REF!</definedName>
    <definedName name="A_ALL_SECTION_KEYWORDS_ISSR_208001018_13168" localSheetId="3">#REF!</definedName>
    <definedName name="A_ALL_SECTION_KEYWORDS_ISSR_208001018_13168">#REF!</definedName>
    <definedName name="A_ALL_SECTION_KEYWORDS_ISSR_208001018_136E" localSheetId="3">#REF!,#REF!</definedName>
    <definedName name="A_ALL_SECTION_KEYWORDS_ISSR_208001018_136E">#REF!,#REF!</definedName>
    <definedName name="A_ALL_SECTION_KEYWORDS_ISSR_208001018_13V" localSheetId="3">#REF!</definedName>
    <definedName name="A_ALL_SECTION_KEYWORDS_ISSR_208001018_13V">#REF!</definedName>
    <definedName name="A_ALL_SECTION_KEYWORDS_ISSR_208001048_13V">#REF!,#REF!</definedName>
    <definedName name="A_ALL_SECTION_KEYWORDS_ISSR_208001204_136J">#REF!,#REF!</definedName>
    <definedName name="A_ALL_SECTION_KEYWORDS_ISSR_208001217_13168">#REF!,#REF!</definedName>
    <definedName name="A_ALL_SECTION_KEYWORDS_ISSR_208001217_136E">#REF!,#REF!</definedName>
    <definedName name="A_ALL_SECTION_KEYWORDS_ISSR_208001258_1314">#REF!</definedName>
    <definedName name="A_ALL_SECTION_KEYWORDS_ISSR_208001258_13168">#REF!</definedName>
    <definedName name="A_ALL_SECTION_KEYWORDS_ISSR_208001258_1316T">#REF!</definedName>
    <definedName name="A_ALL_SECTION_KEYWORDS_ISSR_208001258_1316U">#REF!</definedName>
    <definedName name="A_ALL_SECTION_KEYWORDS_ISSR_208001258_1319">#REF!</definedName>
    <definedName name="A_ALL_SECTION_KEYWORDS_ISSR_208001258_131E">#REF!</definedName>
    <definedName name="A_ALL_SECTION_KEYWORDS_ISSR_208001258_131J">#REF!</definedName>
    <definedName name="A_ALL_SECTION_KEYWORDS_ISSR_208001258_131O">#REF!</definedName>
    <definedName name="A_ALL_SECTION_KEYWORDS_ISSR_208001258_13A">#REF!</definedName>
    <definedName name="A_ALL_SECTION_KEYWORDS_ISSR_208001258_13U">#REF!</definedName>
    <definedName name="A_ALL_SECTION_KEYWORDS_ISSR_208001258_13V">#REF!</definedName>
    <definedName name="A_ALL_SECTION_KEYWORDS_ISSR_208001258_Reference_Data">#REF!</definedName>
    <definedName name="A_ALL_SECTION_KEYWORDS_ISSR_208001370_13V">#REF!,#REF!</definedName>
    <definedName name="A_ALL_SECTION_KEYWORDS_ISSR_208001515_1314">#REF!</definedName>
    <definedName name="A_ALL_SECTION_KEYWORDS_ISSR_208001515_1319">#REF!</definedName>
    <definedName name="A_ALL_SECTION_KEYWORDS_ISSR_208001515_131E">#REF!</definedName>
    <definedName name="A_ALL_SECTION_KEYWORDS_ISSR_208001515_13V">#REF!</definedName>
    <definedName name="A_ALL_SECTION_KEYWORDS_ISSR_208001562_131O">#REF!,#REF!</definedName>
    <definedName name="A_ALL_SECTION_KEYWORDS_ISSR_208001627_131O">#REF!,#REF!</definedName>
    <definedName name="A_ALL_SECTION_KEYWORDS_ISSR_208001627_136J">#REF!</definedName>
    <definedName name="A_ALL_SECTION_KEYWORDS_ISSR_208001640_1314">#REF!</definedName>
    <definedName name="A_ALL_SECTION_KEYWORDS_ISSR_208001640_1319">#REF!</definedName>
    <definedName name="A_ALL_SECTION_KEYWORDS_ISSR_208001640_131E">#REF!</definedName>
    <definedName name="A_ALL_SECTION_KEYWORDS_ISSR_208001640_13V">#REF!</definedName>
    <definedName name="A_ALL_SECTION_KEYWORDS_ISSR_208001765_1314">#REF!</definedName>
    <definedName name="A_ALL_SECTION_KEYWORDS_ISSR_208001765_13168">#REF!,#REF!</definedName>
    <definedName name="A_ALL_SECTION_KEYWORDS_ISSR_208001765_1316T">#REF!</definedName>
    <definedName name="A_ALL_SECTION_KEYWORDS_ISSR_208001765_1319">#REF!</definedName>
    <definedName name="A_ALL_SECTION_KEYWORDS_ISSR_208001765_131E">#REF!</definedName>
    <definedName name="A_ALL_SECTION_KEYWORDS_ISSR_208001765_136E">#REF!,#REF!</definedName>
    <definedName name="A_ALL_SECTION_KEYWORDS_ISSR_208001765_13V">#REF!,#REF!</definedName>
    <definedName name="A_ALL_SECTION_KEYWORDS_ISSR_208001785_13V">#REF!,#REF!</definedName>
    <definedName name="A_ALL_SECTION_KEYWORDS_ISSR_208002651_13V">#REF!,#REF!</definedName>
    <definedName name="A_ALL_SECTION_KEYWORDS_ISSR_208005795_136E">#REF!,#REF!</definedName>
    <definedName name="A_ALL_SECTION_KEYWORDS_ISSR_208006029_13V">#REF!,#REF!</definedName>
    <definedName name="A_ALL_SECTION_KEYWORDS_ISSR_208007452_136J">#REF!,#REF!</definedName>
    <definedName name="A_ALL_SECTION_KEYWORDS_ISSR_208007452_13V">#REF!,#REF!</definedName>
    <definedName name="A_ALL_SECTION_KEYWORDS_ISSR_208007986_13168">#REF!,#REF!</definedName>
    <definedName name="A_ALL_SECTION_KEYWORDS_ISSR_208007986_136E">#REF!,#REF!</definedName>
    <definedName name="A_ALL_SECTION_KEYWORDS_ISSR_208007986_13V">#REF!,#REF!</definedName>
    <definedName name="A_ALL_SECTION_KEYWORDS_ISSR_208008030_1316P">#REF!,#REF!</definedName>
    <definedName name="A_ALL_SECTION_KEYWORDS_ISSR_208008030_131Y">#REF!,#REF!</definedName>
    <definedName name="A_ALL_SECTION_KEYWORDS_ISSR_208008030_134L">#REF!,#REF!</definedName>
    <definedName name="A_ALL_SECTION_KEYWORDS_ISSR_208008836_136E">#REF!,#REF!</definedName>
    <definedName name="A_ALL_SECTION_KEYWORDS_ISSR_208009722_1314">#REF!</definedName>
    <definedName name="A_ALL_SECTION_KEYWORDS_ISSR_208009722_13168">#REF!</definedName>
    <definedName name="A_ALL_SECTION_KEYWORDS_ISSR_208009722_1319">#REF!</definedName>
    <definedName name="A_ALL_SECTION_KEYWORDS_ISSR_208009722_131E">#REF!</definedName>
    <definedName name="A_ALL_SECTION_KEYWORDS_ISSR_208009722_131J">#REF!</definedName>
    <definedName name="A_ALL_SECTION_KEYWORDS_ISSR_208009722_131O">#REF!</definedName>
    <definedName name="A_ALL_SECTION_KEYWORDS_ISSR_208009722_13A">#REF!</definedName>
    <definedName name="A_ALL_SECTION_KEYWORDS_ISSR_208009722_13U">#REF!</definedName>
    <definedName name="A_ALL_SECTION_KEYWORDS_ISSR_208009722_13V">#REF!</definedName>
    <definedName name="A_ALL_SECTION_KEYWORDS_ISSR_208009722_Reference_Data">#REF!</definedName>
    <definedName name="A_ALL_SECTION_KEYWORDS_ISSR_208011028_131O">#REF!,#REF!</definedName>
    <definedName name="A_ALL_SECTION_KEYWORDS_ISSR_208011556_1314">#REF!</definedName>
    <definedName name="A_ALL_SECTION_KEYWORDS_ISSR_208011556_13168">#REF!</definedName>
    <definedName name="A_ALL_SECTION_KEYWORDS_ISSR_208011556_1316T">#REF!</definedName>
    <definedName name="A_ALL_SECTION_KEYWORDS_ISSR_208011556_1316U">#REF!</definedName>
    <definedName name="A_ALL_SECTION_KEYWORDS_ISSR_208011556_1319">#REF!</definedName>
    <definedName name="A_ALL_SECTION_KEYWORDS_ISSR_208011556_131E">#REF!</definedName>
    <definedName name="A_ALL_SECTION_KEYWORDS_ISSR_208011556_131J">#REF!</definedName>
    <definedName name="A_ALL_SECTION_KEYWORDS_ISSR_208011556_131O">#REF!</definedName>
    <definedName name="A_ALL_SECTION_KEYWORDS_ISSR_208011556_136E">#REF!,#REF!</definedName>
    <definedName name="A_ALL_SECTION_KEYWORDS_ISSR_208011556_13A">#REF!</definedName>
    <definedName name="A_ALL_SECTION_KEYWORDS_ISSR_208011556_13U">#REF!</definedName>
    <definedName name="A_ALL_SECTION_KEYWORDS_ISSR_208011556_13V">#REF!</definedName>
    <definedName name="A_ALL_SECTION_KEYWORDS_ISSR_208011556_Reference_Data">#REF!</definedName>
    <definedName name="A_ALL_SECTION_KEYWORDS_ISSR_208011888_136E">#REF!,#REF!</definedName>
    <definedName name="A_ALL_SECTION_KEYWORDS_ISSR_208012959_13V">#REF!,#REF!</definedName>
    <definedName name="A_ALL_SECTION_KEYWORDS_ISSR_208013278_136E">#REF!,#REF!</definedName>
    <definedName name="A_ALL_SECTION_KEYWORDS_ISSR_208015351_13168">#REF!,#REF!</definedName>
    <definedName name="A_ALL_SECTION_KEYWORDS_ISSR_208015351_136E">#REF!,#REF!</definedName>
    <definedName name="A_ALL_SECTION_KEYWORDS_ISSR_208017249_13168">#REF!</definedName>
    <definedName name="A_ALL_SECTION_KEYWORDS_ISSR_208017249_1319">#REF!</definedName>
    <definedName name="A_ALL_SECTION_KEYWORDS_ISSR_208018132_131O">#REF!,#REF!</definedName>
    <definedName name="A_ALL_SECTION_KEYWORDS_ISSR_208018133_1314">#REF!</definedName>
    <definedName name="A_ALL_SECTION_KEYWORDS_ISSR_208018133_1319">#REF!</definedName>
    <definedName name="A_ALL_SECTION_KEYWORDS_ISSR_208018133_131E">#REF!</definedName>
    <definedName name="A_ALL_SECTION_KEYWORDS_ISSR_208018133_13V">#REF!,#REF!</definedName>
    <definedName name="A_ALL_SECTION_KEYWORDS_ISSR_208018253_131O">#REF!,#REF!</definedName>
    <definedName name="A_ALL_SECTION_KEYWORDS_ISSR_208020566_131O">#REF!,#REF!</definedName>
    <definedName name="A_ALL_SECTION_KEYWORDS_ISSR_208020919_131O">#REF!,#REF!</definedName>
    <definedName name="A_ALL_SECTION_KEYWORDS_ISSR_208020919_136J">#REF!,#REF!</definedName>
    <definedName name="A_ALL_SECTIONS_EQTY_200000304">#REF!,#REF!,#REF!,#REF!,#REF!,#REF!,#REF!,#REF!,#REF!,#REF!</definedName>
    <definedName name="A_ALL_SECTIONS_EQTY_200001265">#REF!,#REF!,#REF!,#REF!,#REF!,#REF!,#REF!,#REF!,#REF!,#REF!</definedName>
    <definedName name="A_ALL_SECTIONS_EQTY_200001320">#REF!,#REF!,#REF!,#REF!,#REF!,#REF!,#REF!,#REF!,#REF!,#REF!</definedName>
    <definedName name="A_ALL_SECTIONS_EQTY_200001330">#REF!,#REF!,#REF!,#REF!,#REF!,#REF!,#REF!,#REF!,#REF!,#REF!</definedName>
    <definedName name="A_ALL_SECTIONS_EQTY_200001353">#REF!,#REF!,#REF!,#REF!,#REF!,#REF!,#REF!,#REF!</definedName>
    <definedName name="A_ALL_SECTIONS_EQTY_200001371">#REF!,#REF!,#REF!,#REF!,#REF!,#REF!,#REF!,#REF!</definedName>
    <definedName name="A_ALL_SECTIONS_EQTY_200001381">#REF!,#REF!,#REF!,#REF!,#REF!,#REF!,#REF!,#REF!,#REF!,#REF!</definedName>
    <definedName name="A_ALL_SECTIONS_EQTY_200001646">#REF!,#REF!,#REF!,#REF!,#REF!,#REF!,#REF!,#REF!,#REF!,#REF!,#REF!</definedName>
    <definedName name="A_ALL_SECTIONS_EQTY_200002831">#REF!,#REF!,#REF!,#REF!,#REF!,#REF!,#REF!,#REF!,#REF!,#REF!</definedName>
    <definedName name="A_ALL_SECTIONS_EQTY_200002833">#REF!,#REF!,#REF!,#REF!,#REF!,#REF!,#REF!,#REF!,#REF!,#REF!</definedName>
    <definedName name="A_ALL_SECTIONS_EQTY_200003037">#REF!,#REF!,#REF!,#REF!,#REF!,#REF!,#REF!,#REF!,#REF!,#REF!</definedName>
    <definedName name="A_ALL_SECTIONS_EQTY_200003892">#REF!,#REF!,#REF!,#REF!,#REF!,#REF!,#REF!,#REF!,#REF!,#REF!</definedName>
    <definedName name="A_ALL_SECTIONS_EQTY_200004419">#REF!,#REF!,#REF!,#REF!,#REF!,#REF!,#REF!,#REF!,#REF!,#REF!</definedName>
    <definedName name="A_ALL_SECTIONS_EQTY_200005326">#REF!,#REF!,#REF!,#REF!,#REF!,#REF!,#REF!,#REF!,#REF!,#REF!</definedName>
    <definedName name="A_ALL_SECTIONS_EQTY_200006232">#REF!,#REF!,#REF!,#REF!,#REF!,#REF!,#REF!,#REF!,#REF!,#REF!</definedName>
    <definedName name="A_ALL_SECTIONS_EQTY_200009556">#REF!,#REF!,#REF!,#REF!,#REF!,#REF!,#REF!,#REF!,#REF!,#REF!</definedName>
    <definedName name="A_ALL_SECTIONS_EQTY_200011598">#REF!,#REF!,#REF!,#REF!,#REF!,#REF!,#REF!,#REF!,#REF!,#REF!</definedName>
    <definedName name="A_ALL_SECTIONS_EQTY_200012762">#REF!,#REF!,#REF!,#REF!,#REF!,#REF!,#REF!,#REF!,#REF!,#REF!</definedName>
    <definedName name="A_ALL_SECTIONS_EQTY_200014300">#REF!,#REF!,#REF!,#REF!,#REF!,#REF!,#REF!,#REF!,#REF!,#REF!</definedName>
    <definedName name="A_ALL_SECTIONS_EQTY_200014493">#REF!,#REF!,#REF!,#REF!,#REF!,#REF!,#REF!,#REF!,#REF!,#REF!</definedName>
    <definedName name="A_ALL_SECTIONS_EQTY_200014750">#REF!,#REF!,#REF!,#REF!,#REF!,#REF!,#REF!,#REF!,#REF!,#REF!</definedName>
    <definedName name="A_ALL_SECTIONS_EQTY_200015107">#REF!,#REF!,#REF!,#REF!,#REF!,#REF!,#REF!,#REF!,#REF!,#REF!</definedName>
    <definedName name="A_ALL_SECTIONS_EQTY_200015716">#REF!,#REF!,#REF!,#REF!,#REF!,#REF!,#REF!,#REF!,#REF!,#REF!</definedName>
    <definedName name="A_ALL_SECTIONS_EQTY_200015757">#REF!,#REF!,#REF!,#REF!,#REF!,#REF!,#REF!,#REF!,#REF!,#REF!,#REF!</definedName>
    <definedName name="A_ALL_SECTIONS_EQTY_200016026">#REF!,#REF!,#REF!,#REF!,#REF!,#REF!,#REF!,#REF!,#REF!,#REF!,#REF!</definedName>
    <definedName name="A_ALL_SECTIONS_EQTY_200017745">#REF!,#REF!,#REF!,#REF!,#REF!,#REF!,#REF!,#REF!,#REF!,#REF!</definedName>
    <definedName name="A_ALL_SECTIONS_ISSR_208000430">#REF!,#REF!,#REF!,#REF!,#REF!,#REF!,#REF!,#REF!,#REF!,#REF!,#REF!</definedName>
    <definedName name="A_ALL_SECTIONS_ISSR_208000451">#REF!,#REF!,#REF!,#REF!,#REF!,#REF!,#REF!,#REF!,#REF!,#REF!</definedName>
    <definedName name="A_ALL_SECTIONS_ISSR_208000603">#REF!,#REF!,#REF!,#REF!,#REF!,#REF!,#REF!,#REF!,#REF!,#REF!,#REF!</definedName>
    <definedName name="A_ALL_SECTIONS_ISSR_208000977">#REF!,#REF!,#REF!,#REF!,#REF!,#REF!,#REF!,#REF!,#REF!,#REF!,#REF!</definedName>
    <definedName name="A_ALL_SECTIONS_ISSR_208001049">#REF!,#REF!,#REF!,#REF!,#REF!,#REF!,#REF!,#REF!,#REF!,#REF!,#REF!</definedName>
    <definedName name="A_ALL_SECTIONS_ISSR_208001137">#REF!,#REF!,#REF!,#REF!,#REF!,#REF!,#REF!,#REF!,#REF!,#REF!,#REF!</definedName>
    <definedName name="A_ALL_SECTIONS_ISSR_208001258">#REF!,#REF!,#REF!,#REF!,#REF!,#REF!,#REF!,#REF!,#REF!,#REF!,#REF!</definedName>
    <definedName name="A_ALL_SECTIONS_ISSR_208001515">#REF!,#REF!,#REF!,#REF!,#REF!,#REF!,#REF!,#REF!,#REF!,#REF!</definedName>
    <definedName name="A_ALL_SECTIONS_ISSR_208005795">#REF!,#REF!,#REF!,#REF!,#REF!,#REF!,#REF!,#REF!,#REF!,#REF!,#REF!</definedName>
    <definedName name="A_ALL_SECTIONS_ISSR_208007359">#REF!,#REF!,#REF!,#REF!,#REF!,#REF!,#REF!,#REF!,#REF!,#REF!</definedName>
    <definedName name="A_ALL_SECTIONS_ISSR_208009722">#REF!,#REF!,#REF!,#REF!,#REF!,#REF!,#REF!,#REF!,#REF!,#REF!</definedName>
    <definedName name="A_ALL_SECTIONS_ISSR_208010209">#REF!,#REF!,#REF!,#REF!,#REF!,#REF!,#REF!,#REF!,#REF!,#REF!,#REF!</definedName>
    <definedName name="A_ALL_SECTIONS_ISSR_208011072">#REF!,#REF!,#REF!,#REF!,#REF!,#REF!,#REF!,#REF!,#REF!,#REF!,#REF!</definedName>
    <definedName name="A_ALL_SECTIONS_ISSR_208011212">#REF!,#REF!,#REF!,#REF!,#REF!,#REF!,#REF!,#REF!,#REF!,#REF!,#REF!</definedName>
    <definedName name="A_ALL_SECTIONS_ISSR_208012959">#REF!,#REF!,#REF!,#REF!,#REF!,#REF!,#REF!,#REF!,#REF!,#REF!,#REF!,#REF!,#REF!</definedName>
    <definedName name="A_ALL_SECTIONS_ISSR_208015351">#REF!,#REF!,#REF!,#REF!,#REF!,#REF!,#REF!,#REF!,#REF!,#REF!,#REF!</definedName>
    <definedName name="A_ALL_SEMI">#REF!</definedName>
    <definedName name="A_ALL_T">#REF!</definedName>
    <definedName name="A_ALL_TEL">#REF!</definedName>
    <definedName name="A_ALL_TMUS">#REF!</definedName>
    <definedName name="A_ALL_TWKS">#REF!</definedName>
    <definedName name="A_ALL_VMW_">#REF!</definedName>
    <definedName name="A_ALL_VSM">#REF!</definedName>
    <definedName name="A_ALL_VZ">#REF!</definedName>
    <definedName name="A_ALL_WIN_">#REF!</definedName>
    <definedName name="A_ALL_ZAYO">#REF!</definedName>
    <definedName name="A_ALL_ZS">#REF!</definedName>
    <definedName name="A_ALL_ZS_OLD">#REF!</definedName>
    <definedName name="A_CONSTANT">#REF!,#REF!,#REF!,#REF!,#REF!</definedName>
    <definedName name="A_CURRENCY_EQTY_200001646_PRI">#REF!</definedName>
    <definedName name="A_CURRENCY_EQTY_200001646_PUB">#REF!</definedName>
    <definedName name="A_CURRENCY_EQTY_200001646_REP">#REF!</definedName>
    <definedName name="A_CURRENCY_EQTY_200002831_PRI">#REF!</definedName>
    <definedName name="A_CURRENCY_EQTY_200002831_PUB">#REF!</definedName>
    <definedName name="A_CURRENCY_EQTY_200002831_REP">#REF!</definedName>
    <definedName name="A_CURRENCY_EQTY_200004419_PRI">#REF!</definedName>
    <definedName name="A_CURRENCY_EQTY_200004419_PUB">#REF!</definedName>
    <definedName name="A_CURRENCY_EQTY_200004419_REP">#REF!</definedName>
    <definedName name="A_CURRENCY_EQTY_200012762_PRI">#REF!</definedName>
    <definedName name="A_CURRENCY_EQTY_200012762_PUB">#REF!</definedName>
    <definedName name="A_CURRENCY_EQTY_200012762_REP">#REF!</definedName>
    <definedName name="A_CURRENCY_EQTY_200014750_PRI">#REF!</definedName>
    <definedName name="A_CURRENCY_EQTY_200014750_PUB">#REF!</definedName>
    <definedName name="A_CURRENCY_EQTY_200014750_REP">#REF!</definedName>
    <definedName name="A_CURRENCY_ISSR_208000603_REP">#REF!</definedName>
    <definedName name="A_CURRENCY_ISSR_208000976_REP">#REF!</definedName>
    <definedName name="A_CURRENCY_ISSR_208001258_REP">#REF!</definedName>
    <definedName name="A_CURRENCY_ISSR_208009722_REP">#REF!</definedName>
    <definedName name="A_CURRENCY_ISSR_208011556_REP">#REF!</definedName>
    <definedName name="A_detail">#REF!,#REF!,#REF!,#REF!,#REF!,#REF!,#REF!</definedName>
    <definedName name="A_ENTITY_DATA_EQTY_200001646">#REF!</definedName>
    <definedName name="A_ENTITY_DATA_EQTY_200012762">#REF!</definedName>
    <definedName name="A_ENTITY_DATA_ISSR_208000603">#REF!</definedName>
    <definedName name="A_ENTITY_DATA_ISSR_208009722">#REF!</definedName>
    <definedName name="a_is">#REF!</definedName>
    <definedName name="A_KEYWORD_EQTY_200001646_ACT1">#REF!</definedName>
    <definedName name="A_KEYWORD_EQTY_200001646_AMER_CONVICTION">#REF!</definedName>
    <definedName name="A_KEYWORD_EQTY_200001646_AMER_LIST">#REF!</definedName>
    <definedName name="A_KEYWORD_EQTY_200001646_BETA_ANALYST">#REF!</definedName>
    <definedName name="A_KEYWORD_EQTY_200001646_BVPS">#REF!</definedName>
    <definedName name="A_KEYWORD_EQTY_200001646_BVPS_PUB">#REF!</definedName>
    <definedName name="A_KEYWORD_EQTY_200001646_CF_NI_PRE_PREF">#REF!</definedName>
    <definedName name="A_KEYWORD_EQTY_200001646_COMMON_DIV_PAID">#REF!</definedName>
    <definedName name="A_KEYWORD_EQTY_200001646_CURRENCY_ISO">#REF!</definedName>
    <definedName name="A_KEYWORD_EQTY_200001646_DILUTE_SHARES">#REF!</definedName>
    <definedName name="A_KEYWORD_EQTY_200001646_DPS">#REF!</definedName>
    <definedName name="A_KEYWORD_EQTY_200001646_DPS_PUB">#REF!</definedName>
    <definedName name="A_KEYWORD_EQTY_200001646_EBIT_PUB">#REF!</definedName>
    <definedName name="A_KEYWORD_EQTY_200001646_EBITDA_PUB">#REF!</definedName>
    <definedName name="A_KEYWORD_EQTY_200001646_EPS">#REF!</definedName>
    <definedName name="A_KEYWORD_EQTY_200001646_EPS_EX_ESO_B">#REF!</definedName>
    <definedName name="A_KEYWORD_EQTY_200001646_EPS_EX_ESO_D">#REF!</definedName>
    <definedName name="A_KEYWORD_EQTY_200001646_EPS_FUL_DIL">#REF!</definedName>
    <definedName name="A_KEYWORD_EQTY_200001646_EPS_POST_BASIC">#REF!</definedName>
    <definedName name="A_KEYWORD_EQTY_200001646_EPS_PUB">#REF!</definedName>
    <definedName name="A_KEYWORD_EQTY_200001646_EPS_PUB_EX_ESO">#REF!</definedName>
    <definedName name="A_KEYWORD_EQTY_200001646_EQ_PUB">#REF!</definedName>
    <definedName name="A_KEYWORD_EQTY_200001646_ESO_POST_TAX">#REF!</definedName>
    <definedName name="A_KEYWORD_EQTY_200001646_ESO_YEAR">#REF!</definedName>
    <definedName name="A_KEYWORD_EQTY_200001646_EV_ADJ_PUB">#REF!</definedName>
    <definedName name="A_KEYWORD_EQTY_200001646_FREE_FLOAT">#REF!</definedName>
    <definedName name="A_KEYWORD_EQTY_200001646_FULLY_DIL_EPS">#REF!</definedName>
    <definedName name="A_KEYWORD_EQTY_200001646_FV_GRANT">#REF!</definedName>
    <definedName name="A_KEYWORD_EQTY_200001646_GT_BETA">#REF!</definedName>
    <definedName name="A_KEYWORD_EQTY_200001646_INC_MINORITY">#REF!</definedName>
    <definedName name="A_KEYWORD_EQTY_200001646_Interim_Type">#REF!</definedName>
    <definedName name="A_KEYWORD_EQTY_200001646_LEGAL_RATING">#REF!</definedName>
    <definedName name="A_KEYWORD_EQTY_200001646_MARGIN_TAX_RATE">#REF!</definedName>
    <definedName name="A_KEYWORD_EQTY_200001646_MKT_EQ_RISK_PREM">#REF!</definedName>
    <definedName name="A_KEYWORD_EQTY_200001646_NET_DEBT_PUB">#REF!</definedName>
    <definedName name="A_KEYWORD_EQTY_200001646_NET_EARNING">#REF!</definedName>
    <definedName name="A_KEYWORD_EQTY_200001646_NET_INC">#REF!</definedName>
    <definedName name="A_KEYWORD_EQTY_200001646_NI_PRE_PREF">#REF!</definedName>
    <definedName name="A_KEYWORD_EQTY_200001646_NI_PUB">#REF!</definedName>
    <definedName name="A_KEYWORD_EQTY_200001646_NON_OP_ADD">#REF!</definedName>
    <definedName name="A_KEYWORD_EQTY_200001646_NUM_SH">#REF!</definedName>
    <definedName name="A_KEYWORD_EQTY_200001646_PREF_DIV">#REF!</definedName>
    <definedName name="A_KEYWORD_EQTY_200001646_PRICE_CURRENCY_ISO">#REF!</definedName>
    <definedName name="A_KEYWORD_EQTY_200001646_PROV_INC_TAX">#REF!</definedName>
    <definedName name="A_KEYWORD_EQTY_200001646_PTP_PUB">#REF!</definedName>
    <definedName name="A_KEYWORD_EQTY_200001646_PUB_CURRENCY_ISO">#REF!</definedName>
    <definedName name="A_KEYWORD_EQTY_200001646_REPUR_ACTUAL">#REF!</definedName>
    <definedName name="A_KEYWORD_EQTY_200001646_REPUR_REMAINING">#REF!</definedName>
    <definedName name="A_KEYWORD_EQTY_200001646_REPUR_SUSPENDED">#REF!</definedName>
    <definedName name="A_KEYWORD_EQTY_200001646_REPUR_TOT_AUTH">#REF!</definedName>
    <definedName name="A_KEYWORD_EQTY_200001646_REVS_PUB">#REF!</definedName>
    <definedName name="A_KEYWORD_EQTY_200001646_RISK_FR_RATE">#REF!</definedName>
    <definedName name="A_KEYWORD_EQTY_200001646_Security_Name">#REF!</definedName>
    <definedName name="A_KEYWORD_EQTY_200001646_SH">#REF!</definedName>
    <definedName name="A_KEYWORD_EQTY_200001646_TARGET_PRICE">#REF!</definedName>
    <definedName name="A_KEYWORD_EQTY_200001646_TAX_EXC">#REF!</definedName>
    <definedName name="A_KEYWORD_EQTY_200001646_Ticker">#REF!</definedName>
    <definedName name="A_KEYWORD_EQTY_200001646_TP_PERIOD">#REF!</definedName>
    <definedName name="A_KEYWORD_EQTY_200002831_ACT1">#REF!</definedName>
    <definedName name="A_KEYWORD_EQTY_200002831_ACT2">#REF!</definedName>
    <definedName name="A_KEYWORD_EQTY_200002831_ACT3">#REF!</definedName>
    <definedName name="A_KEYWORD_EQTY_200002831_ACT4">#REF!</definedName>
    <definedName name="A_KEYWORD_EQTY_200002831_ACT5">#REF!</definedName>
    <definedName name="A_KEYWORD_EQTY_200002831_ACT6">#REF!</definedName>
    <definedName name="A_KEYWORD_EQTY_200002831_ACT7">#REF!</definedName>
    <definedName name="A_KEYWORD_EQTY_200002831_ACT8">#REF!</definedName>
    <definedName name="A_KEYWORD_EQTY_200002831_ACT9">#REF!</definedName>
    <definedName name="A_KEYWORD_EQTY_200002831_AMER_CONVICTION">#REF!</definedName>
    <definedName name="A_KEYWORD_EQTY_200002831_AMER_LIST">#REF!</definedName>
    <definedName name="A_KEYWORD_EQTY_200002831_BETA_ANALYST">#REF!</definedName>
    <definedName name="A_KEYWORD_EQTY_200002831_BVPS">#REF!</definedName>
    <definedName name="A_KEYWORD_EQTY_200002831_BVPS_PUB">#REF!</definedName>
    <definedName name="A_KEYWORD_EQTY_200002831_CF_NI_PRE_PREF">#REF!</definedName>
    <definedName name="A_KEYWORD_EQTY_200002831_COMMON_DIV_PAID">#REF!</definedName>
    <definedName name="A_KEYWORD_EQTY_200002831_CURRENCY_ISO">#REF!</definedName>
    <definedName name="A_KEYWORD_EQTY_200002831_DILUTE_SHARES">#REF!</definedName>
    <definedName name="A_KEYWORD_EQTY_200002831_DPS">#REF!</definedName>
    <definedName name="A_KEYWORD_EQTY_200002831_DPS_PUB">#REF!</definedName>
    <definedName name="A_KEYWORD_EQTY_200002831_EBIT_PUB">#REF!</definedName>
    <definedName name="A_KEYWORD_EQTY_200002831_EBITDA_PUB">#REF!</definedName>
    <definedName name="A_KEYWORD_EQTY_200002831_EPS">#REF!</definedName>
    <definedName name="A_KEYWORD_EQTY_200002831_EPS_EX_ESO_B">#REF!</definedName>
    <definedName name="A_KEYWORD_EQTY_200002831_EPS_EX_ESO_D">#REF!</definedName>
    <definedName name="A_KEYWORD_EQTY_200002831_EPS_FUL_DIL">#REF!</definedName>
    <definedName name="A_KEYWORD_EQTY_200002831_EPS_POST_BASIC">#REF!</definedName>
    <definedName name="A_KEYWORD_EQTY_200002831_EPS_PUB">#REF!</definedName>
    <definedName name="A_KEYWORD_EQTY_200002831_EPS_PUB_EX_ESO">#REF!</definedName>
    <definedName name="A_KEYWORD_EQTY_200002831_EQ_PUB">#REF!</definedName>
    <definedName name="A_KEYWORD_EQTY_200002831_ESO_POST_TAX">#REF!</definedName>
    <definedName name="A_KEYWORD_EQTY_200002831_ESO_YEAR">#REF!</definedName>
    <definedName name="A_KEYWORD_EQTY_200002831_EV_ADJ_PUB">#REF!</definedName>
    <definedName name="A_KEYWORD_EQTY_200002831_FREE_FLOAT">#REF!</definedName>
    <definedName name="A_KEYWORD_EQTY_200002831_FULLY_DIL_EPS">#REF!</definedName>
    <definedName name="A_KEYWORD_EQTY_200002831_FV_GRANT">#REF!</definedName>
    <definedName name="A_KEYWORD_EQTY_200002831_INC_MINORITY">#REF!</definedName>
    <definedName name="A_KEYWORD_EQTY_200002831_Interim_Type">#REF!</definedName>
    <definedName name="A_KEYWORD_EQTY_200002831_LEGAL_RATING">#REF!</definedName>
    <definedName name="A_KEYWORD_EQTY_200002831_MARGIN_TAX_RATE">#REF!</definedName>
    <definedName name="A_KEYWORD_EQTY_200002831_MKT_EQ_RISK_PREM">#REF!</definedName>
    <definedName name="A_KEYWORD_EQTY_200002831_NET_DEBT_PUB">#REF!</definedName>
    <definedName name="A_KEYWORD_EQTY_200002831_NET_EARNING">#REF!</definedName>
    <definedName name="A_KEYWORD_EQTY_200002831_NET_INC">#REF!</definedName>
    <definedName name="A_KEYWORD_EQTY_200002831_NI_PRE_PREF">#REF!</definedName>
    <definedName name="A_KEYWORD_EQTY_200002831_NI_PUB">#REF!</definedName>
    <definedName name="A_KEYWORD_EQTY_200002831_NON_OP_ADD">#REF!</definedName>
    <definedName name="A_KEYWORD_EQTY_200002831_NUM_SH">#REF!</definedName>
    <definedName name="A_KEYWORD_EQTY_200002831_PREF_DIV">#REF!</definedName>
    <definedName name="A_KEYWORD_EQTY_200002831_PRICE_CURRENCY_ISO">#REF!</definedName>
    <definedName name="A_KEYWORD_EQTY_200002831_PROV_INC_TAX">#REF!</definedName>
    <definedName name="A_KEYWORD_EQTY_200002831_PTP_PUB">#REF!</definedName>
    <definedName name="A_KEYWORD_EQTY_200002831_PUB_CURRENCY_ISO">#REF!</definedName>
    <definedName name="A_KEYWORD_EQTY_200002831_REPUR_ACTUAL">#REF!</definedName>
    <definedName name="A_KEYWORD_EQTY_200002831_REPUR_REMAINING">#REF!</definedName>
    <definedName name="A_KEYWORD_EQTY_200002831_REPUR_SUSPENDED">#REF!</definedName>
    <definedName name="A_KEYWORD_EQTY_200002831_REPUR_TOT_AUTH">#REF!</definedName>
    <definedName name="A_KEYWORD_EQTY_200002831_REVS_PUB">#REF!</definedName>
    <definedName name="A_KEYWORD_EQTY_200002831_RISK_FR_RATE">#REF!</definedName>
    <definedName name="A_KEYWORD_EQTY_200002831_Security_Name">#REF!</definedName>
    <definedName name="A_KEYWORD_EQTY_200002831_SH">#REF!</definedName>
    <definedName name="A_KEYWORD_EQTY_200002831_TARGET_PRICE">#REF!</definedName>
    <definedName name="A_KEYWORD_EQTY_200002831_TAX_EXC">#REF!</definedName>
    <definedName name="A_KEYWORD_EQTY_200002831_Ticker">#REF!</definedName>
    <definedName name="A_KEYWORD_EQTY_200002831_TP_PERIOD">#REF!</definedName>
    <definedName name="A_KEYWORD_EQTY_200004419_ACT1">#REF!</definedName>
    <definedName name="A_KEYWORD_EQTY_200004419_ACT2">#REF!</definedName>
    <definedName name="A_KEYWORD_EQTY_200004419_ACT3">#REF!</definedName>
    <definedName name="A_KEYWORD_EQTY_200004419_ACT4">#REF!</definedName>
    <definedName name="A_KEYWORD_EQTY_200004419_ACT5">#REF!</definedName>
    <definedName name="A_KEYWORD_EQTY_200004419_ACT6">#REF!</definedName>
    <definedName name="A_KEYWORD_EQTY_200004419_ACT7">#REF!</definedName>
    <definedName name="A_KEYWORD_EQTY_200004419_ACT8">#REF!</definedName>
    <definedName name="A_KEYWORD_EQTY_200004419_ACT9">#REF!</definedName>
    <definedName name="A_KEYWORD_EQTY_200004419_AMER_CONVICTION">#REF!</definedName>
    <definedName name="A_KEYWORD_EQTY_200004419_AMER_LIST">#REF!</definedName>
    <definedName name="A_KEYWORD_EQTY_200004419_BETA_ANALYST">#REF!</definedName>
    <definedName name="A_KEYWORD_EQTY_200004419_BVPS">#REF!</definedName>
    <definedName name="A_KEYWORD_EQTY_200004419_BVPS_PUB">#REF!</definedName>
    <definedName name="A_KEYWORD_EQTY_200004419_CEEE_EPS">#REF!</definedName>
    <definedName name="A_KEYWORD_EQTY_200004419_CF_NI_PRE_PREF">#REF!</definedName>
    <definedName name="A_KEYWORD_EQTY_200004419_COMMON_DIV_PAID">#REF!</definedName>
    <definedName name="A_KEYWORD_EQTY_200004419_CURRENCY_ISO">#REF!</definedName>
    <definedName name="A_KEYWORD_EQTY_200004419_DILUTE_SHARES">#REF!</definedName>
    <definedName name="A_KEYWORD_EQTY_200004419_DPS">#REF!</definedName>
    <definedName name="A_KEYWORD_EQTY_200004419_DPS_PUB">#REF!</definedName>
    <definedName name="A_KEYWORD_EQTY_200004419_EBIT_PUB">#REF!</definedName>
    <definedName name="A_KEYWORD_EQTY_200004419_EBITDA_PUB">#REF!</definedName>
    <definedName name="A_KEYWORD_EQTY_200004419_EPS">#REF!</definedName>
    <definedName name="A_KEYWORD_EQTY_200004419_EPS_EX_ESO_B">#REF!</definedName>
    <definedName name="A_KEYWORD_EQTY_200004419_EPS_EX_ESO_D">#REF!</definedName>
    <definedName name="A_KEYWORD_EQTY_200004419_EPS_FUL_DIL">#REF!</definedName>
    <definedName name="A_KEYWORD_EQTY_200004419_EPS_POST_BASIC">#REF!</definedName>
    <definedName name="A_KEYWORD_EQTY_200004419_EPS_PUB">#REF!</definedName>
    <definedName name="A_KEYWORD_EQTY_200004419_EPS_PUB_EX_ESO">#REF!</definedName>
    <definedName name="A_KEYWORD_EQTY_200004419_EQ_PUB">#REF!</definedName>
    <definedName name="A_KEYWORD_EQTY_200004419_ESO_POST_TAX">#REF!</definedName>
    <definedName name="A_KEYWORD_EQTY_200004419_ESO_YEAR">#REF!</definedName>
    <definedName name="A_KEYWORD_EQTY_200004419_EV_ADJ_PUB">#REF!</definedName>
    <definedName name="A_KEYWORD_EQTY_200004419_FREE_FLOAT">#REF!</definedName>
    <definedName name="A_KEYWORD_EQTY_200004419_FULLY_DIL_EPS">#REF!</definedName>
    <definedName name="A_KEYWORD_EQTY_200004419_FV_GRANT">#REF!</definedName>
    <definedName name="A_KEYWORD_EQTY_200004419_INC_MINORITY">#REF!</definedName>
    <definedName name="A_KEYWORD_EQTY_200004419_Interim_Type">#REF!</definedName>
    <definedName name="A_KEYWORD_EQTY_200004419_LEGAL_RATING">#REF!</definedName>
    <definedName name="A_KEYWORD_EQTY_200004419_MARGIN_TAX_RATE">#REF!</definedName>
    <definedName name="A_KEYWORD_EQTY_200004419_MKT_EQ_RISK_PREM">#REF!</definedName>
    <definedName name="A_KEYWORD_EQTY_200004419_NET_DEBT_PUB">#REF!</definedName>
    <definedName name="A_KEYWORD_EQTY_200004419_NET_EARNING">#REF!</definedName>
    <definedName name="A_KEYWORD_EQTY_200004419_NET_INC">#REF!</definedName>
    <definedName name="A_KEYWORD_EQTY_200004419_NI_PRE_PREF">#REF!</definedName>
    <definedName name="A_KEYWORD_EQTY_200004419_NI_PUB">#REF!</definedName>
    <definedName name="A_KEYWORD_EQTY_200004419_NON_OP_ADD">#REF!</definedName>
    <definedName name="A_KEYWORD_EQTY_200004419_NUM_SH">#REF!</definedName>
    <definedName name="A_KEYWORD_EQTY_200004419_PREF_DIV">#REF!</definedName>
    <definedName name="A_KEYWORD_EQTY_200004419_PRICE_CURRENCY_ISO">#REF!</definedName>
    <definedName name="A_KEYWORD_EQTY_200004419_PROV_INC_TAX">#REF!</definedName>
    <definedName name="A_KEYWORD_EQTY_200004419_PTP_PUB">#REF!</definedName>
    <definedName name="A_KEYWORD_EQTY_200004419_PUB_CURRENCY_ISO">#REF!</definedName>
    <definedName name="A_KEYWORD_EQTY_200004419_REPUR_ACTUAL">#REF!</definedName>
    <definedName name="A_KEYWORD_EQTY_200004419_REPUR_REMAINING">#REF!</definedName>
    <definedName name="A_KEYWORD_EQTY_200004419_REPUR_SUSPENDED">#REF!</definedName>
    <definedName name="A_KEYWORD_EQTY_200004419_REPUR_TOT_AUTH">#REF!</definedName>
    <definedName name="A_KEYWORD_EQTY_200004419_REVS_PUB">#REF!</definedName>
    <definedName name="A_KEYWORD_EQTY_200004419_RISK_FR_RATE">#REF!</definedName>
    <definedName name="A_KEYWORD_EQTY_200004419_Security_Name">#REF!</definedName>
    <definedName name="A_KEYWORD_EQTY_200004419_SH">#REF!</definedName>
    <definedName name="A_KEYWORD_EQTY_200004419_TARGET_PRICE">#REF!</definedName>
    <definedName name="A_KEYWORD_EQTY_200004419_TAX_EXC">#REF!</definedName>
    <definedName name="A_KEYWORD_EQTY_200004419_Ticker">#REF!</definedName>
    <definedName name="A_KEYWORD_EQTY_200004419_TP_PERIOD">#REF!</definedName>
    <definedName name="A_KEYWORD_EQTY_200012762_AMER_CONVICTION">#REF!</definedName>
    <definedName name="A_KEYWORD_EQTY_200012762_AMER_LIST">#REF!</definedName>
    <definedName name="A_KEYWORD_EQTY_200012762_BETA_ANALYST">#REF!</definedName>
    <definedName name="A_KEYWORD_EQTY_200012762_BVPS">#REF!</definedName>
    <definedName name="A_KEYWORD_EQTY_200012762_BVPS_PUB">#REF!</definedName>
    <definedName name="A_KEYWORD_EQTY_200012762_CEEE_EPS">#REF!</definedName>
    <definedName name="A_KEYWORD_EQTY_200012762_CF_NI_PRE_PREF">#REF!</definedName>
    <definedName name="A_KEYWORD_EQTY_200012762_COMMON_DIV_PAID">#REF!</definedName>
    <definedName name="A_KEYWORD_EQTY_200012762_CURRENCY_ISO">#REF!</definedName>
    <definedName name="A_KEYWORD_EQTY_200012762_DILUTE_SHARES">#REF!</definedName>
    <definedName name="A_KEYWORD_EQTY_200012762_DPS">#REF!</definedName>
    <definedName name="A_KEYWORD_EQTY_200012762_DPS_PUB">#REF!</definedName>
    <definedName name="A_KEYWORD_EQTY_200012762_EBIT_PUB">#REF!</definedName>
    <definedName name="A_KEYWORD_EQTY_200012762_EBITDA_PUB">#REF!</definedName>
    <definedName name="A_KEYWORD_EQTY_200012762_EPS">#REF!</definedName>
    <definedName name="A_KEYWORD_EQTY_200012762_EPS_EX_ESO_B">#REF!</definedName>
    <definedName name="A_KEYWORD_EQTY_200012762_EPS_EX_ESO_D">#REF!</definedName>
    <definedName name="A_KEYWORD_EQTY_200012762_EPS_FUL_DIL">#REF!</definedName>
    <definedName name="A_KEYWORD_EQTY_200012762_EPS_POST_BASIC">#REF!</definedName>
    <definedName name="A_KEYWORD_EQTY_200012762_EPS_PUB">#REF!</definedName>
    <definedName name="A_KEYWORD_EQTY_200012762_EPS_PUB_EX_ESO">#REF!</definedName>
    <definedName name="A_KEYWORD_EQTY_200012762_EQ_PUB">#REF!</definedName>
    <definedName name="A_KEYWORD_EQTY_200012762_ESO_POST_TAX">#REF!</definedName>
    <definedName name="A_KEYWORD_EQTY_200012762_ESO_YEAR">#REF!</definedName>
    <definedName name="A_KEYWORD_EQTY_200012762_EV_ADJ_PUB">#REF!</definedName>
    <definedName name="A_KEYWORD_EQTY_200012762_FREE_FLOAT">#REF!</definedName>
    <definedName name="A_KEYWORD_EQTY_200012762_FULLY_DIL_EPS">#REF!</definedName>
    <definedName name="A_KEYWORD_EQTY_200012762_FV_GRANT">#REF!</definedName>
    <definedName name="A_KEYWORD_EQTY_200012762_INC_MINORITY">#REF!</definedName>
    <definedName name="A_KEYWORD_EQTY_200012762_Interim_Type">#REF!</definedName>
    <definedName name="A_KEYWORD_EQTY_200012762_LEGAL_RATING">#REF!</definedName>
    <definedName name="A_KEYWORD_EQTY_200012762_MARGIN_TAX_RATE">#REF!</definedName>
    <definedName name="A_KEYWORD_EQTY_200012762_MKT_EQ_RISK_PREM">#REF!</definedName>
    <definedName name="A_KEYWORD_EQTY_200012762_NET_DEBT_PUB">#REF!</definedName>
    <definedName name="A_KEYWORD_EQTY_200012762_NET_EARNING">#REF!</definedName>
    <definedName name="A_KEYWORD_EQTY_200012762_NET_INC">#REF!</definedName>
    <definedName name="A_KEYWORD_EQTY_200012762_NI_PRE_PREF">#REF!</definedName>
    <definedName name="A_KEYWORD_EQTY_200012762_NI_PUB">#REF!</definedName>
    <definedName name="A_KEYWORD_EQTY_200012762_NON_OP_ADD">#REF!</definedName>
    <definedName name="A_KEYWORD_EQTY_200012762_NUM_SH">#REF!</definedName>
    <definedName name="A_KEYWORD_EQTY_200012762_PREF_DIV">#REF!</definedName>
    <definedName name="A_KEYWORD_EQTY_200012762_PRICE_CURRENCY_ISO">#REF!</definedName>
    <definedName name="A_KEYWORD_EQTY_200012762_PROV_INC_TAX">#REF!</definedName>
    <definedName name="A_KEYWORD_EQTY_200012762_PTP_PUB">#REF!</definedName>
    <definedName name="A_KEYWORD_EQTY_200012762_PUB_CURRENCY_ISO">#REF!</definedName>
    <definedName name="A_KEYWORD_EQTY_200012762_REPUR_ACTUAL">#REF!</definedName>
    <definedName name="A_KEYWORD_EQTY_200012762_REPUR_REMAINING">#REF!</definedName>
    <definedName name="A_KEYWORD_EQTY_200012762_REPUR_SUSPENDED">#REF!</definedName>
    <definedName name="A_KEYWORD_EQTY_200012762_REPUR_TOT_AUTH">#REF!</definedName>
    <definedName name="A_KEYWORD_EQTY_200012762_REVS_PUB">#REF!</definedName>
    <definedName name="A_KEYWORD_EQTY_200012762_RISK_FR_RATE">#REF!</definedName>
    <definedName name="A_KEYWORD_EQTY_200012762_Security_Name">#REF!</definedName>
    <definedName name="A_KEYWORD_EQTY_200012762_SH">#REF!</definedName>
    <definedName name="A_KEYWORD_EQTY_200012762_TARGET_PRICE">#REF!</definedName>
    <definedName name="A_KEYWORD_EQTY_200012762_TAX_EXC">#REF!</definedName>
    <definedName name="A_KEYWORD_EQTY_200012762_Ticker">#REF!</definedName>
    <definedName name="A_KEYWORD_EQTY_200012762_TP_PERIOD">#REF!</definedName>
    <definedName name="A_KEYWORD_EQTY_200014750_AMER_CONVICTION">#REF!</definedName>
    <definedName name="A_KEYWORD_EQTY_200014750_AMER_LIST">#REF!</definedName>
    <definedName name="A_KEYWORD_EQTY_200014750_BETA_ANALYST">#REF!</definedName>
    <definedName name="A_KEYWORD_EQTY_200014750_BVPS">#REF!</definedName>
    <definedName name="A_KEYWORD_EQTY_200014750_BVPS_PUB">#REF!</definedName>
    <definedName name="A_KEYWORD_EQTY_200014750_CEEE_EPS">#REF!</definedName>
    <definedName name="A_KEYWORD_EQTY_200014750_CF_NI_PRE_PREF">#REF!</definedName>
    <definedName name="A_KEYWORD_EQTY_200014750_COMMON_DIV_PAID">#REF!</definedName>
    <definedName name="A_KEYWORD_EQTY_200014750_CURRENCY_ISO">#REF!</definedName>
    <definedName name="A_KEYWORD_EQTY_200014750_DILUTE_SHARES">#REF!</definedName>
    <definedName name="A_KEYWORD_EQTY_200014750_DPS">#REF!</definedName>
    <definedName name="A_KEYWORD_EQTY_200014750_DPS_PUB">#REF!</definedName>
    <definedName name="A_KEYWORD_EQTY_200014750_EBIT_PUB">#REF!</definedName>
    <definedName name="A_KEYWORD_EQTY_200014750_EBITDA_PUB">#REF!</definedName>
    <definedName name="A_KEYWORD_EQTY_200014750_EPS">#REF!</definedName>
    <definedName name="A_KEYWORD_EQTY_200014750_EPS_CONS_PUB">#REF!</definedName>
    <definedName name="A_KEYWORD_EQTY_200014750_EPS_EX_ESO_B">#REF!</definedName>
    <definedName name="A_KEYWORD_EQTY_200014750_EPS_EX_ESO_D">#REF!</definedName>
    <definedName name="A_KEYWORD_EQTY_200014750_EPS_FUL_DIL">#REF!</definedName>
    <definedName name="A_KEYWORD_EQTY_200014750_EPS_POST_BASIC">#REF!</definedName>
    <definedName name="A_KEYWORD_EQTY_200014750_EPS_PUB">#REF!</definedName>
    <definedName name="A_KEYWORD_EQTY_200014750_EPS_PUB_EX_ESO">#REF!</definedName>
    <definedName name="A_KEYWORD_EQTY_200014750_EQ_PUB">#REF!</definedName>
    <definedName name="A_KEYWORD_EQTY_200014750_ESO_POST_TAX">#REF!</definedName>
    <definedName name="A_KEYWORD_EQTY_200014750_ESO_YEAR">#REF!</definedName>
    <definedName name="A_KEYWORD_EQTY_200014750_EV_ADJ_PUB">#REF!</definedName>
    <definedName name="A_KEYWORD_EQTY_200014750_FOREIGN_HOLDNG">#REF!</definedName>
    <definedName name="A_KEYWORD_EQTY_200014750_FREE_FLOAT">#REF!</definedName>
    <definedName name="A_KEYWORD_EQTY_200014750_FULLY_DIL_EPS">#REF!</definedName>
    <definedName name="A_KEYWORD_EQTY_200014750_FV_GRANT">#REF!</definedName>
    <definedName name="A_KEYWORD_EQTY_200014750_INC_MINORITY">#REF!</definedName>
    <definedName name="A_KEYWORD_EQTY_200014750_Interim_Type">#REF!</definedName>
    <definedName name="A_KEYWORD_EQTY_200014750_LEGAL_RATING">#REF!</definedName>
    <definedName name="A_KEYWORD_EQTY_200014750_MARGIN_TAX_RATE">#REF!</definedName>
    <definedName name="A_KEYWORD_EQTY_200014750_MKT_EQ_RISK_PREM">#REF!</definedName>
    <definedName name="A_KEYWORD_EQTY_200014750_NET_DEBT_PUB">#REF!</definedName>
    <definedName name="A_KEYWORD_EQTY_200014750_NET_EARNING">#REF!</definedName>
    <definedName name="A_KEYWORD_EQTY_200014750_NET_INC">#REF!</definedName>
    <definedName name="A_KEYWORD_EQTY_200014750_NI_CONS">#REF!</definedName>
    <definedName name="A_KEYWORD_EQTY_200014750_NI_PRE_PREF">#REF!</definedName>
    <definedName name="A_KEYWORD_EQTY_200014750_NI_PUB">#REF!</definedName>
    <definedName name="A_KEYWORD_EQTY_200014750_NON_OP_ADD">#REF!</definedName>
    <definedName name="A_KEYWORD_EQTY_200014750_NUM_SH">#REF!</definedName>
    <definedName name="A_KEYWORD_EQTY_200014750_PREF_DIV">#REF!</definedName>
    <definedName name="A_KEYWORD_EQTY_200014750_PRI_TARG_METH">#REF!</definedName>
    <definedName name="A_KEYWORD_EQTY_200014750_PRI_TARG_MULT">#REF!</definedName>
    <definedName name="A_KEYWORD_EQTY_200014750_PRICE_CURRENCY_ISO">#REF!</definedName>
    <definedName name="A_KEYWORD_EQTY_200014750_PROV_INC_TAX">#REF!</definedName>
    <definedName name="A_KEYWORD_EQTY_200014750_PTP_PUB">#REF!</definedName>
    <definedName name="A_KEYWORD_EQTY_200014750_PUB_CURRENCY_ISO">#REF!</definedName>
    <definedName name="A_KEYWORD_EQTY_200014750_REPUR_ACTUAL">#REF!</definedName>
    <definedName name="A_KEYWORD_EQTY_200014750_REPUR_REMAINING">#REF!</definedName>
    <definedName name="A_KEYWORD_EQTY_200014750_REPUR_SUSPENDED">#REF!</definedName>
    <definedName name="A_KEYWORD_EQTY_200014750_REPUR_TOT_AUTH">#REF!</definedName>
    <definedName name="A_KEYWORD_EQTY_200014750_REVS_PUB">#REF!</definedName>
    <definedName name="A_KEYWORD_EQTY_200014750_RISK_FR_RATE">#REF!</definedName>
    <definedName name="A_KEYWORD_EQTY_200014750_Security_Name">#REF!</definedName>
    <definedName name="A_KEYWORD_EQTY_200014750_SH">#REF!</definedName>
    <definedName name="A_KEYWORD_EQTY_200014750_TARGET_PRICE">#REF!</definedName>
    <definedName name="A_KEYWORD_EQTY_200014750_TAX_EXC">#REF!</definedName>
    <definedName name="A_KEYWORD_EQTY_200014750_Ticker">#REF!</definedName>
    <definedName name="A_KEYWORD_EQTY_200014750_TP_PERIOD">#REF!</definedName>
    <definedName name="A_KEYWORD_ISSR_208000603_ACC_AMORT">#REF!</definedName>
    <definedName name="A_KEYWORD_ISSR_208000603_ACC_DDA">#REF!</definedName>
    <definedName name="A_KEYWORD_ISSR_208000603_ACC_END_DATE">#REF!</definedName>
    <definedName name="A_KEYWORD_ISSR_208000603_ACC_GW_AM">#REF!</definedName>
    <definedName name="A_KEYWORD_ISSR_208000603_ACC_PAY_GQ">#REF!</definedName>
    <definedName name="A_KEYWORD_ISSR_208000603_ACCUM_AMORT">#REF!</definedName>
    <definedName name="A_KEYWORD_ISSR_208000603_ACQ">#REF!</definedName>
    <definedName name="A_KEYWORD_ISSR_208000603_ADJ_UNF_PENS_GOOD">#REF!</definedName>
    <definedName name="A_KEYWORD_ISSR_208000603_ASSOC_JV_ADDBK">#REF!</definedName>
    <definedName name="A_KEYWORD_ISSR_208000603_ASSOCIATE">#REF!</definedName>
    <definedName name="A_KEYWORD_ISSR_208000603_ASSOCIATE_OP">#REF!</definedName>
    <definedName name="A_KEYWORD_ISSR_208000603_BAL_MINO_INT">#REF!</definedName>
    <definedName name="A_KEYWORD_ISSR_208000603_CAP_LEASES">#REF!</definedName>
    <definedName name="A_KEYWORD_ISSR_208000603_CAPEX">#REF!</definedName>
    <definedName name="A_KEYWORD_ISSR_208000603_CAPEX_EXPANSION">#REF!</definedName>
    <definedName name="A_KEYWORD_ISSR_208000603_CAPEX_MAINTENANCE">#REF!</definedName>
    <definedName name="A_KEYWORD_ISSR_208000603_CASH_EQ">#REF!</definedName>
    <definedName name="A_KEYWORD_ISSR_208000603_CASH_INT_EXP">#REF!</definedName>
    <definedName name="A_KEYWORD_ISSR_208000603_CASH_TAX_EXP">#REF!</definedName>
    <definedName name="A_KEYWORD_ISSR_208000603_CF_FIN">#REF!</definedName>
    <definedName name="A_KEYWORD_ISSR_208000603_CF_INC_MINORITY">#REF!</definedName>
    <definedName name="A_KEYWORD_ISSR_208000603_CF_INV">#REF!</definedName>
    <definedName name="A_KEYWORD_ISSR_208000603_CF_OPS">#REF!</definedName>
    <definedName name="A_KEYWORD_ISSR_208000603_CHG_LT_DEBT">#REF!</definedName>
    <definedName name="A_KEYWORD_ISSR_208000603_CO_BOR_MARGIN">#REF!</definedName>
    <definedName name="A_KEYWORD_ISSR_208000603_COST_GD_SD">#REF!</definedName>
    <definedName name="A_KEYWORD_ISSR_208000603_CUR_ASS">#REF!</definedName>
    <definedName name="A_KEYWORD_ISSR_208000603_CURRENCY_ISO">#REF!</definedName>
    <definedName name="A_KEYWORD_ISSR_208000603_DEBTORS">#REF!</definedName>
    <definedName name="A_KEYWORD_ISSR_208000603_DEF_INC_TAX">#REF!</definedName>
    <definedName name="A_KEYWORD_ISSR_208000603_DEPR_AMORT">#REF!</definedName>
    <definedName name="A_KEYWORD_ISSR_208000603_DEPREC">#REF!</definedName>
    <definedName name="A_KEYWORD_ISSR_208000603_DIV_PAID">#REF!</definedName>
    <definedName name="A_KEYWORD_ISSR_208000603_DIVDS_ASSOC_JV">#REF!</definedName>
    <definedName name="A_KEYWORD_ISSR_208000603_DIVDS_PD_MINORITIES">#REF!</definedName>
    <definedName name="A_KEYWORD_ISSR_208000603_DIVEST">#REF!</definedName>
    <definedName name="A_KEYWORD_ISSR_208000603_EBIT">#REF!</definedName>
    <definedName name="A_KEYWORD_ISSR_208000603_EBIT_FIN_SEGMENT">#REF!</definedName>
    <definedName name="A_KEYWORD_ISSR_208000603_EBITDA_CALC">#REF!</definedName>
    <definedName name="A_KEYWORD_ISSR_208000603_EMPLOYEES">#REF!</definedName>
    <definedName name="A_KEYWORD_ISSR_208000603_EQ">#REF!</definedName>
    <definedName name="A_KEYWORD_ISSR_208000603_ESO_PRE_TAX">#REF!</definedName>
    <definedName name="A_KEYWORD_ISSR_208000603_FIX_ASS_INV">#REF!</definedName>
    <definedName name="A_KEYWORD_ISSR_208000603_GCI_INFL">#REF!</definedName>
    <definedName name="A_KEYWORD_ISSR_208000603_GOODWILL_AMORT">#REF!</definedName>
    <definedName name="A_KEYWORD_ISSR_208000603_GR_FIX_ASS">#REF!</definedName>
    <definedName name="A_KEYWORD_ISSR_208000603_GR_INTANG">#REF!</definedName>
    <definedName name="A_KEYWORD_ISSR_208000603_GROSS_GW">#REF!</definedName>
    <definedName name="A_KEYWORD_ISSR_208000603_GROSS_OTH_INTANG">#REF!</definedName>
    <definedName name="A_KEYWORD_ISSR_208000603_GT_BLEND_ARPU_PC">#REF!</definedName>
    <definedName name="A_KEYWORD_ISSR_208000603_GT_BLEND_MOU">#REF!</definedName>
    <definedName name="A_KEYWORD_ISSR_208000603_GT_CAPEX_MOU">#REF!</definedName>
    <definedName name="A_KEYWORD_ISSR_208000603_GT_DSL_SUB">#REF!</definedName>
    <definedName name="A_KEYWORD_ISSR_208000603_GT_FIX_DATA_REV">#REF!</definedName>
    <definedName name="A_KEYWORD_ISSR_208000603_GT_FIX_VOICE_REV">#REF!</definedName>
    <definedName name="A_KEYWORD_ISSR_208000603_GT_LD_SUB">#REF!</definedName>
    <definedName name="A_KEYWORD_ISSR_208000603_GT_MOB_DATA_REV">#REF!</definedName>
    <definedName name="A_KEYWORD_ISSR_208000603_GT_MOB_VOICE_REV">#REF!</definedName>
    <definedName name="A_KEYWORD_ISSR_208000603_GT_OTH_CAPEX">#REF!</definedName>
    <definedName name="A_KEYWORD_ISSR_208000603_GT_OTH_REV">#REF!</definedName>
    <definedName name="A_KEYWORD_ISSR_208000603_GT_OTHER_REV">#REF!</definedName>
    <definedName name="A_KEYWORD_ISSR_208000603_GT_PAY_TV_REV">#REF!</definedName>
    <definedName name="A_KEYWORD_ISSR_208000603_GT_SERVC_REV">#REF!</definedName>
    <definedName name="A_KEYWORD_ISSR_208000603_GT_TOT_ACC_LINE">#REF!</definedName>
    <definedName name="A_KEYWORD_ISSR_208000603_GT_TOT_BUS_LINE">#REF!</definedName>
    <definedName name="A_KEYWORD_ISSR_208000603_GT_TOT_MINS">#REF!</definedName>
    <definedName name="A_KEYWORD_ISSR_208000603_GT_TOT_PPD_SUB_PC">#REF!</definedName>
    <definedName name="A_KEYWORD_ISSR_208000603_GT_TOT_RES_LINE">#REF!</definedName>
    <definedName name="A_KEYWORD_ISSR_208000603_GT_TOT_RET_LINE">#REF!</definedName>
    <definedName name="A_KEYWORD_ISSR_208000603_GT_WRLN_CAPEX">#REF!</definedName>
    <definedName name="A_KEYWORD_ISSR_208000603_GT_WRLN_REV">#REF!</definedName>
    <definedName name="A_KEYWORD_ISSR_208000603_GT_WRLS_ARPU">#REF!</definedName>
    <definedName name="A_KEYWORD_ISSR_208000603_GT_WRLS_CAPEX">#REF!</definedName>
    <definedName name="A_KEYWORD_ISSR_208000603_GT_WRLS_CHURN">#REF!</definedName>
    <definedName name="A_KEYWORD_ISSR_208000603_GT_WRLS_REV">#REF!</definedName>
    <definedName name="A_KEYWORD_ISSR_208000603_GT_WRLS_SUB">#REF!</definedName>
    <definedName name="A_KEYWORD_ISSR_208000603_INT_EXP_IND">#REF!</definedName>
    <definedName name="A_KEYWORD_ISSR_208000603_INT_INC_IND">#REF!</definedName>
    <definedName name="A_KEYWORD_ISSR_208000603_INT_PAID_CF">#REF!</definedName>
    <definedName name="A_KEYWORD_ISSR_208000603_INTANG_CAPEX">#REF!</definedName>
    <definedName name="A_KEYWORD_ISSR_208000603_INV_SECUR">#REF!</definedName>
    <definedName name="A_KEYWORD_ISSR_208000603_Issuer_Name">#REF!</definedName>
    <definedName name="A_KEYWORD_ISSR_208000603_LEASE_DEEM_DEPR">#REF!</definedName>
    <definedName name="A_KEYWORD_ISSR_208000603_LEASE_DEEM_INT">#REF!</definedName>
    <definedName name="A_KEYWORD_ISSR_208000603_LEASE_PAY">#REF!</definedName>
    <definedName name="A_KEYWORD_ISSR_208000603_LT_DEBT">#REF!</definedName>
    <definedName name="A_KEYWORD_ISSR_208000603_MA_PROB">#REF!</definedName>
    <definedName name="A_KEYWORD_ISSR_208000603_MINORITIES">#REF!</definedName>
    <definedName name="A_KEYWORD_ISSR_208000603_MV_ASSOCIATES">#REF!</definedName>
    <definedName name="A_KEYWORD_ISSR_208000603_NET_DEBT">#REF!</definedName>
    <definedName name="A_KEYWORD_ISSR_208000603_NET_DEBT_ADJ">#REF!</definedName>
    <definedName name="A_KEYWORD_ISSR_208000603_NET_FIX_ASS">#REF!</definedName>
    <definedName name="A_KEYWORD_ISSR_208000603_NET_GW">#REF!</definedName>
    <definedName name="A_KEYWORD_ISSR_208000603_NET_INT_CH">#REF!</definedName>
    <definedName name="A_KEYWORD_ISSR_208000603_NET_INT_EXP">#REF!</definedName>
    <definedName name="A_KEYWORD_ISSR_208000603_NET_INTANG">#REF!</definedName>
    <definedName name="A_KEYWORD_ISSR_208000603_NET_OTH_INTANG">#REF!</definedName>
    <definedName name="A_KEYWORD_ISSR_208000603_NONPPE_CAPEX">#REF!</definedName>
    <definedName name="A_KEYWORD_ISSR_208000603_OP_AUSTRA">#REF!</definedName>
    <definedName name="A_KEYWORD_ISSR_208000603_OP_AUSTRIA">#REF!</definedName>
    <definedName name="A_KEYWORD_ISSR_208000603_OP_BEL">#REF!</definedName>
    <definedName name="A_KEYWORD_ISSR_208000603_OP_BRAZIL">#REF!</definedName>
    <definedName name="A_KEYWORD_ISSR_208000603_OP_CANADA">#REF!</definedName>
    <definedName name="A_KEYWORD_ISSR_208000603_OP_CEE">#REF!</definedName>
    <definedName name="A_KEYWORD_ISSR_208000603_OP_CHINA">#REF!</definedName>
    <definedName name="A_KEYWORD_ISSR_208000603_OP_CONS">#REF!</definedName>
    <definedName name="A_KEYWORD_ISSR_208000603_OP_COST">#REF!</definedName>
    <definedName name="A_KEYWORD_ISSR_208000603_OP_DEN">#REF!</definedName>
    <definedName name="A_KEYWORD_ISSR_208000603_OP_EU_EX_UK">#REF!</definedName>
    <definedName name="A_KEYWORD_ISSR_208000603_OP_FIN">#REF!</definedName>
    <definedName name="A_KEYWORD_ISSR_208000603_OP_FRA">#REF!</definedName>
    <definedName name="A_KEYWORD_ISSR_208000603_OP_GER">#REF!</definedName>
    <definedName name="A_KEYWORD_ISSR_208000603_OP_GOV">#REF!</definedName>
    <definedName name="A_KEYWORD_ISSR_208000603_OP_GRE">#REF!</definedName>
    <definedName name="A_KEYWORD_ISSR_208000603_OP_ICE">#REF!</definedName>
    <definedName name="A_KEYWORD_ISSR_208000603_OP_IND">#REF!</definedName>
    <definedName name="A_KEYWORD_ISSR_208000603_OP_INDIA">#REF!</definedName>
    <definedName name="A_KEYWORD_ISSR_208000603_OP_IRE">#REF!</definedName>
    <definedName name="A_KEYWORD_ISSR_208000603_OP_ITA">#REF!</definedName>
    <definedName name="A_KEYWORD_ISSR_208000603_OP_JAPAN">#REF!</definedName>
    <definedName name="A_KEYWORD_ISSR_208000603_OP_ME">#REF!</definedName>
    <definedName name="A_KEYWORD_ISSR_208000603_OP_NETH">#REF!</definedName>
    <definedName name="A_KEYWORD_ISSR_208000603_OP_NOR">#REF!</definedName>
    <definedName name="A_KEYWORD_ISSR_208000603_OP_NZ">#REF!</definedName>
    <definedName name="A_KEYWORD_ISSR_208000603_OP_OTH_AEJ">#REF!</definedName>
    <definedName name="A_KEYWORD_ISSR_208000603_OP_OTH_AM">#REF!</definedName>
    <definedName name="A_KEYWORD_ISSR_208000603_OP_OTH_EMEA">#REF!</definedName>
    <definedName name="A_KEYWORD_ISSR_208000603_OP_OTHER">#REF!</definedName>
    <definedName name="A_KEYWORD_ISSR_208000603_OP_POR">#REF!</definedName>
    <definedName name="A_KEYWORD_ISSR_208000603_OP_RUSSIA">#REF!</definedName>
    <definedName name="A_KEYWORD_ISSR_208000603_OP_SK">#REF!</definedName>
    <definedName name="A_KEYWORD_ISSR_208000603_OP_SPA">#REF!</definedName>
    <definedName name="A_KEYWORD_ISSR_208000603_OP_SWE">#REF!</definedName>
    <definedName name="A_KEYWORD_ISSR_208000603_OP_SWIT">#REF!</definedName>
    <definedName name="A_KEYWORD_ISSR_208000603_OP_TOT_AM">#REF!</definedName>
    <definedName name="A_KEYWORD_ISSR_208000603_OP_TOT_ASIA">#REF!</definedName>
    <definedName name="A_KEYWORD_ISSR_208000603_OP_TOT_EMEA">#REF!</definedName>
    <definedName name="A_KEYWORD_ISSR_208000603_OP_UK">#REF!</definedName>
    <definedName name="A_KEYWORD_ISSR_208000603_OP_US">#REF!</definedName>
    <definedName name="A_KEYWORD_ISSR_208000603_ORD_SH_FUND">#REF!</definedName>
    <definedName name="A_KEYWORD_ISSR_208000603_OTH_COST_INC">#REF!</definedName>
    <definedName name="A_KEYWORD_ISSR_208000603_OTH_CUR_ASS">#REF!</definedName>
    <definedName name="A_KEYWORD_ISSR_208000603_OTH_CUR_LIABS">#REF!</definedName>
    <definedName name="A_KEYWORD_ISSR_208000603_OTH_DACF_ADJ">#REF!</definedName>
    <definedName name="A_KEYWORD_ISSR_208000603_OTH_FIN_CF">#REF!</definedName>
    <definedName name="A_KEYWORD_ISSR_208000603_OTH_GCI_ADJ">#REF!</definedName>
    <definedName name="A_KEYWORD_ISSR_208000603_OTH_INV_CF">#REF!</definedName>
    <definedName name="A_KEYWORD_ISSR_208000603_OTH_LT_ASS">#REF!</definedName>
    <definedName name="A_KEYWORD_ISSR_208000603_OTH_LT_CRED_GQ">#REF!</definedName>
    <definedName name="A_KEYWORD_ISSR_208000603_OTH_NONCASH_ADJ">#REF!</definedName>
    <definedName name="A_KEYWORD_ISSR_208000603_OTH_OP_CF">#REF!</definedName>
    <definedName name="A_KEYWORD_ISSR_208000603_OTH_OP_INC_EXP">#REF!</definedName>
    <definedName name="A_KEYWORD_ISSR_208000603_PERIOD_MILESTONE">#REF!</definedName>
    <definedName name="A_KEYWORD_ISSR_208000603_PL_SALE_ASSETS">#REF!</definedName>
    <definedName name="A_KEYWORD_ISSR_208000603_PPNT_FCF">#REF!</definedName>
    <definedName name="A_KEYWORD_ISSR_208000603_PREF_SH">#REF!</definedName>
    <definedName name="A_KEYWORD_ISSR_208000603_PROFIT_ON_DISP">#REF!</definedName>
    <definedName name="A_KEYWORD_ISSR_208000603_PT_PROF">#REF!</definedName>
    <definedName name="A_KEYWORD_ISSR_208000603_RD_EXP">#REF!</definedName>
    <definedName name="A_KEYWORD_ISSR_208000603_REV_FIN_SEGMENT">#REF!</definedName>
    <definedName name="A_KEYWORD_ISSR_208000603_SALES">#REF!</definedName>
    <definedName name="A_KEYWORD_ISSR_208000603_SALES_AUSTRA">#REF!</definedName>
    <definedName name="A_KEYWORD_ISSR_208000603_SALES_AUSTRIA">#REF!</definedName>
    <definedName name="A_KEYWORD_ISSR_208000603_SALES_BEL">#REF!</definedName>
    <definedName name="A_KEYWORD_ISSR_208000603_SALES_BRAZIL">#REF!</definedName>
    <definedName name="A_KEYWORD_ISSR_208000603_SALES_CANADA">#REF!</definedName>
    <definedName name="A_KEYWORD_ISSR_208000603_SALES_CEE">#REF!</definedName>
    <definedName name="A_KEYWORD_ISSR_208000603_SALES_CHINA">#REF!</definedName>
    <definedName name="A_KEYWORD_ISSR_208000603_SALES_CONS">#REF!</definedName>
    <definedName name="A_KEYWORD_ISSR_208000603_SALES_DEN">#REF!</definedName>
    <definedName name="A_KEYWORD_ISSR_208000603_SALES_EU_EX_UK">#REF!</definedName>
    <definedName name="A_KEYWORD_ISSR_208000603_SALES_FIN">#REF!</definedName>
    <definedName name="A_KEYWORD_ISSR_208000603_SALES_FINAN">#REF!</definedName>
    <definedName name="A_KEYWORD_ISSR_208000603_SALES_FRA">#REF!</definedName>
    <definedName name="A_KEYWORD_ISSR_208000603_SALES_GER">#REF!</definedName>
    <definedName name="A_KEYWORD_ISSR_208000603_SALES_GOV">#REF!</definedName>
    <definedName name="A_KEYWORD_ISSR_208000603_SALES_GRE">#REF!</definedName>
    <definedName name="A_KEYWORD_ISSR_208000603_SALES_ICE">#REF!</definedName>
    <definedName name="A_KEYWORD_ISSR_208000603_SALES_IND">#REF!</definedName>
    <definedName name="A_KEYWORD_ISSR_208000603_SALES_INDIA">#REF!</definedName>
    <definedName name="A_KEYWORD_ISSR_208000603_SALES_IRE">#REF!</definedName>
    <definedName name="A_KEYWORD_ISSR_208000603_SALES_ITA">#REF!</definedName>
    <definedName name="A_KEYWORD_ISSR_208000603_SALES_JAPAN">#REF!</definedName>
    <definedName name="A_KEYWORD_ISSR_208000603_SALES_ME">#REF!</definedName>
    <definedName name="A_KEYWORD_ISSR_208000603_SALES_NETH">#REF!</definedName>
    <definedName name="A_KEYWORD_ISSR_208000603_SALES_NOR">#REF!</definedName>
    <definedName name="A_KEYWORD_ISSR_208000603_SALES_NZ">#REF!</definedName>
    <definedName name="A_KEYWORD_ISSR_208000603_SALES_OTH_AEJ">#REF!</definedName>
    <definedName name="A_KEYWORD_ISSR_208000603_SALES_OTH_AM">#REF!</definedName>
    <definedName name="A_KEYWORD_ISSR_208000603_SALES_OTH_EMEA">#REF!</definedName>
    <definedName name="A_KEYWORD_ISSR_208000603_SALES_OTHER">#REF!</definedName>
    <definedName name="A_KEYWORD_ISSR_208000603_SALES_POR">#REF!</definedName>
    <definedName name="A_KEYWORD_ISSR_208000603_SALES_RUSSIA">#REF!</definedName>
    <definedName name="A_KEYWORD_ISSR_208000603_SALES_SK">#REF!</definedName>
    <definedName name="A_KEYWORD_ISSR_208000603_SALES_SMB">#REF!</definedName>
    <definedName name="A_KEYWORD_ISSR_208000603_SALES_SPA">#REF!</definedName>
    <definedName name="A_KEYWORD_ISSR_208000603_SALES_SWE">#REF!</definedName>
    <definedName name="A_KEYWORD_ISSR_208000603_SALES_SWIT">#REF!</definedName>
    <definedName name="A_KEYWORD_ISSR_208000603_SALES_TOT_AM">#REF!</definedName>
    <definedName name="A_KEYWORD_ISSR_208000603_SALES_TOT_ASIA">#REF!</definedName>
    <definedName name="A_KEYWORD_ISSR_208000603_SALES_TOT_EMEA">#REF!</definedName>
    <definedName name="A_KEYWORD_ISSR_208000603_SALES_UK">#REF!</definedName>
    <definedName name="A_KEYWORD_ISSR_208000603_SALES_US">#REF!</definedName>
    <definedName name="A_KEYWORD_ISSR_208000603_SEL_GL_AD">#REF!</definedName>
    <definedName name="A_KEYWORD_ISSR_208000603_SH_REPUR">#REF!</definedName>
    <definedName name="A_KEYWORD_ISSR_208000603_SHORT_T_DEBT">#REF!</definedName>
    <definedName name="A_KEYWORD_ISSR_208000603_SHORT_TERM_LIABS">#REF!</definedName>
    <definedName name="A_KEYWORD_ISSR_208000603_STOCKS">#REF!</definedName>
    <definedName name="A_KEYWORD_ISSR_208000603_TANG_CAPEX">#REF!</definedName>
    <definedName name="A_KEYWORD_ISSR_208000603_TAX_PAID_CF">#REF!</definedName>
    <definedName name="A_KEYWORD_ISSR_208000603_TOT_ASSET">#REF!</definedName>
    <definedName name="A_KEYWORD_ISSR_208000603_TOT_CF">#REF!</definedName>
    <definedName name="A_KEYWORD_ISSR_208000603_TOT_LIAB">#REF!</definedName>
    <definedName name="A_KEYWORD_ISSR_208000603_TOT_LIAB_EQ">#REF!</definedName>
    <definedName name="A_KEYWORD_ISSR_208000603_TOT_LT_LIAB">#REF!</definedName>
    <definedName name="A_KEYWORD_ISSR_208000603_TOT_OPS_EXP">#REF!</definedName>
    <definedName name="A_KEYWORD_ISSR_208000603_TOT_OPS_EXP_DDA">#REF!</definedName>
    <definedName name="A_KEYWORD_ISSR_208000603_UNF_PENS">#REF!</definedName>
    <definedName name="A_KEYWORD_ISSR_208000603_UNF_PENS_LIAB_OTH">#REF!</definedName>
    <definedName name="A_KEYWORD_ISSR_208000603_UNF_PENS_OFF">#REF!</definedName>
    <definedName name="A_KEYWORD_ISSR_208000603_WORK_CAP">#REF!</definedName>
    <definedName name="A_KEYWORD_ISSR_208000976_ACC_AMORT">#REF!</definedName>
    <definedName name="A_KEYWORD_ISSR_208000976_ACC_DDA">#REF!</definedName>
    <definedName name="A_KEYWORD_ISSR_208000976_ACC_END_DATE">#REF!</definedName>
    <definedName name="A_KEYWORD_ISSR_208000976_ACC_PAY_GQ">#REF!</definedName>
    <definedName name="A_KEYWORD_ISSR_208000976_ACQ">#REF!</definedName>
    <definedName name="A_KEYWORD_ISSR_208000976_ADJ_UNF_PENS_GOOD">#REF!</definedName>
    <definedName name="A_KEYWORD_ISSR_208000976_ASSOC_JV_ADDBK">#REF!</definedName>
    <definedName name="A_KEYWORD_ISSR_208000976_ASSOCIATE">#REF!</definedName>
    <definedName name="A_KEYWORD_ISSR_208000976_ASSOCIATE_OP">#REF!</definedName>
    <definedName name="A_KEYWORD_ISSR_208000976_BAL_MINO_INT">#REF!</definedName>
    <definedName name="A_KEYWORD_ISSR_208000976_CAP_LEASES">#REF!</definedName>
    <definedName name="A_KEYWORD_ISSR_208000976_CAPEX">#REF!</definedName>
    <definedName name="A_KEYWORD_ISSR_208000976_CAPEX_EXPANSION">#REF!</definedName>
    <definedName name="A_KEYWORD_ISSR_208000976_CAPEX_MAINTENANCE">#REF!</definedName>
    <definedName name="A_KEYWORD_ISSR_208000976_CASH_EQ">#REF!</definedName>
    <definedName name="A_KEYWORD_ISSR_208000976_CASH_INT_EXP">#REF!</definedName>
    <definedName name="A_KEYWORD_ISSR_208000976_CASH_PCT_OS_US">#REF!</definedName>
    <definedName name="A_KEYWORD_ISSR_208000976_CASH_TAX_EXP">#REF!</definedName>
    <definedName name="A_KEYWORD_ISSR_208000976_CF_FIN">#REF!</definedName>
    <definedName name="A_KEYWORD_ISSR_208000976_CF_INC_MINORITY">#REF!</definedName>
    <definedName name="A_KEYWORD_ISSR_208000976_CF_INV">#REF!</definedName>
    <definedName name="A_KEYWORD_ISSR_208000976_CF_OPS">#REF!</definedName>
    <definedName name="A_KEYWORD_ISSR_208000976_CHG_LT_DEBT">#REF!</definedName>
    <definedName name="A_KEYWORD_ISSR_208000976_CO_BOR_MARGIN">#REF!</definedName>
    <definedName name="A_KEYWORD_ISSR_208000976_COST_GD_SD">#REF!</definedName>
    <definedName name="A_KEYWORD_ISSR_208000976_CUR_ASS">#REF!</definedName>
    <definedName name="A_KEYWORD_ISSR_208000976_CURRENCY_ISO">#REF!</definedName>
    <definedName name="A_KEYWORD_ISSR_208000976_DEBTORS">#REF!</definedName>
    <definedName name="A_KEYWORD_ISSR_208000976_DEF_INC_TAX">#REF!</definedName>
    <definedName name="A_KEYWORD_ISSR_208000976_DEPR_AMORT">#REF!</definedName>
    <definedName name="A_KEYWORD_ISSR_208000976_DEPREC">#REF!</definedName>
    <definedName name="A_KEYWORD_ISSR_208000976_DIV_PAID">#REF!</definedName>
    <definedName name="A_KEYWORD_ISSR_208000976_DIVDS_ASSOC_JV">#REF!</definedName>
    <definedName name="A_KEYWORD_ISSR_208000976_DIVDS_PD_MINORITIES">#REF!</definedName>
    <definedName name="A_KEYWORD_ISSR_208000976_DIVEST">#REF!</definedName>
    <definedName name="A_KEYWORD_ISSR_208000976_EBIT">#REF!</definedName>
    <definedName name="A_KEYWORD_ISSR_208000976_EBIT_FIN_SEGMENT">#REF!</definedName>
    <definedName name="A_KEYWORD_ISSR_208000976_EBITDA_CALC">#REF!</definedName>
    <definedName name="A_KEYWORD_ISSR_208000976_EMPLOYEES">#REF!</definedName>
    <definedName name="A_KEYWORD_ISSR_208000976_EQ">#REF!</definedName>
    <definedName name="A_KEYWORD_ISSR_208000976_ESO_PRE_TAX">#REF!</definedName>
    <definedName name="A_KEYWORD_ISSR_208000976_EXP_ALUMINIUM">#REF!</definedName>
    <definedName name="A_KEYWORD_ISSR_208000976_EXP_COPPER">#REF!</definedName>
    <definedName name="A_KEYWORD_ISSR_208000976_EXP_GLASS">#REF!</definedName>
    <definedName name="A_KEYWORD_ISSR_208000976_EXP_GOLD">#REF!</definedName>
    <definedName name="A_KEYWORD_ISSR_208000976_EXP_NICKEL">#REF!</definedName>
    <definedName name="A_KEYWORD_ISSR_208000976_EXP_OIL_DERIV_NGLS_PLASTICS">#REF!</definedName>
    <definedName name="A_KEYWORD_ISSR_208000976_EXP_OIL_PETRO_FUEL">#REF!</definedName>
    <definedName name="A_KEYWORD_ISSR_208000976_EXP_OTH_COMMODITY">#REF!</definedName>
    <definedName name="A_KEYWORD_ISSR_208000976_EXP_OTH_COST">#REF!</definedName>
    <definedName name="A_KEYWORD_ISSR_208000976_EXP_PALLADIUM">#REF!</definedName>
    <definedName name="A_KEYWORD_ISSR_208000976_EXP_PAPER_PULP">#REF!</definedName>
    <definedName name="A_KEYWORD_ISSR_208000976_EXP_PLATINUM">#REF!</definedName>
    <definedName name="A_KEYWORD_ISSR_208000976_EXP_SILVER">#REF!</definedName>
    <definedName name="A_KEYWORD_ISSR_208000976_EXP_WATER">#REF!</definedName>
    <definedName name="A_KEYWORD_ISSR_208000976_EXP_ZINC">#REF!</definedName>
    <definedName name="A_KEYWORD_ISSR_208000976_FIX_ASS_INV">#REF!</definedName>
    <definedName name="A_KEYWORD_ISSR_208000976_GCI_INFL">#REF!</definedName>
    <definedName name="A_KEYWORD_ISSR_208000976_GOODWILL_AMORT">#REF!</definedName>
    <definedName name="A_KEYWORD_ISSR_208000976_GR_FIX_ASS">#REF!</definedName>
    <definedName name="A_KEYWORD_ISSR_208000976_GR_INTANG">#REF!</definedName>
    <definedName name="A_KEYWORD_ISSR_208000976_INT_EXP_IND">#REF!</definedName>
    <definedName name="A_KEYWORD_ISSR_208000976_INT_INC_IND">#REF!</definedName>
    <definedName name="A_KEYWORD_ISSR_208000976_INV_SECUR">#REF!</definedName>
    <definedName name="A_KEYWORD_ISSR_208000976_Issuer_Name">#REF!</definedName>
    <definedName name="A_KEYWORD_ISSR_208000976_LEASE_DEEM_DEPR">#REF!</definedName>
    <definedName name="A_KEYWORD_ISSR_208000976_LEASE_DEEM_INT">#REF!</definedName>
    <definedName name="A_KEYWORD_ISSR_208000976_LEASE_PAY">#REF!</definedName>
    <definedName name="A_KEYWORD_ISSR_208000976_LT_DEBT">#REF!</definedName>
    <definedName name="A_KEYWORD_ISSR_208000976_MA_PROB">#REF!</definedName>
    <definedName name="A_KEYWORD_ISSR_208000976_MINORITIES">#REF!</definedName>
    <definedName name="A_KEYWORD_ISSR_208000976_MV_ASSOCIATES">#REF!</definedName>
    <definedName name="A_KEYWORD_ISSR_208000976_NET_DEBT">#REF!</definedName>
    <definedName name="A_KEYWORD_ISSR_208000976_NET_DEBT_ADJ">#REF!</definedName>
    <definedName name="A_KEYWORD_ISSR_208000976_NET_FIX_ASS">#REF!</definedName>
    <definedName name="A_KEYWORD_ISSR_208000976_NET_INT_CH">#REF!</definedName>
    <definedName name="A_KEYWORD_ISSR_208000976_NET_INT_EXP">#REF!</definedName>
    <definedName name="A_KEYWORD_ISSR_208000976_NET_INTANG">#REF!</definedName>
    <definedName name="A_KEYWORD_ISSR_208000976_NONPPE_CAPEX">#REF!</definedName>
    <definedName name="A_KEYWORD_ISSR_208000976_OP_COST">#REF!</definedName>
    <definedName name="A_KEYWORD_ISSR_208000976_ORD_SH_FUND">#REF!</definedName>
    <definedName name="A_KEYWORD_ISSR_208000976_ORG_REV_GRTH">#REF!</definedName>
    <definedName name="A_KEYWORD_ISSR_208000976_OTH_COST_INC">#REF!</definedName>
    <definedName name="A_KEYWORD_ISSR_208000976_OTH_CUR_ASS">#REF!</definedName>
    <definedName name="A_KEYWORD_ISSR_208000976_OTH_CUR_LIABS">#REF!</definedName>
    <definedName name="A_KEYWORD_ISSR_208000976_OTH_DACF_ADJ">#REF!</definedName>
    <definedName name="A_KEYWORD_ISSR_208000976_OTH_FIN_CF">#REF!</definedName>
    <definedName name="A_KEYWORD_ISSR_208000976_OTH_GCI_ADJ">#REF!</definedName>
    <definedName name="A_KEYWORD_ISSR_208000976_OTH_INV_CF">#REF!</definedName>
    <definedName name="A_KEYWORD_ISSR_208000976_OTH_LT_ASS">#REF!</definedName>
    <definedName name="A_KEYWORD_ISSR_208000976_OTH_LT_CRED_GQ">#REF!</definedName>
    <definedName name="A_KEYWORD_ISSR_208000976_OTH_NONCASH_ADJ">#REF!</definedName>
    <definedName name="A_KEYWORD_ISSR_208000976_OTH_OP_CF">#REF!</definedName>
    <definedName name="A_KEYWORD_ISSR_208000976_OTH_OP_INC_EXP">#REF!</definedName>
    <definedName name="A_KEYWORD_ISSR_208000976_PERIOD_MILESTONE">#REF!</definedName>
    <definedName name="A_KEYWORD_ISSR_208000976_PL_SALE_ASSETS">#REF!</definedName>
    <definedName name="A_KEYWORD_ISSR_208000976_PREF_SH">#REF!</definedName>
    <definedName name="A_KEYWORD_ISSR_208000976_PROFIT_ON_DISP">#REF!</definedName>
    <definedName name="A_KEYWORD_ISSR_208000976_PT_PROF">#REF!</definedName>
    <definedName name="A_KEYWORD_ISSR_208000976_RD_EXP">#REF!</definedName>
    <definedName name="A_KEYWORD_ISSR_208000976_REV_FIN_SEGMENT">#REF!</definedName>
    <definedName name="A_KEYWORD_ISSR_208000976_SALES">#REF!</definedName>
    <definedName name="A_KEYWORD_ISSR_208000976_SALES_ARGENTINA">#REF!</definedName>
    <definedName name="A_KEYWORD_ISSR_208000976_SALES_BRAZIL">#REF!</definedName>
    <definedName name="A_KEYWORD_ISSR_208000976_SALES_CANADA">#REF!</definedName>
    <definedName name="A_KEYWORD_ISSR_208000976_SALES_CEE">#REF!</definedName>
    <definedName name="A_KEYWORD_ISSR_208000976_SALES_CHILE">#REF!</definedName>
    <definedName name="A_KEYWORD_ISSR_208000976_SALES_CHINA">#REF!</definedName>
    <definedName name="A_KEYWORD_ISSR_208000976_SALES_COLOMBIA">#REF!</definedName>
    <definedName name="A_KEYWORD_ISSR_208000976_SALES_CONS">#REF!</definedName>
    <definedName name="A_KEYWORD_ISSR_208000976_SALES_EU_EX_UK">#REF!</definedName>
    <definedName name="A_KEYWORD_ISSR_208000976_SALES_FINAN">#REF!</definedName>
    <definedName name="A_KEYWORD_ISSR_208000976_SALES_FX_ARS">#REF!</definedName>
    <definedName name="A_KEYWORD_ISSR_208000976_SALES_FX_BRL">#REF!</definedName>
    <definedName name="A_KEYWORD_ISSR_208000976_SALES_FX_CAD">#REF!</definedName>
    <definedName name="A_KEYWORD_ISSR_208000976_SALES_FX_CLP">#REF!</definedName>
    <definedName name="A_KEYWORD_ISSR_208000976_SALES_FX_CNY">#REF!</definedName>
    <definedName name="A_KEYWORD_ISSR_208000976_SALES_FX_COP">#REF!</definedName>
    <definedName name="A_KEYWORD_ISSR_208000976_SALES_FX_EUR">#REF!</definedName>
    <definedName name="A_KEYWORD_ISSR_208000976_SALES_FX_GPB">#REF!</definedName>
    <definedName name="A_KEYWORD_ISSR_208000976_SALES_FX_INR">#REF!</definedName>
    <definedName name="A_KEYWORD_ISSR_208000976_SALES_FX_MXN">#REF!</definedName>
    <definedName name="A_KEYWORD_ISSR_208000976_SALES_FX_OTH">#REF!</definedName>
    <definedName name="A_KEYWORD_ISSR_208000976_SALES_FX_RUB">#REF!</definedName>
    <definedName name="A_KEYWORD_ISSR_208000976_SALES_FX_USD">#REF!</definedName>
    <definedName name="A_KEYWORD_ISSR_208000976_SALES_FX_VEF">#REF!</definedName>
    <definedName name="A_KEYWORD_ISSR_208000976_SALES_FX_YEN">#REF!</definedName>
    <definedName name="A_KEYWORD_ISSR_208000976_SALES_GOV">#REF!</definedName>
    <definedName name="A_KEYWORD_ISSR_208000976_SALES_IND">#REF!</definedName>
    <definedName name="A_KEYWORD_ISSR_208000976_SALES_INDIA">#REF!</definedName>
    <definedName name="A_KEYWORD_ISSR_208000976_SALES_JAPAN">#REF!</definedName>
    <definedName name="A_KEYWORD_ISSR_208000976_SALES_ME">#REF!</definedName>
    <definedName name="A_KEYWORD_ISSR_208000976_SALES_MEXICO">#REF!</definedName>
    <definedName name="A_KEYWORD_ISSR_208000976_SALES_OTH_AEJ">#REF!</definedName>
    <definedName name="A_KEYWORD_ISSR_208000976_SALES_OTH_AM">#REF!</definedName>
    <definedName name="A_KEYWORD_ISSR_208000976_SALES_OTH_EMEA">#REF!</definedName>
    <definedName name="A_KEYWORD_ISSR_208000976_SALES_OTHER">#REF!</definedName>
    <definedName name="A_KEYWORD_ISSR_208000976_SALES_RUSSIA">#REF!</definedName>
    <definedName name="A_KEYWORD_ISSR_208000976_SALES_SMB">#REF!</definedName>
    <definedName name="A_KEYWORD_ISSR_208000976_SALES_TOT_AFRICA">#REF!</definedName>
    <definedName name="A_KEYWORD_ISSR_208000976_SALES_TOT_AM">#REF!</definedName>
    <definedName name="A_KEYWORD_ISSR_208000976_SALES_TOT_ASIA">#REF!</definedName>
    <definedName name="A_KEYWORD_ISSR_208000976_SALES_TOT_EMEA">#REF!</definedName>
    <definedName name="A_KEYWORD_ISSR_208000976_SALES_UK">#REF!</definedName>
    <definedName name="A_KEYWORD_ISSR_208000976_SALES_US">#REF!</definedName>
    <definedName name="A_KEYWORD_ISSR_208000976_SALES_VENEZUELA">#REF!</definedName>
    <definedName name="A_KEYWORD_ISSR_208000976_SEL_GL_AD">#REF!</definedName>
    <definedName name="A_KEYWORD_ISSR_208000976_SH_REPUR">#REF!</definedName>
    <definedName name="A_KEYWORD_ISSR_208000976_SHORT_T_DEBT">#REF!</definedName>
    <definedName name="A_KEYWORD_ISSR_208000976_SHORT_TERM_LIABS">#REF!</definedName>
    <definedName name="A_KEYWORD_ISSR_208000976_STOCKS">#REF!</definedName>
    <definedName name="A_KEYWORD_ISSR_208000976_TOT_ASSET">#REF!</definedName>
    <definedName name="A_KEYWORD_ISSR_208000976_TOT_CF">#REF!</definedName>
    <definedName name="A_KEYWORD_ISSR_208000976_TOT_LIAB">#REF!</definedName>
    <definedName name="A_KEYWORD_ISSR_208000976_TOT_LIAB_EQ">#REF!</definedName>
    <definedName name="A_KEYWORD_ISSR_208000976_TOT_LT_LIAB">#REF!</definedName>
    <definedName name="A_KEYWORD_ISSR_208000976_TOT_OPS_EXP">#REF!</definedName>
    <definedName name="A_KEYWORD_ISSR_208000976_TOT_OPS_EXP_DDA">#REF!</definedName>
    <definedName name="A_KEYWORD_ISSR_208000976_UNF_PENS">#REF!</definedName>
    <definedName name="A_KEYWORD_ISSR_208000976_UNF_PENS_LIAB_OTH">#REF!</definedName>
    <definedName name="A_KEYWORD_ISSR_208000976_UNF_PENS_OFF">#REF!</definedName>
    <definedName name="A_KEYWORD_ISSR_208000976_WORK_CAP">#REF!</definedName>
    <definedName name="A_KEYWORD_ISSR_208001048_ORG_REV_GRTH">#REF!</definedName>
    <definedName name="A_KEYWORD_ISSR_208001258_ACC_AMORT">#REF!</definedName>
    <definedName name="A_KEYWORD_ISSR_208001258_ACC_DDA">#REF!</definedName>
    <definedName name="A_KEYWORD_ISSR_208001258_ACC_END_DATE">#REF!</definedName>
    <definedName name="A_KEYWORD_ISSR_208001258_ACC_PAY_GQ">#REF!</definedName>
    <definedName name="A_KEYWORD_ISSR_208001258_ACQ">#REF!</definedName>
    <definedName name="A_KEYWORD_ISSR_208001258_ADJ_UNF_PENS_GOOD">#REF!</definedName>
    <definedName name="A_KEYWORD_ISSR_208001258_ASSOC_JV_ADDBK">#REF!</definedName>
    <definedName name="A_KEYWORD_ISSR_208001258_ASSOCIATE">#REF!</definedName>
    <definedName name="A_KEYWORD_ISSR_208001258_ASSOCIATE_OP">#REF!</definedName>
    <definedName name="A_KEYWORD_ISSR_208001258_BAL_MINO_INT">#REF!</definedName>
    <definedName name="A_KEYWORD_ISSR_208001258_CAP_LEASES">#REF!</definedName>
    <definedName name="A_KEYWORD_ISSR_208001258_CAPEX">#REF!</definedName>
    <definedName name="A_KEYWORD_ISSR_208001258_CAPEX_EXPANSION">#REF!</definedName>
    <definedName name="A_KEYWORD_ISSR_208001258_CAPEX_MAINTENANCE">#REF!</definedName>
    <definedName name="A_KEYWORD_ISSR_208001258_CASH_EQ">#REF!</definedName>
    <definedName name="A_KEYWORD_ISSR_208001258_CASH_INT_EXP">#REF!</definedName>
    <definedName name="A_KEYWORD_ISSR_208001258_CASH_PCT_OS_US">#REF!</definedName>
    <definedName name="A_KEYWORD_ISSR_208001258_CASH_TAX_EXP">#REF!</definedName>
    <definedName name="A_KEYWORD_ISSR_208001258_CF_FIN">#REF!</definedName>
    <definedName name="A_KEYWORD_ISSR_208001258_CF_INC_MINORITY">#REF!</definedName>
    <definedName name="A_KEYWORD_ISSR_208001258_CF_INV">#REF!</definedName>
    <definedName name="A_KEYWORD_ISSR_208001258_CF_OPS">#REF!</definedName>
    <definedName name="A_KEYWORD_ISSR_208001258_CHG_LT_DEBT">#REF!</definedName>
    <definedName name="A_KEYWORD_ISSR_208001258_CO_BOR_MARGIN">#REF!</definedName>
    <definedName name="A_KEYWORD_ISSR_208001258_COST_GD_SD">#REF!</definedName>
    <definedName name="A_KEYWORD_ISSR_208001258_CUR_ASS">#REF!</definedName>
    <definedName name="A_KEYWORD_ISSR_208001258_CURRENCY_ISO">#REF!</definedName>
    <definedName name="A_KEYWORD_ISSR_208001258_DEBTORS">#REF!</definedName>
    <definedName name="A_KEYWORD_ISSR_208001258_DEF_INC_TAX">#REF!</definedName>
    <definedName name="A_KEYWORD_ISSR_208001258_DEPR_AMORT">#REF!</definedName>
    <definedName name="A_KEYWORD_ISSR_208001258_DEPREC">#REF!</definedName>
    <definedName name="A_KEYWORD_ISSR_208001258_DIV_PAID">#REF!</definedName>
    <definedName name="A_KEYWORD_ISSR_208001258_DIVDS_ASSOC_JV">#REF!</definedName>
    <definedName name="A_KEYWORD_ISSR_208001258_DIVDS_PD_MINORITIES">#REF!</definedName>
    <definedName name="A_KEYWORD_ISSR_208001258_DIVEST">#REF!</definedName>
    <definedName name="A_KEYWORD_ISSR_208001258_EBIT">#REF!</definedName>
    <definedName name="A_KEYWORD_ISSR_208001258_EBIT_FIN_SEGMENT">#REF!</definedName>
    <definedName name="A_KEYWORD_ISSR_208001258_EBITDA_CALC">#REF!</definedName>
    <definedName name="A_KEYWORD_ISSR_208001258_EMPLOYEES">#REF!</definedName>
    <definedName name="A_KEYWORD_ISSR_208001258_EQ">#REF!</definedName>
    <definedName name="A_KEYWORD_ISSR_208001258_ESO_PRE_TAX">#REF!</definedName>
    <definedName name="A_KEYWORD_ISSR_208001258_EXP_ALUMINIUM">#REF!</definedName>
    <definedName name="A_KEYWORD_ISSR_208001258_EXP_COPPER">#REF!</definedName>
    <definedName name="A_KEYWORD_ISSR_208001258_EXP_GLASS">#REF!</definedName>
    <definedName name="A_KEYWORD_ISSR_208001258_EXP_GOLD">#REF!</definedName>
    <definedName name="A_KEYWORD_ISSR_208001258_EXP_NICKEL">#REF!</definedName>
    <definedName name="A_KEYWORD_ISSR_208001258_EXP_OIL_DERIV_NGLS_PLASTICS">#REF!</definedName>
    <definedName name="A_KEYWORD_ISSR_208001258_EXP_OIL_PETRO_FUEL">#REF!</definedName>
    <definedName name="A_KEYWORD_ISSR_208001258_EXP_OTH_COMMODITY">#REF!</definedName>
    <definedName name="A_KEYWORD_ISSR_208001258_EXP_OTH_COST">#REF!</definedName>
    <definedName name="A_KEYWORD_ISSR_208001258_EXP_PALLADIUM">#REF!</definedName>
    <definedName name="A_KEYWORD_ISSR_208001258_EXP_PAPER_PULP">#REF!</definedName>
    <definedName name="A_KEYWORD_ISSR_208001258_EXP_PLATINUM">#REF!</definedName>
    <definedName name="A_KEYWORD_ISSR_208001258_EXP_SILVER">#REF!</definedName>
    <definedName name="A_KEYWORD_ISSR_208001258_EXP_WATER">#REF!</definedName>
    <definedName name="A_KEYWORD_ISSR_208001258_EXP_ZINC">#REF!</definedName>
    <definedName name="A_KEYWORD_ISSR_208001258_FIX_ASS_INV">#REF!</definedName>
    <definedName name="A_KEYWORD_ISSR_208001258_GCI_INFL">#REF!</definedName>
    <definedName name="A_KEYWORD_ISSR_208001258_GOODWILL_AMORT">#REF!</definedName>
    <definedName name="A_KEYWORD_ISSR_208001258_GR_FIX_ASS">#REF!</definedName>
    <definedName name="A_KEYWORD_ISSR_208001258_GR_INTANG">#REF!</definedName>
    <definedName name="A_KEYWORD_ISSR_208001258_INT_EXP_IND">#REF!</definedName>
    <definedName name="A_KEYWORD_ISSR_208001258_INT_INC_IND">#REF!</definedName>
    <definedName name="A_KEYWORD_ISSR_208001258_INV_SECUR">#REF!</definedName>
    <definedName name="A_KEYWORD_ISSR_208001258_Issuer_Name">#REF!</definedName>
    <definedName name="A_KEYWORD_ISSR_208001258_LEASE_DEEM_DEPR">#REF!</definedName>
    <definedName name="A_KEYWORD_ISSR_208001258_LEASE_DEEM_INT">#REF!</definedName>
    <definedName name="A_KEYWORD_ISSR_208001258_LEASE_PAY">#REF!</definedName>
    <definedName name="A_KEYWORD_ISSR_208001258_LT_DEBT">#REF!</definedName>
    <definedName name="A_KEYWORD_ISSR_208001258_MA_PROB">#REF!</definedName>
    <definedName name="A_KEYWORD_ISSR_208001258_MINORITIES">#REF!</definedName>
    <definedName name="A_KEYWORD_ISSR_208001258_MV_ASSOCIATES">#REF!</definedName>
    <definedName name="A_KEYWORD_ISSR_208001258_NET_DEBT">#REF!</definedName>
    <definedName name="A_KEYWORD_ISSR_208001258_NET_DEBT_ADJ">#REF!</definedName>
    <definedName name="A_KEYWORD_ISSR_208001258_NET_FIX_ASS">#REF!</definedName>
    <definedName name="A_KEYWORD_ISSR_208001258_NET_INT_CH">#REF!</definedName>
    <definedName name="A_KEYWORD_ISSR_208001258_NET_INT_EXP">#REF!</definedName>
    <definedName name="A_KEYWORD_ISSR_208001258_NET_INTANG">#REF!</definedName>
    <definedName name="A_KEYWORD_ISSR_208001258_NONPPE_CAPEX">#REF!</definedName>
    <definedName name="A_KEYWORD_ISSR_208001258_OP_COST">#REF!</definedName>
    <definedName name="A_KEYWORD_ISSR_208001258_ORD_SH_FUND">#REF!</definedName>
    <definedName name="A_KEYWORD_ISSR_208001258_ORG_REV_GRTH">#REF!</definedName>
    <definedName name="A_KEYWORD_ISSR_208001258_OTH_COST_INC">#REF!</definedName>
    <definedName name="A_KEYWORD_ISSR_208001258_OTH_CUR_ASS">#REF!</definedName>
    <definedName name="A_KEYWORD_ISSR_208001258_OTH_CUR_LIABS">#REF!</definedName>
    <definedName name="A_KEYWORD_ISSR_208001258_OTH_DACF_ADJ">#REF!</definedName>
    <definedName name="A_KEYWORD_ISSR_208001258_OTH_FIN_CF">#REF!</definedName>
    <definedName name="A_KEYWORD_ISSR_208001258_OTH_GCI_ADJ">#REF!</definedName>
    <definedName name="A_KEYWORD_ISSR_208001258_OTH_INV_CF">#REF!</definedName>
    <definedName name="A_KEYWORD_ISSR_208001258_OTH_LT_ASS">#REF!</definedName>
    <definedName name="A_KEYWORD_ISSR_208001258_OTH_LT_CRED_GQ">#REF!</definedName>
    <definedName name="A_KEYWORD_ISSR_208001258_OTH_NONCASH_ADJ">#REF!</definedName>
    <definedName name="A_KEYWORD_ISSR_208001258_OTH_OP_CF">#REF!</definedName>
    <definedName name="A_KEYWORD_ISSR_208001258_OTH_OP_INC_EXP">#REF!</definedName>
    <definedName name="A_KEYWORD_ISSR_208001258_PERIOD_MILESTONE">#REF!</definedName>
    <definedName name="A_KEYWORD_ISSR_208001258_PL_SALE_ASSETS">#REF!</definedName>
    <definedName name="A_KEYWORD_ISSR_208001258_PREF_SH">#REF!</definedName>
    <definedName name="A_KEYWORD_ISSR_208001258_PROFIT_ON_DISP">#REF!</definedName>
    <definedName name="A_KEYWORD_ISSR_208001258_PT_PROF">#REF!</definedName>
    <definedName name="A_KEYWORD_ISSR_208001258_RD_EXP">#REF!</definedName>
    <definedName name="A_KEYWORD_ISSR_208001258_REV_FIN_SEGMENT">#REF!</definedName>
    <definedName name="A_KEYWORD_ISSR_208001258_SALES">#REF!</definedName>
    <definedName name="A_KEYWORD_ISSR_208001258_SALES_ARGENTINA">#REF!</definedName>
    <definedName name="A_KEYWORD_ISSR_208001258_SALES_BRAZIL">#REF!</definedName>
    <definedName name="A_KEYWORD_ISSR_208001258_SALES_CANADA">#REF!</definedName>
    <definedName name="A_KEYWORD_ISSR_208001258_SALES_CEE">#REF!</definedName>
    <definedName name="A_KEYWORD_ISSR_208001258_SALES_CHILE">#REF!</definedName>
    <definedName name="A_KEYWORD_ISSR_208001258_SALES_CHINA">#REF!</definedName>
    <definedName name="A_KEYWORD_ISSR_208001258_SALES_COLOMBIA">#REF!</definedName>
    <definedName name="A_KEYWORD_ISSR_208001258_SALES_CONS">#REF!</definedName>
    <definedName name="A_KEYWORD_ISSR_208001258_SALES_EU_EX_UK">#REF!</definedName>
    <definedName name="A_KEYWORD_ISSR_208001258_SALES_FINAN">#REF!</definedName>
    <definedName name="A_KEYWORD_ISSR_208001258_SALES_FX_ARS">#REF!</definedName>
    <definedName name="A_KEYWORD_ISSR_208001258_SALES_FX_BRL">#REF!</definedName>
    <definedName name="A_KEYWORD_ISSR_208001258_SALES_FX_CAD">#REF!</definedName>
    <definedName name="A_KEYWORD_ISSR_208001258_SALES_FX_CLP">#REF!</definedName>
    <definedName name="A_KEYWORD_ISSR_208001258_SALES_FX_CNY">#REF!</definedName>
    <definedName name="A_KEYWORD_ISSR_208001258_SALES_FX_COP">#REF!</definedName>
    <definedName name="A_KEYWORD_ISSR_208001258_SALES_FX_EUR">#REF!</definedName>
    <definedName name="A_KEYWORD_ISSR_208001258_SALES_FX_GPB">#REF!</definedName>
    <definedName name="A_KEYWORD_ISSR_208001258_SALES_FX_INR">#REF!</definedName>
    <definedName name="A_KEYWORD_ISSR_208001258_SALES_FX_MXN">#REF!</definedName>
    <definedName name="A_KEYWORD_ISSR_208001258_SALES_FX_OTH">#REF!</definedName>
    <definedName name="A_KEYWORD_ISSR_208001258_SALES_FX_RUB">#REF!</definedName>
    <definedName name="A_KEYWORD_ISSR_208001258_SALES_FX_USD">#REF!</definedName>
    <definedName name="A_KEYWORD_ISSR_208001258_SALES_FX_VEF">#REF!</definedName>
    <definedName name="A_KEYWORD_ISSR_208001258_SALES_FX_YEN">#REF!</definedName>
    <definedName name="A_KEYWORD_ISSR_208001258_SALES_GOV">#REF!</definedName>
    <definedName name="A_KEYWORD_ISSR_208001258_SALES_IND">#REF!</definedName>
    <definedName name="A_KEYWORD_ISSR_208001258_SALES_INDIA">#REF!</definedName>
    <definedName name="A_KEYWORD_ISSR_208001258_SALES_JAPAN">#REF!</definedName>
    <definedName name="A_KEYWORD_ISSR_208001258_SALES_ME">#REF!</definedName>
    <definedName name="A_KEYWORD_ISSR_208001258_SALES_MEXICO">#REF!</definedName>
    <definedName name="A_KEYWORD_ISSR_208001258_SALES_OTH_AEJ">#REF!</definedName>
    <definedName name="A_KEYWORD_ISSR_208001258_SALES_OTH_AM">#REF!</definedName>
    <definedName name="A_KEYWORD_ISSR_208001258_SALES_OTH_EMEA">#REF!</definedName>
    <definedName name="A_KEYWORD_ISSR_208001258_SALES_OTHER">#REF!</definedName>
    <definedName name="A_KEYWORD_ISSR_208001258_SALES_RUSSIA">#REF!</definedName>
    <definedName name="A_KEYWORD_ISSR_208001258_SALES_SMB">#REF!</definedName>
    <definedName name="A_KEYWORD_ISSR_208001258_SALES_TOT_AFRICA">#REF!</definedName>
    <definedName name="A_KEYWORD_ISSR_208001258_SALES_TOT_AM">#REF!</definedName>
    <definedName name="A_KEYWORD_ISSR_208001258_SALES_TOT_ASIA">#REF!</definedName>
    <definedName name="A_KEYWORD_ISSR_208001258_SALES_TOT_EMEA">#REF!</definedName>
    <definedName name="A_KEYWORD_ISSR_208001258_SALES_UK">#REF!</definedName>
    <definedName name="A_KEYWORD_ISSR_208001258_SALES_US">#REF!</definedName>
    <definedName name="A_KEYWORD_ISSR_208001258_SALES_VENEZUELA">#REF!</definedName>
    <definedName name="A_KEYWORD_ISSR_208001258_SEL_GL_AD">#REF!</definedName>
    <definedName name="A_KEYWORD_ISSR_208001258_SH_REPUR">#REF!</definedName>
    <definedName name="A_KEYWORD_ISSR_208001258_SHORT_T_DEBT">#REF!</definedName>
    <definedName name="A_KEYWORD_ISSR_208001258_SHORT_TERM_LIABS">#REF!</definedName>
    <definedName name="A_KEYWORD_ISSR_208001258_STOCKS">#REF!</definedName>
    <definedName name="A_KEYWORD_ISSR_208001258_TOT_ASSET">#REF!</definedName>
    <definedName name="A_KEYWORD_ISSR_208001258_TOT_CF">#REF!</definedName>
    <definedName name="A_KEYWORD_ISSR_208001258_TOT_LIAB">#REF!</definedName>
    <definedName name="A_KEYWORD_ISSR_208001258_TOT_LIAB_EQ">#REF!</definedName>
    <definedName name="A_KEYWORD_ISSR_208001258_TOT_LT_LIAB">#REF!</definedName>
    <definedName name="A_KEYWORD_ISSR_208001258_TOT_OPS_EXP">#REF!</definedName>
    <definedName name="A_KEYWORD_ISSR_208001258_TOT_OPS_EXP_DDA">#REF!</definedName>
    <definedName name="A_KEYWORD_ISSR_208001258_UNF_PENS">#REF!</definedName>
    <definedName name="A_KEYWORD_ISSR_208001258_UNF_PENS_LIAB_OTH">#REF!</definedName>
    <definedName name="A_KEYWORD_ISSR_208001258_UNF_PENS_OFF">#REF!</definedName>
    <definedName name="A_KEYWORD_ISSR_208001258_WORK_CAP">#REF!</definedName>
    <definedName name="A_KEYWORD_ISSR_208009722_ACC_AMORT">#REF!</definedName>
    <definedName name="A_KEYWORD_ISSR_208009722_ACC_DDA">#REF!</definedName>
    <definedName name="A_KEYWORD_ISSR_208009722_ACC_END_DATE">#REF!</definedName>
    <definedName name="A_KEYWORD_ISSR_208009722_ACC_PAY_GQ">#REF!</definedName>
    <definedName name="A_KEYWORD_ISSR_208009722_ACQ">#REF!</definedName>
    <definedName name="A_KEYWORD_ISSR_208009722_ADJ_UNF_PENS_GOOD">#REF!</definedName>
    <definedName name="A_KEYWORD_ISSR_208009722_ASSOC_JV_ADDBK">#REF!</definedName>
    <definedName name="A_KEYWORD_ISSR_208009722_ASSOCIATE">#REF!</definedName>
    <definedName name="A_KEYWORD_ISSR_208009722_ASSOCIATE_OP">#REF!</definedName>
    <definedName name="A_KEYWORD_ISSR_208009722_BAL_MINO_INT">#REF!</definedName>
    <definedName name="A_KEYWORD_ISSR_208009722_CAP_LEASES">#REF!</definedName>
    <definedName name="A_KEYWORD_ISSR_208009722_CAPEX">#REF!</definedName>
    <definedName name="A_KEYWORD_ISSR_208009722_CAPEX_EXPANSION">#REF!</definedName>
    <definedName name="A_KEYWORD_ISSR_208009722_CAPEX_MAINTENANCE">#REF!</definedName>
    <definedName name="A_KEYWORD_ISSR_208009722_CASH_EQ">#REF!</definedName>
    <definedName name="A_KEYWORD_ISSR_208009722_CASH_INT_EXP">#REF!</definedName>
    <definedName name="A_KEYWORD_ISSR_208009722_CASH_TAX_EXP">#REF!</definedName>
    <definedName name="A_KEYWORD_ISSR_208009722_CF_FIN">#REF!</definedName>
    <definedName name="A_KEYWORD_ISSR_208009722_CF_INC_MINORITY">#REF!</definedName>
    <definedName name="A_KEYWORD_ISSR_208009722_CF_INV">#REF!</definedName>
    <definedName name="A_KEYWORD_ISSR_208009722_CF_OPS">#REF!</definedName>
    <definedName name="A_KEYWORD_ISSR_208009722_CHG_LT_DEBT">#REF!</definedName>
    <definedName name="A_KEYWORD_ISSR_208009722_CO_BOR_MARGIN">#REF!</definedName>
    <definedName name="A_KEYWORD_ISSR_208009722_COST_GD_SD">#REF!</definedName>
    <definedName name="A_KEYWORD_ISSR_208009722_CUR_ASS">#REF!</definedName>
    <definedName name="A_KEYWORD_ISSR_208009722_CURRENCY_ISO">#REF!</definedName>
    <definedName name="A_KEYWORD_ISSR_208009722_DEBTORS">#REF!</definedName>
    <definedName name="A_KEYWORD_ISSR_208009722_DEF_INC_TAX">#REF!</definedName>
    <definedName name="A_KEYWORD_ISSR_208009722_DEPR_AMORT">#REF!</definedName>
    <definedName name="A_KEYWORD_ISSR_208009722_DEPREC">#REF!</definedName>
    <definedName name="A_KEYWORD_ISSR_208009722_DIV_PAID">#REF!</definedName>
    <definedName name="A_KEYWORD_ISSR_208009722_DIVDS_ASSOC_JV">#REF!</definedName>
    <definedName name="A_KEYWORD_ISSR_208009722_DIVDS_PD_MINORITIES">#REF!</definedName>
    <definedName name="A_KEYWORD_ISSR_208009722_DIVEST">#REF!</definedName>
    <definedName name="A_KEYWORD_ISSR_208009722_EBIT">#REF!</definedName>
    <definedName name="A_KEYWORD_ISSR_208009722_EBIT_FIN_SEGMENT">#REF!</definedName>
    <definedName name="A_KEYWORD_ISSR_208009722_EBITDA_CALC">#REF!</definedName>
    <definedName name="A_KEYWORD_ISSR_208009722_EMPLOYEES">#REF!</definedName>
    <definedName name="A_KEYWORD_ISSR_208009722_EQ">#REF!</definedName>
    <definedName name="A_KEYWORD_ISSR_208009722_ESO_PRE_TAX">#REF!</definedName>
    <definedName name="A_KEYWORD_ISSR_208009722_FIX_ASS_INV">#REF!</definedName>
    <definedName name="A_KEYWORD_ISSR_208009722_GCI_INFL">#REF!</definedName>
    <definedName name="A_KEYWORD_ISSR_208009722_GOODWILL_AMORT">#REF!</definedName>
    <definedName name="A_KEYWORD_ISSR_208009722_GR_FIX_ASS">#REF!</definedName>
    <definedName name="A_KEYWORD_ISSR_208009722_GR_INTANG">#REF!</definedName>
    <definedName name="A_KEYWORD_ISSR_208009722_INT_EXP_IND">#REF!</definedName>
    <definedName name="A_KEYWORD_ISSR_208009722_INT_INC_IND">#REF!</definedName>
    <definedName name="A_KEYWORD_ISSR_208009722_INV_SECUR">#REF!</definedName>
    <definedName name="A_KEYWORD_ISSR_208009722_Issuer_Name">#REF!</definedName>
    <definedName name="A_KEYWORD_ISSR_208009722_LEASE_DEEM_DEPR">#REF!</definedName>
    <definedName name="A_KEYWORD_ISSR_208009722_LEASE_DEEM_INT">#REF!</definedName>
    <definedName name="A_KEYWORD_ISSR_208009722_LEASE_PAY">#REF!</definedName>
    <definedName name="A_KEYWORD_ISSR_208009722_LT_DEBT">#REF!</definedName>
    <definedName name="A_KEYWORD_ISSR_208009722_MA_PROB">#REF!</definedName>
    <definedName name="A_KEYWORD_ISSR_208009722_MINORITIES">#REF!</definedName>
    <definedName name="A_KEYWORD_ISSR_208009722_MV_ASSOCIATES">#REF!</definedName>
    <definedName name="A_KEYWORD_ISSR_208009722_NET_DEBT">#REF!</definedName>
    <definedName name="A_KEYWORD_ISSR_208009722_NET_DEBT_ADJ">#REF!</definedName>
    <definedName name="A_KEYWORD_ISSR_208009722_NET_FIX_ASS">#REF!</definedName>
    <definedName name="A_KEYWORD_ISSR_208009722_NET_INT_CH">#REF!</definedName>
    <definedName name="A_KEYWORD_ISSR_208009722_NET_INT_EXP">#REF!</definedName>
    <definedName name="A_KEYWORD_ISSR_208009722_NET_INTANG">#REF!</definedName>
    <definedName name="A_KEYWORD_ISSR_208009722_NONPPE_CAPEX">#REF!</definedName>
    <definedName name="A_KEYWORD_ISSR_208009722_OP_AUSTRA">#REF!</definedName>
    <definedName name="A_KEYWORD_ISSR_208009722_OP_AUSTRIA">#REF!</definedName>
    <definedName name="A_KEYWORD_ISSR_208009722_OP_BEL">#REF!</definedName>
    <definedName name="A_KEYWORD_ISSR_208009722_OP_BRAZIL">#REF!</definedName>
    <definedName name="A_KEYWORD_ISSR_208009722_OP_CANADA">#REF!</definedName>
    <definedName name="A_KEYWORD_ISSR_208009722_OP_CEE">#REF!</definedName>
    <definedName name="A_KEYWORD_ISSR_208009722_OP_CHINA">#REF!</definedName>
    <definedName name="A_KEYWORD_ISSR_208009722_OP_CONS">#REF!</definedName>
    <definedName name="A_KEYWORD_ISSR_208009722_OP_COST">#REF!</definedName>
    <definedName name="A_KEYWORD_ISSR_208009722_OP_DEN">#REF!</definedName>
    <definedName name="A_KEYWORD_ISSR_208009722_OP_EU_EX_UK">#REF!</definedName>
    <definedName name="A_KEYWORD_ISSR_208009722_OP_FIN">#REF!</definedName>
    <definedName name="A_KEYWORD_ISSR_208009722_OP_FRA">#REF!</definedName>
    <definedName name="A_KEYWORD_ISSR_208009722_OP_GER">#REF!</definedName>
    <definedName name="A_KEYWORD_ISSR_208009722_OP_GOV">#REF!</definedName>
    <definedName name="A_KEYWORD_ISSR_208009722_OP_GRE">#REF!</definedName>
    <definedName name="A_KEYWORD_ISSR_208009722_OP_ICE">#REF!</definedName>
    <definedName name="A_KEYWORD_ISSR_208009722_OP_IND">#REF!</definedName>
    <definedName name="A_KEYWORD_ISSR_208009722_OP_INDIA">#REF!</definedName>
    <definedName name="A_KEYWORD_ISSR_208009722_OP_IRE">#REF!</definedName>
    <definedName name="A_KEYWORD_ISSR_208009722_OP_ITA">#REF!</definedName>
    <definedName name="A_KEYWORD_ISSR_208009722_OP_JAPAN">#REF!</definedName>
    <definedName name="A_KEYWORD_ISSR_208009722_OP_ME">#REF!</definedName>
    <definedName name="A_KEYWORD_ISSR_208009722_OP_NETH">#REF!</definedName>
    <definedName name="A_KEYWORD_ISSR_208009722_OP_NOR">#REF!</definedName>
    <definedName name="A_KEYWORD_ISSR_208009722_OP_NZ">#REF!</definedName>
    <definedName name="A_KEYWORD_ISSR_208009722_OP_OTH_AEJ">#REF!</definedName>
    <definedName name="A_KEYWORD_ISSR_208009722_OP_OTH_AM">#REF!</definedName>
    <definedName name="A_KEYWORD_ISSR_208009722_OP_OTH_EMEA">#REF!</definedName>
    <definedName name="A_KEYWORD_ISSR_208009722_OP_OTHER">#REF!</definedName>
    <definedName name="A_KEYWORD_ISSR_208009722_OP_POR">#REF!</definedName>
    <definedName name="A_KEYWORD_ISSR_208009722_OP_RUSSIA">#REF!</definedName>
    <definedName name="A_KEYWORD_ISSR_208009722_OP_SK">#REF!</definedName>
    <definedName name="A_KEYWORD_ISSR_208009722_OP_SPA">#REF!</definedName>
    <definedName name="A_KEYWORD_ISSR_208009722_OP_SWE">#REF!</definedName>
    <definedName name="A_KEYWORD_ISSR_208009722_OP_SWIT">#REF!</definedName>
    <definedName name="A_KEYWORD_ISSR_208009722_OP_TOT_AM">#REF!</definedName>
    <definedName name="A_KEYWORD_ISSR_208009722_OP_TOT_ASIA">#REF!</definedName>
    <definedName name="A_KEYWORD_ISSR_208009722_OP_TOT_EMEA">#REF!</definedName>
    <definedName name="A_KEYWORD_ISSR_208009722_OP_UK">#REF!</definedName>
    <definedName name="A_KEYWORD_ISSR_208009722_OP_US">#REF!</definedName>
    <definedName name="A_KEYWORD_ISSR_208009722_ORD_SH_FUND">#REF!</definedName>
    <definedName name="A_KEYWORD_ISSR_208009722_ORG_REV_GRTH">#REF!</definedName>
    <definedName name="A_KEYWORD_ISSR_208009722_OTH_COST_INC">#REF!</definedName>
    <definedName name="A_KEYWORD_ISSR_208009722_OTH_CUR_ASS">#REF!</definedName>
    <definedName name="A_KEYWORD_ISSR_208009722_OTH_CUR_LIABS">#REF!</definedName>
    <definedName name="A_KEYWORD_ISSR_208009722_OTH_DACF_ADJ">#REF!</definedName>
    <definedName name="A_KEYWORD_ISSR_208009722_OTH_FIN_CF">#REF!</definedName>
    <definedName name="A_KEYWORD_ISSR_208009722_OTH_GCI_ADJ">#REF!</definedName>
    <definedName name="A_KEYWORD_ISSR_208009722_OTH_INV_CF">#REF!</definedName>
    <definedName name="A_KEYWORD_ISSR_208009722_OTH_LT_ASS">#REF!</definedName>
    <definedName name="A_KEYWORD_ISSR_208009722_OTH_LT_CRED_GQ">#REF!</definedName>
    <definedName name="A_KEYWORD_ISSR_208009722_OTH_NONCASH_ADJ">#REF!</definedName>
    <definedName name="A_KEYWORD_ISSR_208009722_OTH_OP_CF">#REF!</definedName>
    <definedName name="A_KEYWORD_ISSR_208009722_OTH_OP_INC_EXP">#REF!</definedName>
    <definedName name="A_KEYWORD_ISSR_208009722_PERIOD_MILESTONE">#REF!</definedName>
    <definedName name="A_KEYWORD_ISSR_208009722_PL_SALE_ASSETS">#REF!</definedName>
    <definedName name="A_KEYWORD_ISSR_208009722_PREF_SH">#REF!</definedName>
    <definedName name="A_KEYWORD_ISSR_208009722_PROFIT_ON_DISP">#REF!</definedName>
    <definedName name="A_KEYWORD_ISSR_208009722_PT_PROF">#REF!</definedName>
    <definedName name="A_KEYWORD_ISSR_208009722_RD_EXP">#REF!</definedName>
    <definedName name="A_KEYWORD_ISSR_208009722_REV_FIN_SEGMENT">#REF!</definedName>
    <definedName name="A_KEYWORD_ISSR_208009722_SALES">#REF!</definedName>
    <definedName name="A_KEYWORD_ISSR_208009722_SALES_AUSTRA">#REF!</definedName>
    <definedName name="A_KEYWORD_ISSR_208009722_SALES_AUSTRIA">#REF!</definedName>
    <definedName name="A_KEYWORD_ISSR_208009722_SALES_BEL">#REF!</definedName>
    <definedName name="A_KEYWORD_ISSR_208009722_SALES_BRAZIL">#REF!</definedName>
    <definedName name="A_KEYWORD_ISSR_208009722_SALES_CANADA">#REF!</definedName>
    <definedName name="A_KEYWORD_ISSR_208009722_SALES_CEE">#REF!</definedName>
    <definedName name="A_KEYWORD_ISSR_208009722_SALES_CHINA">#REF!</definedName>
    <definedName name="A_KEYWORD_ISSR_208009722_SALES_CONS">#REF!</definedName>
    <definedName name="A_KEYWORD_ISSR_208009722_SALES_DEN">#REF!</definedName>
    <definedName name="A_KEYWORD_ISSR_208009722_SALES_EU_EX_UK">#REF!</definedName>
    <definedName name="A_KEYWORD_ISSR_208009722_SALES_FIN">#REF!</definedName>
    <definedName name="A_KEYWORD_ISSR_208009722_SALES_FINAN">#REF!</definedName>
    <definedName name="A_KEYWORD_ISSR_208009722_SALES_FRA">#REF!</definedName>
    <definedName name="A_KEYWORD_ISSR_208009722_SALES_GER">#REF!</definedName>
    <definedName name="A_KEYWORD_ISSR_208009722_SALES_GOV">#REF!</definedName>
    <definedName name="A_KEYWORD_ISSR_208009722_SALES_GRE">#REF!</definedName>
    <definedName name="A_KEYWORD_ISSR_208009722_SALES_ICE">#REF!</definedName>
    <definedName name="A_KEYWORD_ISSR_208009722_SALES_IND">#REF!</definedName>
    <definedName name="A_KEYWORD_ISSR_208009722_SALES_INDIA">#REF!</definedName>
    <definedName name="A_KEYWORD_ISSR_208009722_SALES_IRE">#REF!</definedName>
    <definedName name="A_KEYWORD_ISSR_208009722_SALES_ITA">#REF!</definedName>
    <definedName name="A_KEYWORD_ISSR_208009722_SALES_JAPAN">#REF!</definedName>
    <definedName name="A_KEYWORD_ISSR_208009722_SALES_ME">#REF!</definedName>
    <definedName name="A_KEYWORD_ISSR_208009722_SALES_NETH">#REF!</definedName>
    <definedName name="A_KEYWORD_ISSR_208009722_SALES_NOR">#REF!</definedName>
    <definedName name="A_KEYWORD_ISSR_208009722_SALES_NZ">#REF!</definedName>
    <definedName name="A_KEYWORD_ISSR_208009722_SALES_OTH_AEJ">#REF!</definedName>
    <definedName name="A_KEYWORD_ISSR_208009722_SALES_OTH_AM">#REF!</definedName>
    <definedName name="A_KEYWORD_ISSR_208009722_SALES_OTH_EMEA">#REF!</definedName>
    <definedName name="A_KEYWORD_ISSR_208009722_SALES_OTHER">#REF!</definedName>
    <definedName name="A_KEYWORD_ISSR_208009722_SALES_POR">#REF!</definedName>
    <definedName name="A_KEYWORD_ISSR_208009722_SALES_RUSSIA">#REF!</definedName>
    <definedName name="A_KEYWORD_ISSR_208009722_SALES_SK">#REF!</definedName>
    <definedName name="A_KEYWORD_ISSR_208009722_SALES_SMB">#REF!</definedName>
    <definedName name="A_KEYWORD_ISSR_208009722_SALES_SPA">#REF!</definedName>
    <definedName name="A_KEYWORD_ISSR_208009722_SALES_SWE">#REF!</definedName>
    <definedName name="A_KEYWORD_ISSR_208009722_SALES_SWIT">#REF!</definedName>
    <definedName name="A_KEYWORD_ISSR_208009722_SALES_TOT_AM">#REF!</definedName>
    <definedName name="A_KEYWORD_ISSR_208009722_SALES_TOT_ASIA">#REF!</definedName>
    <definedName name="A_KEYWORD_ISSR_208009722_SALES_TOT_EMEA">#REF!</definedName>
    <definedName name="A_KEYWORD_ISSR_208009722_SALES_UK">#REF!</definedName>
    <definedName name="A_KEYWORD_ISSR_208009722_SALES_US">#REF!</definedName>
    <definedName name="A_KEYWORD_ISSR_208009722_SEL_GL_AD">#REF!</definedName>
    <definedName name="A_KEYWORD_ISSR_208009722_SH_REPUR">#REF!</definedName>
    <definedName name="A_KEYWORD_ISSR_208009722_SHORT_T_DEBT">#REF!</definedName>
    <definedName name="A_KEYWORD_ISSR_208009722_SHORT_TERM_LIABS">#REF!</definedName>
    <definedName name="A_KEYWORD_ISSR_208009722_STOCKS">#REF!</definedName>
    <definedName name="A_KEYWORD_ISSR_208009722_TOT_ASSET">#REF!</definedName>
    <definedName name="A_KEYWORD_ISSR_208009722_TOT_CF">#REF!</definedName>
    <definedName name="A_KEYWORD_ISSR_208009722_TOT_LIAB">#REF!</definedName>
    <definedName name="A_KEYWORD_ISSR_208009722_TOT_LIAB_EQ">#REF!</definedName>
    <definedName name="A_KEYWORD_ISSR_208009722_TOT_LT_LIAB">#REF!</definedName>
    <definedName name="A_KEYWORD_ISSR_208009722_TOT_OPS_EXP">#REF!</definedName>
    <definedName name="A_KEYWORD_ISSR_208009722_TOT_OPS_EXP_DDA">#REF!</definedName>
    <definedName name="A_KEYWORD_ISSR_208009722_UNF_PENS">#REF!</definedName>
    <definedName name="A_KEYWORD_ISSR_208009722_UNF_PENS_LIAB_OTH">#REF!</definedName>
    <definedName name="A_KEYWORD_ISSR_208009722_UNF_PENS_OFF">#REF!</definedName>
    <definedName name="A_KEYWORD_ISSR_208009722_WORK_CAP">#REF!</definedName>
    <definedName name="A_KEYWORD_ISSR_208011556_ACC_AMORT">#REF!</definedName>
    <definedName name="A_KEYWORD_ISSR_208011556_ACC_DDA">#REF!</definedName>
    <definedName name="A_KEYWORD_ISSR_208011556_ACC_END_DATE">#REF!</definedName>
    <definedName name="A_KEYWORD_ISSR_208011556_ACC_PAY_GQ">#REF!</definedName>
    <definedName name="A_KEYWORD_ISSR_208011556_ACQ">#REF!</definedName>
    <definedName name="A_KEYWORD_ISSR_208011556_ADJ_UNF_PENS_GOOD">#REF!</definedName>
    <definedName name="A_KEYWORD_ISSR_208011556_ASSOC_JV_ADDBK">#REF!</definedName>
    <definedName name="A_KEYWORD_ISSR_208011556_ASSOCIATE">#REF!</definedName>
    <definedName name="A_KEYWORD_ISSR_208011556_ASSOCIATE_OP">#REF!</definedName>
    <definedName name="A_KEYWORD_ISSR_208011556_BAL_MINO_INT">#REF!</definedName>
    <definedName name="A_KEYWORD_ISSR_208011556_CAP_LEASES">#REF!</definedName>
    <definedName name="A_KEYWORD_ISSR_208011556_CAPEX">#REF!</definedName>
    <definedName name="A_KEYWORD_ISSR_208011556_CAPEX_EXPANSION">#REF!</definedName>
    <definedName name="A_KEYWORD_ISSR_208011556_CAPEX_MAINTENANCE">#REF!</definedName>
    <definedName name="A_KEYWORD_ISSR_208011556_CASH_EQ">#REF!</definedName>
    <definedName name="A_KEYWORD_ISSR_208011556_CASH_INT_EXP">#REF!</definedName>
    <definedName name="A_KEYWORD_ISSR_208011556_CASH_PCT_OS_US">#REF!</definedName>
    <definedName name="A_KEYWORD_ISSR_208011556_CASH_TAX_EXP">#REF!</definedName>
    <definedName name="A_KEYWORD_ISSR_208011556_CF_FIN">#REF!</definedName>
    <definedName name="A_KEYWORD_ISSR_208011556_CF_INC_MINORITY">#REF!</definedName>
    <definedName name="A_KEYWORD_ISSR_208011556_CF_INV">#REF!</definedName>
    <definedName name="A_KEYWORD_ISSR_208011556_CF_OPS">#REF!</definedName>
    <definedName name="A_KEYWORD_ISSR_208011556_CHG_LT_DEBT">#REF!</definedName>
    <definedName name="A_KEYWORD_ISSR_208011556_CO_BOR_MARGIN">#REF!</definedName>
    <definedName name="A_KEYWORD_ISSR_208011556_CONTRIB_MARGIN_RATIO">#REF!</definedName>
    <definedName name="A_KEYWORD_ISSR_208011556_COST_GD_SD">#REF!</definedName>
    <definedName name="A_KEYWORD_ISSR_208011556_CUR_ASS">#REF!</definedName>
    <definedName name="A_KEYWORD_ISSR_208011556_CURRENCY_ISO">#REF!</definedName>
    <definedName name="A_KEYWORD_ISSR_208011556_DEBTORS">#REF!</definedName>
    <definedName name="A_KEYWORD_ISSR_208011556_DEF_INC_TAX">#REF!</definedName>
    <definedName name="A_KEYWORD_ISSR_208011556_DEPR_AMORT">#REF!</definedName>
    <definedName name="A_KEYWORD_ISSR_208011556_DEPREC">#REF!</definedName>
    <definedName name="A_KEYWORD_ISSR_208011556_DIV_PAID">#REF!</definedName>
    <definedName name="A_KEYWORD_ISSR_208011556_DIVDS_ASSOC_JV">#REF!</definedName>
    <definedName name="A_KEYWORD_ISSR_208011556_DIVDS_PD_MINORITIES">#REF!</definedName>
    <definedName name="A_KEYWORD_ISSR_208011556_DIVEST">#REF!</definedName>
    <definedName name="A_KEYWORD_ISSR_208011556_EBIT">#REF!</definedName>
    <definedName name="A_KEYWORD_ISSR_208011556_EBIT_FIN_SEGMENT">#REF!</definedName>
    <definedName name="A_KEYWORD_ISSR_208011556_EBITDA_CALC">#REF!</definedName>
    <definedName name="A_KEYWORD_ISSR_208011556_EMPLOYEES">#REF!</definedName>
    <definedName name="A_KEYWORD_ISSR_208011556_EQ">#REF!</definedName>
    <definedName name="A_KEYWORD_ISSR_208011556_ESO_PRE_TAX">#REF!</definedName>
    <definedName name="A_KEYWORD_ISSR_208011556_EXP_ALUMINIUM">#REF!</definedName>
    <definedName name="A_KEYWORD_ISSR_208011556_EXP_COPPER">#REF!</definedName>
    <definedName name="A_KEYWORD_ISSR_208011556_EXP_GLASS">#REF!</definedName>
    <definedName name="A_KEYWORD_ISSR_208011556_EXP_GOLD">#REF!</definedName>
    <definedName name="A_KEYWORD_ISSR_208011556_EXP_NICKEL">#REF!</definedName>
    <definedName name="A_KEYWORD_ISSR_208011556_EXP_OIL_DERIV_NGLS_PLASTICS">#REF!</definedName>
    <definedName name="A_KEYWORD_ISSR_208011556_EXP_OIL_PETRO_FUEL">#REF!</definedName>
    <definedName name="A_KEYWORD_ISSR_208011556_EXP_OTH_COMMODITY">#REF!</definedName>
    <definedName name="A_KEYWORD_ISSR_208011556_EXP_OTH_COST">#REF!</definedName>
    <definedName name="A_KEYWORD_ISSR_208011556_EXP_PALLADIUM">#REF!</definedName>
    <definedName name="A_KEYWORD_ISSR_208011556_EXP_PAPER_PULP">#REF!</definedName>
    <definedName name="A_KEYWORD_ISSR_208011556_EXP_PLATINUM">#REF!</definedName>
    <definedName name="A_KEYWORD_ISSR_208011556_EXP_SILVER">#REF!</definedName>
    <definedName name="A_KEYWORD_ISSR_208011556_EXP_WATER">#REF!</definedName>
    <definedName name="A_KEYWORD_ISSR_208011556_EXP_ZINC">#REF!</definedName>
    <definedName name="A_KEYWORD_ISSR_208011556_FIX_ASS_INV">#REF!</definedName>
    <definedName name="A_KEYWORD_ISSR_208011556_GCI_INFL">#REF!</definedName>
    <definedName name="A_KEYWORD_ISSR_208011556_GOODWILL_AMORT">#REF!</definedName>
    <definedName name="A_KEYWORD_ISSR_208011556_GR_FIX_ASS">#REF!</definedName>
    <definedName name="A_KEYWORD_ISSR_208011556_GR_INTANG">#REF!</definedName>
    <definedName name="A_KEYWORD_ISSR_208011556_INT_EXP_IND">#REF!</definedName>
    <definedName name="A_KEYWORD_ISSR_208011556_INT_INC_IND">#REF!</definedName>
    <definedName name="A_KEYWORD_ISSR_208011556_INV_SECUR">#REF!</definedName>
    <definedName name="A_KEYWORD_ISSR_208011556_Issuer_Name">#REF!</definedName>
    <definedName name="A_KEYWORD_ISSR_208011556_LEASE_DEEM_DEPR">#REF!</definedName>
    <definedName name="A_KEYWORD_ISSR_208011556_LEASE_DEEM_INT">#REF!</definedName>
    <definedName name="A_KEYWORD_ISSR_208011556_LEASE_PAY">#REF!</definedName>
    <definedName name="A_KEYWORD_ISSR_208011556_LT_DEBT">#REF!</definedName>
    <definedName name="A_KEYWORD_ISSR_208011556_MA_PROB">#REF!</definedName>
    <definedName name="A_KEYWORD_ISSR_208011556_MINORITIES">#REF!</definedName>
    <definedName name="A_KEYWORD_ISSR_208011556_MV_ASSOCIATES">#REF!</definedName>
    <definedName name="A_KEYWORD_ISSR_208011556_NET_DEBT">#REF!</definedName>
    <definedName name="A_KEYWORD_ISSR_208011556_NET_DEBT_ADJ">#REF!</definedName>
    <definedName name="A_KEYWORD_ISSR_208011556_NET_FIX_ASS">#REF!</definedName>
    <definedName name="A_KEYWORD_ISSR_208011556_NET_INT_CH">#REF!</definedName>
    <definedName name="A_KEYWORD_ISSR_208011556_NET_INT_EXP">#REF!</definedName>
    <definedName name="A_KEYWORD_ISSR_208011556_NET_INTANG">#REF!</definedName>
    <definedName name="A_KEYWORD_ISSR_208011556_NONPPE_CAPEX">#REF!</definedName>
    <definedName name="A_KEYWORD_ISSR_208011556_OP_COST">#REF!</definedName>
    <definedName name="A_KEYWORD_ISSR_208011556_ORD_SH_FUND">#REF!</definedName>
    <definedName name="A_KEYWORD_ISSR_208011556_OTH_COST_INC">#REF!</definedName>
    <definedName name="A_KEYWORD_ISSR_208011556_OTH_CUR_ASS">#REF!</definedName>
    <definedName name="A_KEYWORD_ISSR_208011556_OTH_CUR_LIABS">#REF!</definedName>
    <definedName name="A_KEYWORD_ISSR_208011556_OTH_DACF_ADJ">#REF!</definedName>
    <definedName name="A_KEYWORD_ISSR_208011556_OTH_FIN_CF">#REF!</definedName>
    <definedName name="A_KEYWORD_ISSR_208011556_OTH_GCI_ADJ">#REF!</definedName>
    <definedName name="A_KEYWORD_ISSR_208011556_OTH_INV_CF">#REF!</definedName>
    <definedName name="A_KEYWORD_ISSR_208011556_OTH_LT_ASS">#REF!</definedName>
    <definedName name="A_KEYWORD_ISSR_208011556_OTH_LT_CRED_GQ">#REF!</definedName>
    <definedName name="A_KEYWORD_ISSR_208011556_OTH_NONCASH_ADJ">#REF!</definedName>
    <definedName name="A_KEYWORD_ISSR_208011556_OTH_OP_CF">#REF!</definedName>
    <definedName name="A_KEYWORD_ISSR_208011556_OTH_OP_INC_EXP">#REF!</definedName>
    <definedName name="A_KEYWORD_ISSR_208011556_PERIOD_MILESTONE">#REF!</definedName>
    <definedName name="A_KEYWORD_ISSR_208011556_PL_SALE_ASSETS">#REF!</definedName>
    <definedName name="A_KEYWORD_ISSR_208011556_PREF_SH">#REF!</definedName>
    <definedName name="A_KEYWORD_ISSR_208011556_PROFIT_ON_DISP">#REF!</definedName>
    <definedName name="A_KEYWORD_ISSR_208011556_PT_PROF">#REF!</definedName>
    <definedName name="A_KEYWORD_ISSR_208011556_RD_EXP">#REF!</definedName>
    <definedName name="A_KEYWORD_ISSR_208011556_REV_FIN_SEGMENT">#REF!</definedName>
    <definedName name="A_KEYWORD_ISSR_208011556_SALES">#REF!</definedName>
    <definedName name="A_KEYWORD_ISSR_208011556_SALES_ARGENTINA">#REF!</definedName>
    <definedName name="A_KEYWORD_ISSR_208011556_SALES_BRAZIL">#REF!</definedName>
    <definedName name="A_KEYWORD_ISSR_208011556_SALES_CANADA">#REF!</definedName>
    <definedName name="A_KEYWORD_ISSR_208011556_SALES_CEE">#REF!</definedName>
    <definedName name="A_KEYWORD_ISSR_208011556_SALES_CHILE">#REF!</definedName>
    <definedName name="A_KEYWORD_ISSR_208011556_SALES_CHINA">#REF!</definedName>
    <definedName name="A_KEYWORD_ISSR_208011556_SALES_COLOMBIA">#REF!</definedName>
    <definedName name="A_KEYWORD_ISSR_208011556_SALES_CONS">#REF!</definedName>
    <definedName name="A_KEYWORD_ISSR_208011556_SALES_EU_EX_UK">#REF!</definedName>
    <definedName name="A_KEYWORD_ISSR_208011556_SALES_FINAN">#REF!</definedName>
    <definedName name="A_KEYWORD_ISSR_208011556_SALES_FX_ARS">#REF!</definedName>
    <definedName name="A_KEYWORD_ISSR_208011556_SALES_FX_BRL">#REF!</definedName>
    <definedName name="A_KEYWORD_ISSR_208011556_SALES_FX_CAD">#REF!</definedName>
    <definedName name="A_KEYWORD_ISSR_208011556_SALES_FX_CLP">#REF!</definedName>
    <definedName name="A_KEYWORD_ISSR_208011556_SALES_FX_CNY">#REF!</definedName>
    <definedName name="A_KEYWORD_ISSR_208011556_SALES_FX_COP">#REF!</definedName>
    <definedName name="A_KEYWORD_ISSR_208011556_SALES_FX_EUR">#REF!</definedName>
    <definedName name="A_KEYWORD_ISSR_208011556_SALES_FX_GPB">#REF!</definedName>
    <definedName name="A_KEYWORD_ISSR_208011556_SALES_FX_INR">#REF!</definedName>
    <definedName name="A_KEYWORD_ISSR_208011556_SALES_FX_MXN">#REF!</definedName>
    <definedName name="A_KEYWORD_ISSR_208011556_SALES_FX_OTH">#REF!</definedName>
    <definedName name="A_KEYWORD_ISSR_208011556_SALES_FX_RUB">#REF!</definedName>
    <definedName name="A_KEYWORD_ISSR_208011556_SALES_FX_USD">#REF!</definedName>
    <definedName name="A_KEYWORD_ISSR_208011556_SALES_FX_VEF">#REF!</definedName>
    <definedName name="A_KEYWORD_ISSR_208011556_SALES_FX_YEN">#REF!</definedName>
    <definedName name="A_KEYWORD_ISSR_208011556_SALES_GOV">#REF!</definedName>
    <definedName name="A_KEYWORD_ISSR_208011556_SALES_IND">#REF!</definedName>
    <definedName name="A_KEYWORD_ISSR_208011556_SALES_INDIA">#REF!</definedName>
    <definedName name="A_KEYWORD_ISSR_208011556_SALES_JAPAN">#REF!</definedName>
    <definedName name="A_KEYWORD_ISSR_208011556_SALES_ME">#REF!</definedName>
    <definedName name="A_KEYWORD_ISSR_208011556_SALES_MEXICO">#REF!</definedName>
    <definedName name="A_KEYWORD_ISSR_208011556_SALES_OTH_AEJ">#REF!</definedName>
    <definedName name="A_KEYWORD_ISSR_208011556_SALES_OTH_AM">#REF!</definedName>
    <definedName name="A_KEYWORD_ISSR_208011556_SALES_OTH_EMEA">#REF!</definedName>
    <definedName name="A_KEYWORD_ISSR_208011556_SALES_OTHER">#REF!</definedName>
    <definedName name="A_KEYWORD_ISSR_208011556_SALES_RUSSIA">#REF!</definedName>
    <definedName name="A_KEYWORD_ISSR_208011556_SALES_SMB">#REF!</definedName>
    <definedName name="A_KEYWORD_ISSR_208011556_SALES_TOT_AFRICA">#REF!</definedName>
    <definedName name="A_KEYWORD_ISSR_208011556_SALES_TOT_AM">#REF!</definedName>
    <definedName name="A_KEYWORD_ISSR_208011556_SALES_TOT_ASIA">#REF!</definedName>
    <definedName name="A_KEYWORD_ISSR_208011556_SALES_TOT_EMEA">#REF!</definedName>
    <definedName name="A_KEYWORD_ISSR_208011556_SALES_UK">#REF!</definedName>
    <definedName name="A_KEYWORD_ISSR_208011556_SALES_US">#REF!</definedName>
    <definedName name="A_KEYWORD_ISSR_208011556_SALES_VENEZUELA">#REF!</definedName>
    <definedName name="A_KEYWORD_ISSR_208011556_SEL_GL_AD">#REF!</definedName>
    <definedName name="A_KEYWORD_ISSR_208011556_SH_REPUR">#REF!</definedName>
    <definedName name="A_KEYWORD_ISSR_208011556_SHORT_T_DEBT">#REF!</definedName>
    <definedName name="A_KEYWORD_ISSR_208011556_SHORT_TERM_LIABS">#REF!</definedName>
    <definedName name="A_KEYWORD_ISSR_208011556_STOCKS">#REF!</definedName>
    <definedName name="A_KEYWORD_ISSR_208011556_TOT_ASSET">#REF!</definedName>
    <definedName name="A_KEYWORD_ISSR_208011556_TOT_CF">#REF!</definedName>
    <definedName name="A_KEYWORD_ISSR_208011556_TOT_LIAB">#REF!</definedName>
    <definedName name="A_KEYWORD_ISSR_208011556_TOT_LIAB_EQ">#REF!</definedName>
    <definedName name="A_KEYWORD_ISSR_208011556_TOT_LT_LIAB">#REF!</definedName>
    <definedName name="A_KEYWORD_ISSR_208011556_TOT_OPS_EXP">#REF!</definedName>
    <definedName name="A_KEYWORD_ISSR_208011556_TOT_OPS_EXP_DDA">#REF!</definedName>
    <definedName name="A_KEYWORD_ISSR_208011556_UNF_PENS">#REF!</definedName>
    <definedName name="A_KEYWORD_ISSR_208011556_UNF_PENS_LIAB_OTH">#REF!</definedName>
    <definedName name="A_KEYWORD_ISSR_208011556_UNF_PENS_OFF">#REF!</definedName>
    <definedName name="A_KEYWORD_ISSR_208011556_WORK_CAP">#REF!</definedName>
    <definedName name="A_LIVEDATA_EQTY_200001646">#REF!</definedName>
    <definedName name="A_LIVEDATA_EQTY_200002831">#REF!</definedName>
    <definedName name="A_LIVEDATA_EQTY_200004419">#REF!</definedName>
    <definedName name="A_LIVEDATA_EQTY_200012762">#REF!</definedName>
    <definedName name="A_LIVEDATA_EQTY_200014750">#REF!</definedName>
    <definedName name="A_LIVEDATA_ISSR_208000603">#REF!</definedName>
    <definedName name="A_LIVEDATA_ISSR_208000976">#REF!</definedName>
    <definedName name="A_LIVEDATA_ISSR_208001258">#REF!</definedName>
    <definedName name="A_LIVEDATA_ISSR_208009722">#REF!</definedName>
    <definedName name="A_LIVEDATA_ISSR_208011556">#REF!</definedName>
    <definedName name="A_NOM">#REF!,#REF!,#REF!,#REF!,#REF!,#REF!</definedName>
    <definedName name="A_PERIOD_2002">#REF!</definedName>
    <definedName name="A_PERIOD_2003">#REF!</definedName>
    <definedName name="A_PERIOD_2003_Q1">#REF!</definedName>
    <definedName name="A_PERIOD_2003_Q2">#REF!</definedName>
    <definedName name="A_PERIOD_2003_Q3">#REF!</definedName>
    <definedName name="A_PERIOD_2003_Q4">#REF!</definedName>
    <definedName name="A_PERIOD_2004">#REF!</definedName>
    <definedName name="A_PERIOD_2004_Q1">#REF!</definedName>
    <definedName name="A_PERIOD_2004_Q2">#REF!</definedName>
    <definedName name="A_PERIOD_2004_Q3">#REF!</definedName>
    <definedName name="A_PERIOD_2004_Q4">#REF!</definedName>
    <definedName name="A_PERIOD_2005">#REF!</definedName>
    <definedName name="A_PERIOD_2005_Q1">#REF!</definedName>
    <definedName name="A_PERIOD_2005_Q2">#REF!</definedName>
    <definedName name="A_PERIOD_2005_Q3">#REF!</definedName>
    <definedName name="A_PERIOD_2005_Q4">#REF!</definedName>
    <definedName name="A_PERIOD_2006_Q1">#REF!</definedName>
    <definedName name="A_PERIOD_2006_Q2">#REF!</definedName>
    <definedName name="A_PERIOD_2006_Q3">#REF!</definedName>
    <definedName name="A_PERIOD_2006_Q4">#REF!</definedName>
    <definedName name="A_SECTION_EQTY_200001646_1314">#REF!</definedName>
    <definedName name="A_SECTION_EQTY_200001646_1319">#REF!</definedName>
    <definedName name="A_SECTION_EQTY_200001646_131E">#REF!</definedName>
    <definedName name="A_SECTION_EQTY_200001646_131O">#REF!</definedName>
    <definedName name="A_SECTION_EQTY_200001646_131P">#REF!</definedName>
    <definedName name="A_SECTION_EQTY_200001646_13A">#REF!</definedName>
    <definedName name="A_SECTION_EQTY_200001646_13K">#REF!</definedName>
    <definedName name="A_SECTION_EQTY_200001646_13U">#REF!</definedName>
    <definedName name="A_SECTION_EQTY_200001646_13V">#REF!</definedName>
    <definedName name="A_SECTION_EQTY_200001646_13W">#REF!</definedName>
    <definedName name="A_SECTION_EQTY_200001646_Reference_Data">#REF!</definedName>
    <definedName name="A_SECTION_EQTY_200002831_1314">#REF!</definedName>
    <definedName name="A_SECTION_EQTY_200002831_1319">#REF!</definedName>
    <definedName name="A_SECTION_EQTY_200002831_131E">#REF!</definedName>
    <definedName name="A_SECTION_EQTY_200002831_131O">#REF!</definedName>
    <definedName name="A_SECTION_EQTY_200002831_13A">#REF!</definedName>
    <definedName name="A_SECTION_EQTY_200002831_13K">#REF!</definedName>
    <definedName name="A_SECTION_EQTY_200002831_13U">#REF!</definedName>
    <definedName name="A_SECTION_EQTY_200002831_13V">#REF!</definedName>
    <definedName name="A_SECTION_EQTY_200002831_13W">#REF!</definedName>
    <definedName name="A_SECTION_EQTY_200002831_Reference_Data">#REF!</definedName>
    <definedName name="A_SECTION_EQTY_200004419_1314">#REF!</definedName>
    <definedName name="A_SECTION_EQTY_200004419_1319">#REF!</definedName>
    <definedName name="A_SECTION_EQTY_200004419_131E">#REF!</definedName>
    <definedName name="A_SECTION_EQTY_200004419_131O">#REF!</definedName>
    <definedName name="A_SECTION_EQTY_200004419_13A">#REF!</definedName>
    <definedName name="A_SECTION_EQTY_200004419_13K">#REF!</definedName>
    <definedName name="A_SECTION_EQTY_200004419_13U">#REF!</definedName>
    <definedName name="A_SECTION_EQTY_200004419_13V">#REF!</definedName>
    <definedName name="A_SECTION_EQTY_200004419_13W">#REF!</definedName>
    <definedName name="A_SECTION_EQTY_200004419_Reference_Data">#REF!</definedName>
    <definedName name="A_SECTION_EQTY_200012762_1314">#REF!</definedName>
    <definedName name="A_SECTION_EQTY_200012762_1319">#REF!</definedName>
    <definedName name="A_SECTION_EQTY_200012762_131E">#REF!</definedName>
    <definedName name="A_SECTION_EQTY_200012762_131O">#REF!</definedName>
    <definedName name="A_SECTION_EQTY_200012762_13A">#REF!</definedName>
    <definedName name="A_SECTION_EQTY_200012762_13K">#REF!</definedName>
    <definedName name="A_SECTION_EQTY_200012762_13U">#REF!</definedName>
    <definedName name="A_SECTION_EQTY_200012762_13V">#REF!</definedName>
    <definedName name="A_SECTION_EQTY_200012762_13W">#REF!</definedName>
    <definedName name="A_SECTION_EQTY_200012762_Reference_Data">#REF!</definedName>
    <definedName name="A_SECTION_EQTY_200014750_1314">#REF!</definedName>
    <definedName name="A_SECTION_EQTY_200014750_1319">#REF!</definedName>
    <definedName name="A_SECTION_EQTY_200014750_131E">#REF!</definedName>
    <definedName name="A_SECTION_EQTY_200014750_131O">#REF!</definedName>
    <definedName name="A_SECTION_EQTY_200014750_13A">#REF!</definedName>
    <definedName name="A_SECTION_EQTY_200014750_13K">#REF!</definedName>
    <definedName name="A_SECTION_EQTY_200014750_13U">#REF!</definedName>
    <definedName name="A_SECTION_EQTY_200014750_13V">#REF!</definedName>
    <definedName name="A_SECTION_EQTY_200014750_13W">#REF!</definedName>
    <definedName name="A_SECTION_EQTY_200014750_Reference_Data">#REF!</definedName>
    <definedName name="A_SECTION_ISSR_208000603_1314">#REF!</definedName>
    <definedName name="A_SECTION_ISSR_208000603_13168">#REF!</definedName>
    <definedName name="A_SECTION_ISSR_208000603_1319">#REF!</definedName>
    <definedName name="A_SECTION_ISSR_208000603_131E">#REF!</definedName>
    <definedName name="A_SECTION_ISSR_208000603_131J">#REF!</definedName>
    <definedName name="A_SECTION_ISSR_208000603_131O">#REF!</definedName>
    <definedName name="A_SECTION_ISSR_208000603_131P">#REF!</definedName>
    <definedName name="A_SECTION_ISSR_208000603_13A">#REF!</definedName>
    <definedName name="A_SECTION_ISSR_208000603_13U">#REF!</definedName>
    <definedName name="A_SECTION_ISSR_208000603_13V">#REF!</definedName>
    <definedName name="A_SECTION_ISSR_208000603_Reference_Data">#REF!</definedName>
    <definedName name="A_SECTION_ISSR_208000976_1314">#REF!</definedName>
    <definedName name="A_SECTION_ISSR_208000976_13168">#REF!</definedName>
    <definedName name="A_SECTION_ISSR_208000976_1316T">#REF!</definedName>
    <definedName name="A_SECTION_ISSR_208000976_1316U">#REF!</definedName>
    <definedName name="A_SECTION_ISSR_208000976_1319">#REF!</definedName>
    <definedName name="A_SECTION_ISSR_208000976_131E">#REF!</definedName>
    <definedName name="A_SECTION_ISSR_208000976_131J">#REF!</definedName>
    <definedName name="A_SECTION_ISSR_208000976_131O">#REF!</definedName>
    <definedName name="A_SECTION_ISSR_208000976_13A">#REF!</definedName>
    <definedName name="A_SECTION_ISSR_208000976_13U">#REF!</definedName>
    <definedName name="A_SECTION_ISSR_208000976_13V">#REF!</definedName>
    <definedName name="A_SECTION_ISSR_208000976_Reference_Data">#REF!</definedName>
    <definedName name="A_SECTION_ISSR_208001258_1314">#REF!</definedName>
    <definedName name="A_SECTION_ISSR_208001258_13168">#REF!</definedName>
    <definedName name="A_SECTION_ISSR_208001258_1316T">#REF!</definedName>
    <definedName name="A_SECTION_ISSR_208001258_1316U">#REF!</definedName>
    <definedName name="A_SECTION_ISSR_208001258_1319">#REF!</definedName>
    <definedName name="A_SECTION_ISSR_208001258_131E">#REF!</definedName>
    <definedName name="A_SECTION_ISSR_208001258_131J">#REF!</definedName>
    <definedName name="A_SECTION_ISSR_208001258_131O">#REF!</definedName>
    <definedName name="A_SECTION_ISSR_208001258_13A">#REF!</definedName>
    <definedName name="A_SECTION_ISSR_208001258_13U">#REF!</definedName>
    <definedName name="A_SECTION_ISSR_208001258_13V">#REF!</definedName>
    <definedName name="A_SECTION_ISSR_208001258_Reference_Data">#REF!</definedName>
    <definedName name="A_SECTION_ISSR_208009722_1314">#REF!</definedName>
    <definedName name="A_SECTION_ISSR_208009722_13168">#REF!</definedName>
    <definedName name="A_SECTION_ISSR_208009722_1319">#REF!</definedName>
    <definedName name="A_SECTION_ISSR_208009722_131E">#REF!</definedName>
    <definedName name="A_SECTION_ISSR_208009722_131J">#REF!</definedName>
    <definedName name="A_SECTION_ISSR_208009722_131O">#REF!</definedName>
    <definedName name="A_SECTION_ISSR_208009722_13A">#REF!</definedName>
    <definedName name="A_SECTION_ISSR_208009722_13U">#REF!</definedName>
    <definedName name="A_SECTION_ISSR_208009722_13V">#REF!</definedName>
    <definedName name="A_SECTION_ISSR_208009722_Reference_Data">#REF!</definedName>
    <definedName name="A_SECTION_ISSR_208011556_1314">#REF!</definedName>
    <definedName name="A_SECTION_ISSR_208011556_13168">#REF!</definedName>
    <definedName name="A_SECTION_ISSR_208011556_1316T">#REF!</definedName>
    <definedName name="A_SECTION_ISSR_208011556_1316U">#REF!</definedName>
    <definedName name="A_SECTION_ISSR_208011556_1319">#REF!</definedName>
    <definedName name="A_SECTION_ISSR_208011556_131E">#REF!</definedName>
    <definedName name="A_SECTION_ISSR_208011556_131J">#REF!</definedName>
    <definedName name="A_SECTION_ISSR_208011556_131O">#REF!</definedName>
    <definedName name="A_SECTION_ISSR_208011556_13A">#REF!</definedName>
    <definedName name="A_SECTION_ISSR_208011556_13U">#REF!</definedName>
    <definedName name="A_SECTION_ISSR_208011556_13V">#REF!</definedName>
    <definedName name="A_SECTION_ISSR_208011556_Reference_Data">#REF!</definedName>
    <definedName name="aa">#REF!</definedName>
    <definedName name="AA_Print_9596Comps">#REF!</definedName>
    <definedName name="aaa">#REF!</definedName>
    <definedName name="AAA_DOCTOPS" hidden="1">"AAA_SET"</definedName>
    <definedName name="AAA_duser" hidden="1">"OFF"</definedName>
    <definedName name="aaaaaaaaaaaaa" hidden="1">{"'Standalone List Price Trends'!$A$1:$X$56"}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aron">#REF!</definedName>
    <definedName name="ab">#REF!</definedName>
    <definedName name="ABB_Ltd">#REF!</definedName>
    <definedName name="abc">#REF!</definedName>
    <definedName name="abprice">OFFSET(#REF!,0,0,COUNTA(#REF!),1)</definedName>
    <definedName name="Absolute">OFFSET(#REF!,0,0,COUNTA(#REF!),1)</definedName>
    <definedName name="ac">#REF!</definedName>
    <definedName name="Acc_payable">#REF!</definedName>
    <definedName name="Acc_payable_growth_fore">#REF!</definedName>
    <definedName name="Acc_Rec">#REF!</definedName>
    <definedName name="Acc_Rec_growth_fore">#REF!</definedName>
    <definedName name="Acc_Rec_turns">#REF!</definedName>
    <definedName name="AccessDatabase" hidden="1">"C:\FAME\famework\elyval.mdb"</definedName>
    <definedName name="Accounts_Receivable">#REF!</definedName>
    <definedName name="Accrued_compensation">#REF!</definedName>
    <definedName name="Accrued_compensation_growth_fore">#REF!</definedName>
    <definedName name="Accrued_expenses">#REF!</definedName>
    <definedName name="Accrued_expenses_growth_fore">#REF!</definedName>
    <definedName name="Accum_Cap_Expenses">#REF!</definedName>
    <definedName name="Accum_Cap_Expenses_growth_fore">#REF!</definedName>
    <definedName name="Accum_Goodwill_Amort">#REF!</definedName>
    <definedName name="Accum_Goodwill_Amort_growth_fore">#REF!</definedName>
    <definedName name="Accum_Other_Amort.">#REF!</definedName>
    <definedName name="accumulated_depn_end">#REF!</definedName>
    <definedName name="Acquisitions_NonCash">#REF!</definedName>
    <definedName name="active_flag">#REF!</definedName>
    <definedName name="ad">#REF!</definedName>
    <definedName name="Ad_Rate__Cost_per_millions___CPM__Assumptions">#REF!</definedName>
    <definedName name="Ad_revEuro97">#REF!</definedName>
    <definedName name="Ad_revEuro98">#REF!</definedName>
    <definedName name="Ad_revs96">#REF!</definedName>
    <definedName name="Ad_revs97">#REF!</definedName>
    <definedName name="Ad_revs98">#REF!</definedName>
    <definedName name="adctavg">#REF!</definedName>
    <definedName name="adctavgffq">#REF!</definedName>
    <definedName name="adctchg">#REF!</definedName>
    <definedName name="adctcurr">#REF!</definedName>
    <definedName name="adctcurrffq">#REF!</definedName>
    <definedName name="adctpegrelavg">#REF!</definedName>
    <definedName name="adctpegrelcurr">#REF!</definedName>
    <definedName name="adctpegrowthavg">#REF!</definedName>
    <definedName name="adctpegrowthcurr">#REF!</definedName>
    <definedName name="adctshares">#REF!</definedName>
    <definedName name="ADI">#REF!</definedName>
    <definedName name="adj_asset">#REF!</definedName>
    <definedName name="Adj_net_oper_fore">#REF!</definedName>
    <definedName name="AdjEPS1999">#REF!</definedName>
    <definedName name="AdjEPS2000">#REF!</definedName>
    <definedName name="AdjEPS2001">#REF!</definedName>
    <definedName name="AdjEPS2002">#REF!</definedName>
    <definedName name="Adjusted_Common_Equity">#REF!</definedName>
    <definedName name="Adjusted_EBIT">#REF!</definedName>
    <definedName name="Adjusted_EBITDA">#REF!</definedName>
    <definedName name="Adjusted_EPS">#REF!</definedName>
    <definedName name="Adjusted_Income_Available_to_Common">#REF!</definedName>
    <definedName name="Adjusted_Net_Operating_Profit">#REF!</definedName>
    <definedName name="Adjusted_Net_Operating_ProfitA">#REF!</definedName>
    <definedName name="adjustedev">#REF!</definedName>
    <definedName name="adjustednetdebt">#REF!</definedName>
    <definedName name="AdMktShare00">#REF!</definedName>
    <definedName name="AdMktShare01">#REF!</definedName>
    <definedName name="AdMktShare02">#REF!</definedName>
    <definedName name="AdMktShare03">#REF!</definedName>
    <definedName name="AdMktShare96">#REF!</definedName>
    <definedName name="AdMktShare97">#REF!</definedName>
    <definedName name="AdMktShare98">#REF!</definedName>
    <definedName name="AdMktShare99">#REF!</definedName>
    <definedName name="ADP_1MO">#REF!</definedName>
    <definedName name="ADR">#REF!</definedName>
    <definedName name="Adrevgrowth00">#REF!</definedName>
    <definedName name="Adrevgrowth01">#REF!</definedName>
    <definedName name="Adrevgrowth97">#REF!</definedName>
    <definedName name="Adrevgrowth98">#REF!</definedName>
    <definedName name="Adrevgrowth99">#REF!</definedName>
    <definedName name="adtnfy1cons">#REF!</definedName>
    <definedName name="adtnfy2cons">#REF!</definedName>
    <definedName name="adtnhi">#REF!</definedName>
    <definedName name="adtnlow">#REF!</definedName>
    <definedName name="adtnpegrowthavg">#REF!</definedName>
    <definedName name="adtnpegrowthcurr">#REF!</definedName>
    <definedName name="adtnpegrowthhi">#REF!</definedName>
    <definedName name="adtnpegrowthlow">#REF!</definedName>
    <definedName name="adtnprice">#REF!</definedName>
    <definedName name="adtnshares">#REF!</definedName>
    <definedName name="adtnttmavg">#REF!</definedName>
    <definedName name="adtnttmcurr">#REF!</definedName>
    <definedName name="adtnttmhi">#REF!</definedName>
    <definedName name="adtnttmlow">#REF!</definedName>
    <definedName name="adtnttmrelavg">#REF!</definedName>
    <definedName name="adtnttmrelcurr">#REF!</definedName>
    <definedName name="adtnttmrelhi">#REF!</definedName>
    <definedName name="adtnttmrellow">#REF!</definedName>
    <definedName name="AdvMktShare">#REF!</definedName>
    <definedName name="AdvRev">#REF!</definedName>
    <definedName name="AdvRevGrowth">#REF!</definedName>
    <definedName name="afciavg">#REF!</definedName>
    <definedName name="afciavgffq">#REF!</definedName>
    <definedName name="afcichg">#REF!</definedName>
    <definedName name="afcicurr">#REF!</definedName>
    <definedName name="afcicurrffq">#REF!</definedName>
    <definedName name="afcipegrelavg">#REF!</definedName>
    <definedName name="afcipegrelcurr">#REF!</definedName>
    <definedName name="afcipegrowthavg">#REF!</definedName>
    <definedName name="afcipegrowthcurr">#REF!</definedName>
    <definedName name="afcishares">#REF!</definedName>
    <definedName name="After_tax_charge">#REF!</definedName>
    <definedName name="After_Tax_charges_gains">#REF!</definedName>
    <definedName name="AGE">#REF!</definedName>
    <definedName name="AGERev">#REF!</definedName>
    <definedName name="AGESeq.">#REF!</definedName>
    <definedName name="ahdkh" hidden="1">{"Annual_Income",#N/A,FALSE,"Report Page";"Balance_Cash_Flow",#N/A,FALSE,"Report Page";"Quarterly_Income",#N/A,FALSE,"Report Page"}</definedName>
    <definedName name="AJHFkjDGHF" localSheetId="2" hidden="1">{"Annual_Income",#N/A,FALSE,"Report Page";"Balance_Cash_Flow",#N/A,FALSE,"Report Page";"Quarterly_Income",#N/A,FALSE,"Report Page"}</definedName>
    <definedName name="AJHFkjDGHF" hidden="1">{"Annual_Income",#N/A,FALSE,"Report Page";"Balance_Cash_Flow",#N/A,FALSE,"Report Page";"Quarterly_Income",#N/A,FALSE,"Report Page"}</definedName>
    <definedName name="AL_email">"alamba@isigrp.com"</definedName>
    <definedName name="AL_phone">"(XXX) XXX-XXXX"</definedName>
    <definedName name="alaavg">#REF!</definedName>
    <definedName name="alaavgffq">#REF!</definedName>
    <definedName name="alachg">#REF!</definedName>
    <definedName name="alacurr">#REF!</definedName>
    <definedName name="alacurrffq">#REF!</definedName>
    <definedName name="alapegrelavg">#REF!</definedName>
    <definedName name="alapegrelcurr">#REF!</definedName>
    <definedName name="alapegrowthavg">#REF!</definedName>
    <definedName name="alapegrowthcurr">#REF!</definedName>
    <definedName name="Albacom">#REF!</definedName>
    <definedName name="alkprice">#REF!</definedName>
    <definedName name="All_00_PS">#REF!</definedName>
    <definedName name="All_00_Rev">#REF!</definedName>
    <definedName name="All_97_PS">#REF!</definedName>
    <definedName name="All_97_Rev">#REF!</definedName>
    <definedName name="All_98_PS">#REF!</definedName>
    <definedName name="All_98_Rev">#REF!</definedName>
    <definedName name="All_99_PS">#REF!</definedName>
    <definedName name="All_99_Rev">#REF!</definedName>
    <definedName name="All_EPS_00">#REF!</definedName>
    <definedName name="All_EPS_98">#REF!</definedName>
    <definedName name="All_EPS_99">#REF!</definedName>
    <definedName name="All_Metric">OFFSET(#REF!,0,0,COUNTA(#REF!)-1,2)</definedName>
    <definedName name="All_Mkt_Cap">#REF!</definedName>
    <definedName name="All_Off_High">#REF!</definedName>
    <definedName name="ALL_STATEMENTS">#REF!</definedName>
    <definedName name="All_Stocks">#REF!</definedName>
    <definedName name="alsk_is">#REF!</definedName>
    <definedName name="AmericanCellular">#REF!</definedName>
    <definedName name="Americas_License_Revenue">#REF!</definedName>
    <definedName name="amort">#REF!</definedName>
    <definedName name="Amort96">#REF!</definedName>
    <definedName name="Amortisation_pension_actuarial_gain_loss">#REF!</definedName>
    <definedName name="Amortization">#REF!</definedName>
    <definedName name="Amortization_Of_Intangible_Assets">#REF!</definedName>
    <definedName name="Amount_Spent_Share_Repurchase">#REF!</definedName>
    <definedName name="ampavg">#REF!</definedName>
    <definedName name="ampchg">#REF!</definedName>
    <definedName name="ampcrpe">#REF!</definedName>
    <definedName name="ampcurr">#REF!</definedName>
    <definedName name="ampdate">#REF!</definedName>
    <definedName name="ampdown">#REF!</definedName>
    <definedName name="ampdownsup">#REF!</definedName>
    <definedName name="ampevebitda">#REF!</definedName>
    <definedName name="ampfy1cons">#REF!</definedName>
    <definedName name="ampfy2cons">#REF!</definedName>
    <definedName name="amphi">#REF!</definedName>
    <definedName name="amphilo">#REF!</definedName>
    <definedName name="amplo">#REF!</definedName>
    <definedName name="ampmktcap">#REF!</definedName>
    <definedName name="amppegrowthavg">#REF!</definedName>
    <definedName name="amppegrowthcurr">#REF!</definedName>
    <definedName name="amppegrowthmax">#REF!</definedName>
    <definedName name="amppegrowthmin">#REF!</definedName>
    <definedName name="ampperelavg">#REF!</definedName>
    <definedName name="ampperelcurr">#REF!</definedName>
    <definedName name="ampprice">#REF!</definedName>
    <definedName name="ampqv">#REF!</definedName>
    <definedName name="amprating">#REF!</definedName>
    <definedName name="amprpe">#REF!</definedName>
    <definedName name="ampshares">#REF!</definedName>
    <definedName name="amptech">#REF!</definedName>
    <definedName name="amptprice">#REF!</definedName>
    <definedName name="ampttmavg">#REF!</definedName>
    <definedName name="ampttmcurr">#REF!</definedName>
    <definedName name="ampttmhi">#REF!</definedName>
    <definedName name="ampttmlo">#REF!</definedName>
    <definedName name="ampttmrelavg">#REF!</definedName>
    <definedName name="ampttmrelcurr">#REF!</definedName>
    <definedName name="ampttmrelhi">#REF!</definedName>
    <definedName name="ampttmrello">#REF!</definedName>
    <definedName name="ampup">#REF!</definedName>
    <definedName name="ampupsup">#REF!</definedName>
    <definedName name="ampvol">#REF!</definedName>
    <definedName name="ampyield">#REF!</definedName>
    <definedName name="amrprice">#REF!</definedName>
    <definedName name="amrshares">#REF!</definedName>
    <definedName name="Analog">#REF!</definedName>
    <definedName name="and" hidden="1">{"fax (BS)",#N/A,FALSE,"BS";"fax (CF)",#N/A,FALSE,"CF";"fax (seg)",#N/A,FALSE,"Seg";"fax (telecomm)",#N/A,FALSE,"telecomm";"fax (infodisplay)",#N/A,FALSE,"infodisplay";"fax (am)",#N/A,FALSE,"AM";"fax (is)",#N/A,FALSE,"IS"}</definedName>
    <definedName name="anicavg">#REF!</definedName>
    <definedName name="anicchg">#REF!</definedName>
    <definedName name="aniccrpe">#REF!</definedName>
    <definedName name="aniccurr">#REF!</definedName>
    <definedName name="anicdate">#REF!</definedName>
    <definedName name="anicdown">#REF!</definedName>
    <definedName name="anicdownsup">#REF!</definedName>
    <definedName name="aniceps98">#REF!</definedName>
    <definedName name="aniceps99">#REF!</definedName>
    <definedName name="anicfy1cons">#REF!</definedName>
    <definedName name="anicfy2cons">#REF!</definedName>
    <definedName name="anichi">#REF!</definedName>
    <definedName name="anichilo">#REF!</definedName>
    <definedName name="aniclow">#REF!</definedName>
    <definedName name="anicmktcap">#REF!</definedName>
    <definedName name="anicpegrowth">#REF!</definedName>
    <definedName name="anicpegrowthavg">#REF!</definedName>
    <definedName name="anicpegrowthcurr">#REF!</definedName>
    <definedName name="anicpegrowthhi">#REF!</definedName>
    <definedName name="anicpegrowthlow">#REF!</definedName>
    <definedName name="anicprice">#REF!</definedName>
    <definedName name="anicrpe">#REF!</definedName>
    <definedName name="anicshares">#REF!</definedName>
    <definedName name="anictprice">#REF!</definedName>
    <definedName name="anicttmavg">#REF!</definedName>
    <definedName name="anicttmcurr">#REF!</definedName>
    <definedName name="anicttmhi">#REF!</definedName>
    <definedName name="anicttmlow">#REF!</definedName>
    <definedName name="anicttmrelavg">#REF!</definedName>
    <definedName name="anicttmrelcurr">#REF!</definedName>
    <definedName name="anicttmrelhi">#REF!</definedName>
    <definedName name="anicttmrellow">#REF!</definedName>
    <definedName name="anicup">#REF!</definedName>
    <definedName name="anicupsup">#REF!</definedName>
    <definedName name="anicvol">#REF!</definedName>
    <definedName name="anicyield">#REF!</definedName>
    <definedName name="Ann_revenue">#REF!</definedName>
    <definedName name="ANNHIGH">#REF!</definedName>
    <definedName name="ANNLOW">#REF!</definedName>
    <definedName name="ANNUAL">#REF!</definedName>
    <definedName name="anscount" hidden="1">1</definedName>
    <definedName name="antcavg">#REF!</definedName>
    <definedName name="antcavgffq">#REF!</definedName>
    <definedName name="antcchg">#REF!</definedName>
    <definedName name="antccurr">#REF!</definedName>
    <definedName name="antccurrffq">#REF!</definedName>
    <definedName name="antcpegrelavg">#REF!</definedName>
    <definedName name="antcpegrelcurr">#REF!</definedName>
    <definedName name="antcpegrowthavg">#REF!</definedName>
    <definedName name="antcpegrowthcurr">#REF!</definedName>
    <definedName name="aomnc" hidden="1">{"fax (BS)",#N/A,FALSE,"BS";"fax (CF)",#N/A,FALSE,"CF";"fax (seg)",#N/A,FALSE,"Seg";"fax (telecomm)",#N/A,FALSE,"telecomm";"fax (infodisplay)",#N/A,FALSE,"infodisplay";"fax (am)",#N/A,FALSE,"AM";"fax (is)",#N/A,FALSE,"IS"}</definedName>
    <definedName name="AP">#REF!</definedName>
    <definedName name="apccavg">#REF!</definedName>
    <definedName name="apccchg">#REF!</definedName>
    <definedName name="apcccrpe">#REF!</definedName>
    <definedName name="apcccurr">#REF!</definedName>
    <definedName name="apccdate">#REF!</definedName>
    <definedName name="apccdown">#REF!</definedName>
    <definedName name="apccdownsup">#REF!</definedName>
    <definedName name="apccfy1cons">#REF!</definedName>
    <definedName name="apccfy2cons">#REF!</definedName>
    <definedName name="apcchi">#REF!</definedName>
    <definedName name="apcchilo">#REF!</definedName>
    <definedName name="apcclow">#REF!</definedName>
    <definedName name="apccmktcap">#REF!</definedName>
    <definedName name="apccpegrowthavg">#REF!</definedName>
    <definedName name="apccpegrowthcurr">#REF!</definedName>
    <definedName name="apccpegrowthhi">#REF!</definedName>
    <definedName name="apccpegrowthlow">#REF!</definedName>
    <definedName name="apccprice">#REF!</definedName>
    <definedName name="apccrpe">#REF!</definedName>
    <definedName name="apccshares">#REF!</definedName>
    <definedName name="apcctprice">#REF!</definedName>
    <definedName name="apccttmavg">#REF!</definedName>
    <definedName name="apccttmcurr">#REF!</definedName>
    <definedName name="apccttmhi">#REF!</definedName>
    <definedName name="apccttmlow">#REF!</definedName>
    <definedName name="apccttmrelavg">#REF!</definedName>
    <definedName name="apccttmrelcurr">#REF!</definedName>
    <definedName name="apccttmrelhi">#REF!</definedName>
    <definedName name="apccttmrellow">#REF!</definedName>
    <definedName name="apccup">#REF!</definedName>
    <definedName name="apccupsup">#REF!</definedName>
    <definedName name="apccurr">#REF!</definedName>
    <definedName name="apccvol">#REF!</definedName>
    <definedName name="apccyield">#REF!</definedName>
    <definedName name="aphavg">#REF!</definedName>
    <definedName name="aphchg">#REF!</definedName>
    <definedName name="aphcrpe">#REF!</definedName>
    <definedName name="aphcurr">#REF!</definedName>
    <definedName name="aphdate">#REF!</definedName>
    <definedName name="aphdown">#REF!</definedName>
    <definedName name="aphdownsup">#REF!</definedName>
    <definedName name="aphfy1cons">#REF!</definedName>
    <definedName name="aphfy2cons">#REF!</definedName>
    <definedName name="aphhi">#REF!</definedName>
    <definedName name="aphhilo">#REF!</definedName>
    <definedName name="aphlow">#REF!</definedName>
    <definedName name="aphmktcap">#REF!</definedName>
    <definedName name="aphpegrowthavg">#REF!</definedName>
    <definedName name="aphpegrowthcurr">#REF!</definedName>
    <definedName name="aphpegrowthhi">#REF!</definedName>
    <definedName name="aphpegrowthlow">#REF!</definedName>
    <definedName name="aphprice">#REF!</definedName>
    <definedName name="aphrpe">#REF!</definedName>
    <definedName name="aphshares">#REF!</definedName>
    <definedName name="aphtprice">#REF!</definedName>
    <definedName name="aphttmavg">#REF!</definedName>
    <definedName name="aphttmcurr">#REF!</definedName>
    <definedName name="aphttmhi">#REF!</definedName>
    <definedName name="aphttmlow">#REF!</definedName>
    <definedName name="aphttmrelavg">#REF!</definedName>
    <definedName name="aphttmrelcurr">#REF!</definedName>
    <definedName name="aphttmrelhi">#REF!</definedName>
    <definedName name="aphttmrellow">#REF!</definedName>
    <definedName name="aphup">#REF!</definedName>
    <definedName name="aphupsup">#REF!</definedName>
    <definedName name="aphvol">#REF!</definedName>
    <definedName name="aphyield">#REF!</definedName>
    <definedName name="AppDevCon">#REF!</definedName>
    <definedName name="AR">#REF!</definedName>
    <definedName name="arcc">#REF!</definedName>
    <definedName name="ARCC_g">#REF!</definedName>
    <definedName name="ARCC_is">#REF!</definedName>
    <definedName name="AreasForDeletion">#REF!</definedName>
    <definedName name="Argentina">#REF!</definedName>
    <definedName name="Arial">#REF!</definedName>
    <definedName name="ARPU">#REF!</definedName>
    <definedName name="ArrayAnnualGrossMargin">#REF!</definedName>
    <definedName name="ArrayAnnualNetIncome">#REF!</definedName>
    <definedName name="ArrayAnnualOperatingIncome">#REF!</definedName>
    <definedName name="ArrayAnnualOperatingMargin">#REF!</definedName>
    <definedName name="ArrayAnnualRev">#REF!</definedName>
    <definedName name="ArrayQuarterGrossMargin">#REF!</definedName>
    <definedName name="ArrayQuarterlyNetIncome">#REF!</definedName>
    <definedName name="ArrayQuarterlyOperatingIncome">#REF!</definedName>
    <definedName name="ArrayQuarterlyRev">#REF!</definedName>
    <definedName name="ArrayQuarterNetIncome">#REF!</definedName>
    <definedName name="ArrayQuarterOperatingIncome">#REF!</definedName>
    <definedName name="ArrayQuarterOperatingMargin">#REF!</definedName>
    <definedName name="ArrayQuarterRev">#REF!</definedName>
    <definedName name="arwavg">#REF!</definedName>
    <definedName name="arwchg">#REF!</definedName>
    <definedName name="arwcurr">#REF!</definedName>
    <definedName name="arwdate">#REF!</definedName>
    <definedName name="arwdown">#REF!</definedName>
    <definedName name="arwdownsup">#REF!</definedName>
    <definedName name="arweps98">#REF!</definedName>
    <definedName name="arweps99">#REF!</definedName>
    <definedName name="arwfy1cons">#REF!</definedName>
    <definedName name="arwfy2cons">#REF!</definedName>
    <definedName name="arwhi">#REF!</definedName>
    <definedName name="arwhilo">#REF!</definedName>
    <definedName name="arwlow">#REF!</definedName>
    <definedName name="arwmktcap">#REF!</definedName>
    <definedName name="arwpegrowthavg">#REF!</definedName>
    <definedName name="arwpegrowthcurr">#REF!</definedName>
    <definedName name="arwpegrowthhi">#REF!</definedName>
    <definedName name="arwpegrowthlow">#REF!</definedName>
    <definedName name="arwprice">#REF!</definedName>
    <definedName name="arwrpe">#REF!</definedName>
    <definedName name="arwshares">#REF!</definedName>
    <definedName name="arwtprice">#REF!</definedName>
    <definedName name="arwttmavg">#REF!</definedName>
    <definedName name="arwttmcurr">#REF!</definedName>
    <definedName name="arwttmhi">#REF!</definedName>
    <definedName name="arwttmlow">#REF!</definedName>
    <definedName name="arwttmrelavg">#REF!</definedName>
    <definedName name="arwttmrelcurr">#REF!</definedName>
    <definedName name="arwttmrelhi">#REF!</definedName>
    <definedName name="arwttmrellow">#REF!</definedName>
    <definedName name="arwup">#REF!</definedName>
    <definedName name="arwupsup">#REF!</definedName>
    <definedName name="arwvol">#REF!</definedName>
    <definedName name="arwyield">#REF!</definedName>
    <definedName name="asdf" hidden="1">{"'Standalone List Price Trends'!$A$1:$X$56"}</definedName>
    <definedName name="asdtf" hidden="1">{"'Standalone List Price Trends'!$A$1:$X$56"}</definedName>
    <definedName name="asggdasgasdg" hidden="1">{"'Standalone List Price Trends'!$A$1:$X$56"}</definedName>
    <definedName name="Asia_Pacific_Revenues">#REF!</definedName>
    <definedName name="asms">#REF!</definedName>
    <definedName name="ASP">#REF!</definedName>
    <definedName name="ASPs">#REF!</definedName>
    <definedName name="Associate_Value">#REF!</definedName>
    <definedName name="ASWXIncStmt">#REF!</definedName>
    <definedName name="AT_5YRGROWTH">#REF!</definedName>
    <definedName name="atsnchg">#REF!</definedName>
    <definedName name="atsncrpe">#REF!</definedName>
    <definedName name="atsncurr">#REF!</definedName>
    <definedName name="atsndate">#REF!</definedName>
    <definedName name="atsndown">#REF!</definedName>
    <definedName name="atsndownsup">#REF!</definedName>
    <definedName name="atsnevebitda">#REF!</definedName>
    <definedName name="atsnffqpeavg">#REF!</definedName>
    <definedName name="atsnffqpecurr">#REF!</definedName>
    <definedName name="atsnFY1cons">#REF!</definedName>
    <definedName name="atsnFY2cons">#REF!</definedName>
    <definedName name="atsnhi">#REF!</definedName>
    <definedName name="atsnhilo">#REF!</definedName>
    <definedName name="atsnlo">#REF!</definedName>
    <definedName name="atsnmktcap">#REF!</definedName>
    <definedName name="atsnpe1">#REF!</definedName>
    <definedName name="atsnpe2">#REF!</definedName>
    <definedName name="atsnpegrowthavg">#REF!</definedName>
    <definedName name="atsnpegrowthcurr">#REF!</definedName>
    <definedName name="atsnpegrowthmax">#REF!</definedName>
    <definedName name="atsnpegrowthmin">#REF!</definedName>
    <definedName name="atsnperelavg">#REF!</definedName>
    <definedName name="atsnperelcurr">#REF!</definedName>
    <definedName name="atsnprice">#REF!</definedName>
    <definedName name="atsnqv">#REF!</definedName>
    <definedName name="atsnrpe">#REF!</definedName>
    <definedName name="atsnshares">#REF!</definedName>
    <definedName name="atsntech">#REF!</definedName>
    <definedName name="atsntprice">#REF!</definedName>
    <definedName name="atsnttmavg">#REF!</definedName>
    <definedName name="atsnttmcurr">#REF!</definedName>
    <definedName name="atsnttmhi">#REF!</definedName>
    <definedName name="atsnttmlo">#REF!</definedName>
    <definedName name="atsnttmrelavg">#REF!</definedName>
    <definedName name="atsnttmrelcurr">#REF!</definedName>
    <definedName name="atsnttmrelhi">#REF!</definedName>
    <definedName name="atsnttmrello">#REF!</definedName>
    <definedName name="atsnup">#REF!</definedName>
    <definedName name="atsnupsup">#REF!</definedName>
    <definedName name="atsnvol">#REF!</definedName>
    <definedName name="atsnyield">#REF!</definedName>
    <definedName name="AUOptronics">#REF!</definedName>
    <definedName name="AVELIFE">3</definedName>
    <definedName name="Average_Employees">#REF!</definedName>
    <definedName name="Average_invested_capital">#REF!</definedName>
    <definedName name="Average_invested_capital_DCF">#REF!</definedName>
    <definedName name="Average_thereafter">#REF!</definedName>
    <definedName name="AverageSimple">#REF!</definedName>
    <definedName name="AVG_MRR_per_Lost_Cust">#REF!</definedName>
    <definedName name="AVG_MRR_per_New_Cust">#REF!</definedName>
    <definedName name="AvgAUM_06">#REF!</definedName>
    <definedName name="avgcomp">#REF!</definedName>
    <definedName name="AvgRev.perUnit">#REF!</definedName>
    <definedName name="avtavg">#REF!</definedName>
    <definedName name="avtchg">#REF!</definedName>
    <definedName name="avtcrpe">#REF!</definedName>
    <definedName name="avtcurr">#REF!</definedName>
    <definedName name="avtdate">#REF!</definedName>
    <definedName name="avtdown">#REF!</definedName>
    <definedName name="avtdownsup">#REF!</definedName>
    <definedName name="avteps99">#REF!</definedName>
    <definedName name="avtfy1cons">#REF!</definedName>
    <definedName name="avtfy2cons">#REF!</definedName>
    <definedName name="avthi">#REF!</definedName>
    <definedName name="avthilo">#REF!</definedName>
    <definedName name="avtlow">#REF!</definedName>
    <definedName name="avtmktcap">#REF!</definedName>
    <definedName name="avtpegrowthavg">#REF!</definedName>
    <definedName name="avtpegrowthcurr">#REF!</definedName>
    <definedName name="avtpegrowthhi">#REF!</definedName>
    <definedName name="avtpegrowthlow">#REF!</definedName>
    <definedName name="avtprice">#REF!</definedName>
    <definedName name="avtrpe">#REF!</definedName>
    <definedName name="avtshares">#REF!</definedName>
    <definedName name="avttprice">#REF!</definedName>
    <definedName name="avtttmavg">#REF!</definedName>
    <definedName name="avtttmcurr">#REF!</definedName>
    <definedName name="avtttmhi">#REF!</definedName>
    <definedName name="avtttmlow">#REF!</definedName>
    <definedName name="avtttmrelavg">#REF!</definedName>
    <definedName name="avtttmrelcurr">#REF!</definedName>
    <definedName name="avtttmrelhi">#REF!</definedName>
    <definedName name="avtttmrellow">#REF!</definedName>
    <definedName name="avtup">#REF!</definedName>
    <definedName name="avtupsup">#REF!</definedName>
    <definedName name="avtvol">#REF!</definedName>
    <definedName name="avtyield">#REF!</definedName>
    <definedName name="avxavg">#REF!</definedName>
    <definedName name="avxchg">#REF!</definedName>
    <definedName name="avxcrpe">#REF!</definedName>
    <definedName name="avxcurr">#REF!</definedName>
    <definedName name="avxdate">#REF!</definedName>
    <definedName name="avxdown">#REF!</definedName>
    <definedName name="avxdownsup">#REF!</definedName>
    <definedName name="avxevebitda">#REF!</definedName>
    <definedName name="avxffqpeavg">#REF!</definedName>
    <definedName name="avxffqpecurr">#REF!</definedName>
    <definedName name="avxfy1cons">#REF!</definedName>
    <definedName name="avxfy2cons">#REF!</definedName>
    <definedName name="avxhi">#REF!</definedName>
    <definedName name="avxhilo">#REF!</definedName>
    <definedName name="avxlo">#REF!</definedName>
    <definedName name="avxmktcap">#REF!</definedName>
    <definedName name="avxpegrowthavg">#REF!</definedName>
    <definedName name="avxpegrowthcurr">#REF!</definedName>
    <definedName name="avxpegrowthhi">#REF!</definedName>
    <definedName name="avxpegrowthlo">#REF!</definedName>
    <definedName name="avxperelavg">#REF!</definedName>
    <definedName name="avxperelcurr">#REF!</definedName>
    <definedName name="avxprice">#REF!</definedName>
    <definedName name="avxrating">#REF!</definedName>
    <definedName name="avxrpe">#REF!</definedName>
    <definedName name="avxshares">#REF!</definedName>
    <definedName name="avxtprice">#REF!</definedName>
    <definedName name="avxttmavg">#REF!</definedName>
    <definedName name="avxttmcurr">#REF!</definedName>
    <definedName name="avxttmhi">#REF!</definedName>
    <definedName name="avxttmlo">#REF!</definedName>
    <definedName name="avxttmrelavg">#REF!</definedName>
    <definedName name="avxttmrelcurr">#REF!</definedName>
    <definedName name="avxttmrelhi">#REF!</definedName>
    <definedName name="avxttmrello">#REF!</definedName>
    <definedName name="avxup">#REF!</definedName>
    <definedName name="avxupsup">#REF!</definedName>
    <definedName name="avxvol">#REF!</definedName>
    <definedName name="avxyield">#REF!</definedName>
    <definedName name="awaprice">#REF!</definedName>
    <definedName name="awashares">#REF!</definedName>
    <definedName name="axeavg">#REF!</definedName>
    <definedName name="axechg">#REF!</definedName>
    <definedName name="axecrpe">#REF!</definedName>
    <definedName name="axecurr">#REF!</definedName>
    <definedName name="axedate">#REF!</definedName>
    <definedName name="axedown">#REF!</definedName>
    <definedName name="axedownsup">#REF!</definedName>
    <definedName name="axeevebitda">#REF!</definedName>
    <definedName name="axeffqpeavg">#REF!</definedName>
    <definedName name="axeffqpecurr">#REF!</definedName>
    <definedName name="axeFY1cons">#REF!</definedName>
    <definedName name="axeFY2cons">#REF!</definedName>
    <definedName name="axehi">#REF!</definedName>
    <definedName name="axehilo">#REF!</definedName>
    <definedName name="axelo">#REF!</definedName>
    <definedName name="axemktcap">#REF!</definedName>
    <definedName name="axepe1">#REF!</definedName>
    <definedName name="axepe2">#REF!</definedName>
    <definedName name="axepegrowthavg">#REF!</definedName>
    <definedName name="axepegrowthcurr">#REF!</definedName>
    <definedName name="axepegrowthmax">#REF!</definedName>
    <definedName name="axepegrowthmin">#REF!</definedName>
    <definedName name="axeperelavg">#REF!</definedName>
    <definedName name="axeperelcurr">#REF!</definedName>
    <definedName name="axeprice">#REF!</definedName>
    <definedName name="axeqv">#REF!</definedName>
    <definedName name="axerating">#REF!</definedName>
    <definedName name="axerpe">#REF!</definedName>
    <definedName name="axeshares">#REF!</definedName>
    <definedName name="axetech">#REF!</definedName>
    <definedName name="axetprice">#REF!</definedName>
    <definedName name="axettmavg">#REF!</definedName>
    <definedName name="axettmcurr">#REF!</definedName>
    <definedName name="axettmhi">#REF!</definedName>
    <definedName name="axettmlo">#REF!</definedName>
    <definedName name="axettmrelavg">#REF!</definedName>
    <definedName name="axettmrelcurr">#REF!</definedName>
    <definedName name="axettmrelhi">#REF!</definedName>
    <definedName name="axettmrello">#REF!</definedName>
    <definedName name="axeup">#REF!</definedName>
    <definedName name="axeupsup">#REF!</definedName>
    <definedName name="axevol">#REF!</definedName>
    <definedName name="axeyield">#REF!</definedName>
    <definedName name="b" hidden="1">{"IS",#N/A,FALSE,"IS";"RPTIS",#N/A,FALSE,"RPTIS";"STATS",#N/A,FALSE,"STATS";"CELL",#N/A,FALSE,"CELL";"BS",#N/A,FALSE,"BS"}</definedName>
    <definedName name="B___DEMONSTRAÇÃO_DO_RESULTADO_PROJETADA">#REF!</definedName>
    <definedName name="ba" hidden="1">{"IS",#N/A,FALSE,"IS";"RPTIS",#N/A,FALSE,"RPTIS";"STATS",#N/A,FALSE,"STATS";"CELL",#N/A,FALSE,"CELL";"BS",#N/A,FALSE,"BS"}</definedName>
    <definedName name="ba_cash">#REF!</definedName>
    <definedName name="ba_cur_ass">#REF!</definedName>
    <definedName name="ba_stock">#REF!</definedName>
    <definedName name="ba_tot_ass">#REF!</definedName>
    <definedName name="ba_wip">#REF!</definedName>
    <definedName name="BACK_A">#REF!</definedName>
    <definedName name="Backlog">#REF!</definedName>
    <definedName name="balance">#REF!</definedName>
    <definedName name="balance_sheet">#REF!</definedName>
    <definedName name="balancesheet">#REF!</definedName>
    <definedName name="Balsht">#REF!</definedName>
    <definedName name="BaseTick">#REF!</definedName>
    <definedName name="Basic_Shares_Outstanding">#REF!</definedName>
    <definedName name="BB_email">"bbaytosh@isigrp.com"</definedName>
    <definedName name="bb_MTI1MDBCNTdGNkJCNDdEQ0" hidden="1">#REF!</definedName>
    <definedName name="BB_phone">"(212) 446-9469"</definedName>
    <definedName name="beicurr">#REF!</definedName>
    <definedName name="beidate">#REF!</definedName>
    <definedName name="beidown">#REF!</definedName>
    <definedName name="beievebitda">#REF!</definedName>
    <definedName name="beify1cons">#REF!</definedName>
    <definedName name="beify2cons">#REF!</definedName>
    <definedName name="beihi">#REF!</definedName>
    <definedName name="beilo">#REF!</definedName>
    <definedName name="beipegrowthavg">#REF!</definedName>
    <definedName name="beipegrowthcurr">#REF!</definedName>
    <definedName name="beipegrowthmax">#REF!</definedName>
    <definedName name="beipegrowthmin">#REF!</definedName>
    <definedName name="beiprice">#REF!</definedName>
    <definedName name="beiqv">#REF!</definedName>
    <definedName name="beirpe">#REF!</definedName>
    <definedName name="beitech">#REF!</definedName>
    <definedName name="beittmavg">#REF!</definedName>
    <definedName name="beittmcurr">#REF!</definedName>
    <definedName name="beittmhi">#REF!</definedName>
    <definedName name="beittmlo">#REF!</definedName>
    <definedName name="beittmrelavg">#REF!</definedName>
    <definedName name="beittmrelcurr">#REF!</definedName>
    <definedName name="beittmrelhi">#REF!</definedName>
    <definedName name="beittmrello">#REF!</definedName>
    <definedName name="beiup">#REF!</definedName>
    <definedName name="beivol">#REF!</definedName>
    <definedName name="beiyield">#REF!</definedName>
    <definedName name="BEL_5YRGROWTH">#REF!</definedName>
    <definedName name="belnew" hidden="1">{"IS",#N/A,FALSE,"IS";"RPTIS",#N/A,FALSE,"RPTIS";"STATS",#N/A,FALSE,"STATS";"CELL",#N/A,FALSE,"CELL";"BS",#N/A,FALSE,"BS"}</definedName>
    <definedName name="Beta">#REF!</definedName>
    <definedName name="Bias_Chart">#REF!</definedName>
    <definedName name="bl_pens_prov">#REF!</definedName>
    <definedName name="bl_sh_fund">#REF!</definedName>
    <definedName name="bl_tot_cur_liab">#REF!</definedName>
    <definedName name="bl_tot_liab_over">#REF!</definedName>
    <definedName name="bl_tot_liab_use_over">#REF!</definedName>
    <definedName name="blah" hidden="1">{"page 1",#N/A,FALSE,"Comps";"page 2",#N/A,FALSE,"Comps"}</definedName>
    <definedName name="BLKB">#REF!</definedName>
    <definedName name="BLS_5YRGROWTH">#REF!</definedName>
    <definedName name="bls_vge">#REF!</definedName>
    <definedName name="bls_wireless_subs">#REF!</definedName>
    <definedName name="bobj_pe">#REF!</definedName>
    <definedName name="bobj_price">#REF!</definedName>
    <definedName name="BOEHydis">#REF!</definedName>
    <definedName name="Book_value_per_share">#REF!</definedName>
    <definedName name="Boston_Add">#REF!</definedName>
    <definedName name="braniffprice">#REF!</definedName>
    <definedName name="braniffshares">#REF!</definedName>
    <definedName name="Breakdown">#REF!</definedName>
    <definedName name="BreakdownDetailed">#REF!</definedName>
    <definedName name="bridgeinfo">#REF!</definedName>
    <definedName name="broadband">#REF!</definedName>
    <definedName name="BROADCASTING">#REF!</definedName>
    <definedName name="Broadline">#REF!</definedName>
    <definedName name="BRW_5YRGROWTH">#REF!</definedName>
    <definedName name="BS">#REF!</definedName>
    <definedName name="bs_drivers">#REF!</definedName>
    <definedName name="BS_Metric">OFFSET(#REF!,0,0,COUNTA(#REF!)-1)</definedName>
    <definedName name="BS_print">#REF!</definedName>
    <definedName name="BS_SF_OS">#REF!</definedName>
    <definedName name="BS_total_assets">#REF!</definedName>
    <definedName name="bt">#REF!</definedName>
    <definedName name="buildout">#REF!</definedName>
    <definedName name="bus_line_growth">#REF!</definedName>
    <definedName name="ButtonsForDeletion">#REF!</definedName>
    <definedName name="BUV">#REF!</definedName>
    <definedName name="Buy_Out_Of_Minorities">#REF!</definedName>
    <definedName name="bv">#REF!</definedName>
    <definedName name="bwccrpe">#REF!</definedName>
    <definedName name="bwccurr">#REF!</definedName>
    <definedName name="bwcdate">#REF!</definedName>
    <definedName name="bwcdown">#REF!</definedName>
    <definedName name="bwcdownsup">#REF!</definedName>
    <definedName name="bwcevebitda">#REF!</definedName>
    <definedName name="bwcffqpeavg">#REF!</definedName>
    <definedName name="bwcffqpecurr">#REF!</definedName>
    <definedName name="bwcFY1cons">#REF!</definedName>
    <definedName name="bwcFY2cons">#REF!</definedName>
    <definedName name="bwchi">#REF!</definedName>
    <definedName name="bwchilo">#REF!</definedName>
    <definedName name="bwclo">#REF!</definedName>
    <definedName name="bwcmktcap">#REF!</definedName>
    <definedName name="bwcpe1">#REF!</definedName>
    <definedName name="bwcpe2">#REF!</definedName>
    <definedName name="bwcpegrowthavg">#REF!</definedName>
    <definedName name="bwcpegrowthcurr">#REF!</definedName>
    <definedName name="bwcpegrowthmax">#REF!</definedName>
    <definedName name="bwcpegrowthmin">#REF!</definedName>
    <definedName name="bwcperelavg">#REF!</definedName>
    <definedName name="bwcperelcurr">#REF!</definedName>
    <definedName name="bwcprice">#REF!</definedName>
    <definedName name="bwcqv">#REF!</definedName>
    <definedName name="bwcrating">#REF!</definedName>
    <definedName name="bwcrpe">#REF!</definedName>
    <definedName name="bwcshares">#REF!</definedName>
    <definedName name="bwctech">#REF!</definedName>
    <definedName name="bwctprice">#REF!</definedName>
    <definedName name="bwcttmavg">#REF!</definedName>
    <definedName name="bwcttmcurr">#REF!</definedName>
    <definedName name="bwcttmhi">#REF!</definedName>
    <definedName name="bwcttmlo">#REF!</definedName>
    <definedName name="bwcttmrelavg">#REF!</definedName>
    <definedName name="bwcttmrelcurr">#REF!</definedName>
    <definedName name="bwcttmrelhi">#REF!</definedName>
    <definedName name="bwcttmrello">#REF!</definedName>
    <definedName name="bwcup">#REF!</definedName>
    <definedName name="bwcupsup">#REF!</definedName>
    <definedName name="bwcvol">#REF!</definedName>
    <definedName name="bwcyield">#REF!</definedName>
    <definedName name="c_cash_eoy">#REF!</definedName>
    <definedName name="c_cash_fin">#REF!</definedName>
    <definedName name="c_cash_inv">#REF!</definedName>
    <definedName name="c_cash_op">#REF!</definedName>
    <definedName name="c_ex_acq">#REF!</definedName>
    <definedName name="c_fin_act_oth">#REF!</definedName>
    <definedName name="c_incr_nwc">#REF!</definedName>
    <definedName name="c_net_depr">#REF!</definedName>
    <definedName name="c_on_cap_ex">#REF!</definedName>
    <definedName name="c_proc_ltl">#REF!</definedName>
    <definedName name="c_proc_stb">#REF!</definedName>
    <definedName name="c_tot_div">#REF!</definedName>
    <definedName name="c_tot_incr_cash">#REF!</definedName>
    <definedName name="CABLE">#REF!</definedName>
    <definedName name="caiprice">#REF!</definedName>
    <definedName name="caishares">#REF!</definedName>
    <definedName name="cal00_eps">#REF!</definedName>
    <definedName name="cal00_rev">#REF!</definedName>
    <definedName name="cal01_eps">#REF!</definedName>
    <definedName name="cal01_rev">#REF!</definedName>
    <definedName name="cal93_eps">#REF!</definedName>
    <definedName name="cal93_rev">#REF!</definedName>
    <definedName name="cal94_eps">#REF!</definedName>
    <definedName name="cal94_rev">#REF!</definedName>
    <definedName name="cal95_eps">#REF!</definedName>
    <definedName name="cal95_rev">#REF!</definedName>
    <definedName name="cal96_eps">#REF!</definedName>
    <definedName name="cal96_rev">#REF!</definedName>
    <definedName name="cal97_eps">#REF!</definedName>
    <definedName name="cal97_rev">#REF!</definedName>
    <definedName name="cal98_eps">#REF!</definedName>
    <definedName name="cal98_rev">#REF!</definedName>
    <definedName name="cal99_eps">#REF!</definedName>
    <definedName name="cal99_rev">#REF!</definedName>
    <definedName name="calendar">#REF!</definedName>
    <definedName name="caleps98">#REF!</definedName>
    <definedName name="caleps99">#REF!</definedName>
    <definedName name="Call_Note">#REF!</definedName>
    <definedName name="calrev95">#REF!</definedName>
    <definedName name="calrev96">#REF!</definedName>
    <definedName name="calrev97">#REF!</definedName>
    <definedName name="calrev98">#REF!</definedName>
    <definedName name="calrev99">#REF!</definedName>
    <definedName name="cap">#REF!</definedName>
    <definedName name="Cap._RnD_Asset_net_of_RnD_amort.">#REF!</definedName>
    <definedName name="CAP_print">#REF!</definedName>
    <definedName name="Capacitors">#REF!</definedName>
    <definedName name="Capacity_Measurement">#REF!</definedName>
    <definedName name="capex">#REF!</definedName>
    <definedName name="Capexp_92">#REF!</definedName>
    <definedName name="Capexp_93">#REF!</definedName>
    <definedName name="Capexp_94">#REF!</definedName>
    <definedName name="Capexp_95">#REF!</definedName>
    <definedName name="CAPEXP92">#REF!</definedName>
    <definedName name="CAPEXP93">#REF!</definedName>
    <definedName name="CAPEXP94">#REF!</definedName>
    <definedName name="CAPEXP95">#REF!</definedName>
    <definedName name="CAPEXP96">#REF!</definedName>
    <definedName name="CAPEXP97">#REF!</definedName>
    <definedName name="Capital_Expenditure">#REF!</definedName>
    <definedName name="capital_investment">#REF!</definedName>
    <definedName name="Capitalised_Value_Operating_Leases">#REF!</definedName>
    <definedName name="Capitalization">#REF!</definedName>
    <definedName name="CAPM">#REF!</definedName>
    <definedName name="cargo">#REF!</definedName>
    <definedName name="Carmel_Add">#REF!</definedName>
    <definedName name="Carmel_Bank">#REF!</definedName>
    <definedName name="Carmel_Date">#REF!</definedName>
    <definedName name="Carmel_Sell">#REF!</definedName>
    <definedName name="Case1">#REF!</definedName>
    <definedName name="Case2">#REF!</definedName>
    <definedName name="Case3">#REF!</definedName>
    <definedName name="Case4">#REF!</definedName>
    <definedName name="Case5">#REF!</definedName>
    <definedName name="CaseSwitch">#REF!</definedName>
    <definedName name="Cash">#REF!</definedName>
    <definedName name="cash_98">#REF!</definedName>
    <definedName name="cash_99">#REF!</definedName>
    <definedName name="Cash_At_End_of_Period">#REF!</definedName>
    <definedName name="Cash_DCF">#REF!</definedName>
    <definedName name="cash_flow">#REF!</definedName>
    <definedName name="Cash_Flow_Statement">#REF!</definedName>
    <definedName name="Cash_fore">#REF!</definedName>
    <definedName name="Cash_growth">#REF!</definedName>
    <definedName name="Cash_growth_fore">#REF!</definedName>
    <definedName name="Cash_Operating_Taxes">#REF!</definedName>
    <definedName name="Cash_operating_taxes_fore">#REF!</definedName>
    <definedName name="cash_to_kirch">#REF!</definedName>
    <definedName name="cashburn">#REF!</definedName>
    <definedName name="CashFlow">#REF!</definedName>
    <definedName name="Cashflow_Option_Expense">#REF!</definedName>
    <definedName name="cashps">#REF!</definedName>
    <definedName name="Casio">#REF!</definedName>
    <definedName name="cb_sChart1560B1BF_opts" hidden="1">"1, 9, 1, False, 2, False, False, , 0, False, False, 1, 1"</definedName>
    <definedName name="cb_sChart1560B326">#REF!</definedName>
    <definedName name="cb_sChart1560B326_opts" hidden="1">"1, 9, 1, False, 2, False, False, , 0, False, False, 1, 1"</definedName>
    <definedName name="cb_sChart1560B5DC">#REF!</definedName>
    <definedName name="cb_sChart1560B5DC_opts" hidden="1">"1, 9, 1, False, 2, False, False, , 0, False, False, 1, 1"</definedName>
    <definedName name="cb_sChart1560C23F">#REF!</definedName>
    <definedName name="cb_sChart1560C23F_opts" hidden="1">"1, 9, 1, False, 2, False, False, , 0, False, False, 1, 1"</definedName>
    <definedName name="cb_sChart1B28B2AD">#REF!</definedName>
    <definedName name="cb_sChart1B28B2AD_opts" hidden="1">"1, 3, 1, False, 2, False, False, , 0, False, True, 1, 1"</definedName>
    <definedName name="cb_sChart1B28B8C8">#REF!</definedName>
    <definedName name="cb_sChart1B28B8C8_opts" hidden="1">"1, 3, 1, False, 2, False, False, , 0, False, True, 1, 1"</definedName>
    <definedName name="cb_sChart1B28BF3F">#REF!</definedName>
    <definedName name="cb_sChart1B28BF3F_opts" hidden="1">"1, 3, 1, False, 2, False, False, , 0, False, True, 1, 1"</definedName>
    <definedName name="cb_sChart1B28C218">#REF!</definedName>
    <definedName name="cb_sChart1B28C218_opts" hidden="1">"1, 3, 1, False, 2, False, False, , 0, False, True, 1, 1"</definedName>
    <definedName name="cb_sChart1B28C96B">#REF!</definedName>
    <definedName name="cb_sChart1B28C96B_opts" hidden="1">"1, 3, 1, False, 2, False, False, , 0, False, True, 1, 1"</definedName>
    <definedName name="ccc">#REF!</definedName>
    <definedName name="ccnotes">#REF!</definedName>
    <definedName name="cd">#REF!</definedName>
    <definedName name="CDC">#REF!</definedName>
    <definedName name="cdtcurr">#REF!</definedName>
    <definedName name="cdtdate">#REF!</definedName>
    <definedName name="cdtdown">#REF!</definedName>
    <definedName name="cdtdownsup">#REF!</definedName>
    <definedName name="cdtevebitda">#REF!</definedName>
    <definedName name="cdtffqpeavg">#REF!</definedName>
    <definedName name="cdtffqpecurr">#REF!</definedName>
    <definedName name="cdtFY1cons">#REF!</definedName>
    <definedName name="cdtFY2cons">#REF!</definedName>
    <definedName name="cdthi">#REF!</definedName>
    <definedName name="cdthilo">#REF!</definedName>
    <definedName name="cdtlo">#REF!</definedName>
    <definedName name="cdtmktcap">#REF!</definedName>
    <definedName name="cdtpe1">#REF!</definedName>
    <definedName name="cdtpe2">#REF!</definedName>
    <definedName name="cdtpegrowthavg">#REF!</definedName>
    <definedName name="cdtpegrowthcurr">#REF!</definedName>
    <definedName name="cdtpegrowthmax">#REF!</definedName>
    <definedName name="cdtpegrowthmin">#REF!</definedName>
    <definedName name="cdtperelavg">#REF!</definedName>
    <definedName name="cdtperelcurr">#REF!</definedName>
    <definedName name="cdtprice">#REF!</definedName>
    <definedName name="cdtqv">#REF!</definedName>
    <definedName name="cdtrating">#REF!</definedName>
    <definedName name="cdtrpe">#REF!</definedName>
    <definedName name="cdtshares">#REF!</definedName>
    <definedName name="cdttech">#REF!</definedName>
    <definedName name="cdttprice">#REF!</definedName>
    <definedName name="cdtttmavg">#REF!</definedName>
    <definedName name="cdtttmcurr">#REF!</definedName>
    <definedName name="cdtttmhi">#REF!</definedName>
    <definedName name="cdtttmlo">#REF!</definedName>
    <definedName name="cdtttmrelavg">#REF!</definedName>
    <definedName name="cdtttmrelcurr">#REF!</definedName>
    <definedName name="cdtttmrelhi">#REF!</definedName>
    <definedName name="cdtttmrello">#REF!</definedName>
    <definedName name="cdtup">#REF!</definedName>
    <definedName name="cdtupsup">#REF!</definedName>
    <definedName name="cdtvol">#REF!</definedName>
    <definedName name="cdtyield">#REF!</definedName>
    <definedName name="CellEBITDA">#REF!</definedName>
    <definedName name="CEPS00">#REF!</definedName>
    <definedName name="CEPS01">#REF!</definedName>
    <definedName name="CEPS1998">#REF!</definedName>
    <definedName name="CEPS1999">#REF!</definedName>
    <definedName name="CEPS2000">#REF!</definedName>
    <definedName name="CEPS2001">#REF!</definedName>
    <definedName name="CEPS97">#REF!</definedName>
    <definedName name="CEPS98">#REF!</definedName>
    <definedName name="CEPS99">#REF!</definedName>
    <definedName name="cf">#REF!</definedName>
    <definedName name="CF_AS_NT">#REF!</definedName>
    <definedName name="CF_EQ_NT">#REF!</definedName>
    <definedName name="CF_IV_OT">#REF!</definedName>
    <definedName name="CF_Metric">OFFSET(#REF!,0,0,COUNTA(#REF!)-1)</definedName>
    <definedName name="CF_NT">#REF!</definedName>
    <definedName name="CF_PR_SP">#REF!</definedName>
    <definedName name="CF_print">#REF!</definedName>
    <definedName name="CF_SH_IS">#REF!</definedName>
    <definedName name="CF_TR_OT">#REF!</definedName>
    <definedName name="CFPS_Curr_Yr">#REF!</definedName>
    <definedName name="CFPS_Lst_Yr">#REF!</definedName>
    <definedName name="CFPS_Next_Yr">#REF!</definedName>
    <definedName name="ChangeRange" hidden="1">#REF!</definedName>
    <definedName name="Channel">#REF!</definedName>
    <definedName name="Channel_Inv">#REF!</definedName>
    <definedName name="ChannelBrkdwn">#REF!</definedName>
    <definedName name="Charts1">#REF!</definedName>
    <definedName name="Charts2">#REF!</definedName>
    <definedName name="chg">#REF!</definedName>
    <definedName name="Chg_in_fixed_assets">#REF!</definedName>
    <definedName name="Chg_in_other_assets">#REF!</definedName>
    <definedName name="Chg_in_working_capital">#REF!</definedName>
    <definedName name="Chicago_Add">#REF!</definedName>
    <definedName name="Chicago_Bank">#REF!</definedName>
    <definedName name="Chicago_Date">#REF!</definedName>
    <definedName name="Chicago_Sell">#REF!</definedName>
    <definedName name="Chile1">#REF!</definedName>
    <definedName name="Chile2">#REF!</definedName>
    <definedName name="ChiMei">#REF!</definedName>
    <definedName name="Chipsets">#REF!</definedName>
    <definedName name="Choices_Wrapper">#N/A</definedName>
    <definedName name="CIEN_1Pager">#REF!</definedName>
    <definedName name="cienavg">#REF!</definedName>
    <definedName name="cienavgffq">#REF!</definedName>
    <definedName name="cienchg">#REF!</definedName>
    <definedName name="ciencurr">#REF!</definedName>
    <definedName name="ciencurrffq">#REF!</definedName>
    <definedName name="cienpegrelavg">#REF!</definedName>
    <definedName name="cienpegrelcurr">#REF!</definedName>
    <definedName name="cienpegrowthavg">#REF!</definedName>
    <definedName name="cienpegrowthcurr">#REF!</definedName>
    <definedName name="cienshares">#REF!</definedName>
    <definedName name="CincinattiBell">#REF!</definedName>
    <definedName name="cingular">#REF!</definedName>
    <definedName name="CL1_CFPS">#REF!</definedName>
    <definedName name="CL1_EFDW_SHN">#REF!</definedName>
    <definedName name="CL1_EPE_SHN">#REF!</definedName>
    <definedName name="CL1_EPS_HS">#REF!</definedName>
    <definedName name="CL1_EPSD">#REF!</definedName>
    <definedName name="CL1_EPSG">#REF!</definedName>
    <definedName name="CL1_FDW_SHN">#REF!</definedName>
    <definedName name="CL1_FX">#REF!</definedName>
    <definedName name="CL1_NAV_SH">#REF!</definedName>
    <definedName name="CL1_PE">#REF!</definedName>
    <definedName name="CL1_PE_SHN">#REF!</definedName>
    <definedName name="CL1_PNAV">#REF!</definedName>
    <definedName name="CL1_Recommend">#REF!</definedName>
    <definedName name="CL1_W_SHN">#REF!</definedName>
    <definedName name="CL2_BONUS">#REF!</definedName>
    <definedName name="CL2_CCS">#REF!</definedName>
    <definedName name="CL2_CFPS">#REF!</definedName>
    <definedName name="CL2_DPS_FD">#REF!</definedName>
    <definedName name="CL2_DPS_PD">#REF!</definedName>
    <definedName name="CL2_EFTW_SHN">#REF!</definedName>
    <definedName name="CL2_EPE_SHN">#REF!</definedName>
    <definedName name="CL2_EPS">#REF!</definedName>
    <definedName name="CL2_EPS_HS">#REF!</definedName>
    <definedName name="CL2_EPSC">#REF!</definedName>
    <definedName name="CL2_EPSD">#REF!</definedName>
    <definedName name="CL2_EPSD_HS">#REF!</definedName>
    <definedName name="CL2_EPSG">#REF!</definedName>
    <definedName name="CL2_EQ_FCT">#REF!</definedName>
    <definedName name="CL2_ETW_SHN">#REF!</definedName>
    <definedName name="CL2_FDW_SHN">#REF!</definedName>
    <definedName name="CL2_FF">#REF!</definedName>
    <definedName name="CL2_FX">#REF!</definedName>
    <definedName name="CL2_NAV">#REF!</definedName>
    <definedName name="CL2_NAV_SH">#REF!</definedName>
    <definedName name="CL2_PCF">#REF!</definedName>
    <definedName name="CL2_PE">#REF!</definedName>
    <definedName name="CL2_PE_SHN">#REF!</definedName>
    <definedName name="CL2_PNAV">#REF!</definedName>
    <definedName name="cl2_recommend">#REF!</definedName>
    <definedName name="CL2_W_SHN">#REF!</definedName>
    <definedName name="CL3_BONUS">#REF!</definedName>
    <definedName name="CL3_CCS">#REF!</definedName>
    <definedName name="CL3_CFPS">#REF!</definedName>
    <definedName name="CL3_DPS_FD">#REF!</definedName>
    <definedName name="CL3_DPS_PD">#REF!</definedName>
    <definedName name="CL3_EFTW_SHN">#REF!</definedName>
    <definedName name="CL3_EPE_SHN">#REF!</definedName>
    <definedName name="CL3_EPS">#REF!</definedName>
    <definedName name="CL3_EPS_HS">#REF!</definedName>
    <definedName name="CL3_EPSC">#REF!</definedName>
    <definedName name="CL3_EPSD">#REF!</definedName>
    <definedName name="CL3_EPSD_HS">#REF!</definedName>
    <definedName name="CL3_EPSG">#REF!</definedName>
    <definedName name="CL3_EQ_FCT">#REF!</definedName>
    <definedName name="CL3_ETW_SHN">#REF!</definedName>
    <definedName name="CL3_FDW_SHN">#REF!</definedName>
    <definedName name="CL3_FF">#REF!</definedName>
    <definedName name="CL3_FX">#REF!</definedName>
    <definedName name="CL3_NAV">#REF!</definedName>
    <definedName name="CL3_NAV_SH">#REF!</definedName>
    <definedName name="CL3_PCF">#REF!</definedName>
    <definedName name="CL3_PE">#REF!</definedName>
    <definedName name="CL3_PE_SHN">#REF!</definedName>
    <definedName name="CL3_PNAV">#REF!</definedName>
    <definedName name="CL3_recommend">#REF!</definedName>
    <definedName name="CL3_W_SHN">#REF!</definedName>
    <definedName name="Closed_End">#REF!</definedName>
    <definedName name="clsavg">#REF!</definedName>
    <definedName name="clschg">#REF!</definedName>
    <definedName name="clscrpe">#REF!</definedName>
    <definedName name="clscurr">#REF!</definedName>
    <definedName name="clsdate">#REF!</definedName>
    <definedName name="clsdown">#REF!</definedName>
    <definedName name="clsdownsup">#REF!</definedName>
    <definedName name="clseps98">#REF!</definedName>
    <definedName name="clseps99">#REF!</definedName>
    <definedName name="clsfy1cons">#REF!</definedName>
    <definedName name="clsfy2cons">#REF!</definedName>
    <definedName name="clshi">#REF!</definedName>
    <definedName name="clshilo">#REF!</definedName>
    <definedName name="clslow">#REF!</definedName>
    <definedName name="clsmktcap">#REF!</definedName>
    <definedName name="clspegrowthavg">#REF!</definedName>
    <definedName name="clspegrowthcurr">#REF!</definedName>
    <definedName name="clspegrowthhi">#REF!</definedName>
    <definedName name="clspegrowthlow">#REF!</definedName>
    <definedName name="clsprice">#REF!</definedName>
    <definedName name="clsrpe">#REF!</definedName>
    <definedName name="clsshares">#REF!</definedName>
    <definedName name="clstprice">#REF!</definedName>
    <definedName name="clsttmavg">#REF!</definedName>
    <definedName name="clsttmcurr">#REF!</definedName>
    <definedName name="clsttmhi">#REF!</definedName>
    <definedName name="clsttmlow">#REF!</definedName>
    <definedName name="clsttmrelavg">#REF!</definedName>
    <definedName name="clsttmrelcurr">#REF!</definedName>
    <definedName name="clsttmrelhi">#REF!</definedName>
    <definedName name="clsttmrellow">#REF!</definedName>
    <definedName name="clsup">#REF!</definedName>
    <definedName name="clsupsup">#REF!</definedName>
    <definedName name="clsvol">#REF!</definedName>
    <definedName name="clsyield">#REF!</definedName>
    <definedName name="Cluster">#REF!</definedName>
    <definedName name="cm">#REF!</definedName>
    <definedName name="cmtnavg">#REF!</definedName>
    <definedName name="cmtnavgffq">#REF!</definedName>
    <definedName name="cmtnchg">#REF!</definedName>
    <definedName name="cmtncurr">#REF!</definedName>
    <definedName name="cmtncurrffq">#REF!</definedName>
    <definedName name="cmtnpegrelavg">#REF!</definedName>
    <definedName name="cmtnpegrelcurr">#REF!</definedName>
    <definedName name="cmtnpegrowthavg">#REF!</definedName>
    <definedName name="cmtnpegrowthcurr">#REF!</definedName>
    <definedName name="cmtnshares">#REF!</definedName>
    <definedName name="cmvtavg">#REF!</definedName>
    <definedName name="cmvtavgffq">#REF!</definedName>
    <definedName name="cmvtchg">#REF!</definedName>
    <definedName name="cmvtcurr">#REF!</definedName>
    <definedName name="cmvtcurrffq">#REF!</definedName>
    <definedName name="cmvtpegrelavg">#REF!</definedName>
    <definedName name="cmvtpegrelcurr">#REF!</definedName>
    <definedName name="cmvtpegrowthavg">#REF!</definedName>
    <definedName name="cmvtpegrowthcurr">#REF!</definedName>
    <definedName name="cogn_pe">#REF!</definedName>
    <definedName name="cogn_price">#REF!</definedName>
    <definedName name="COGS">#REF!</definedName>
    <definedName name="column_id">#REF!</definedName>
    <definedName name="column_name">#REF!</definedName>
    <definedName name="Comm_Euro97">#REF!</definedName>
    <definedName name="Comm_Euro98">#REF!</definedName>
    <definedName name="Commercial_Capex">#REF!</definedName>
    <definedName name="Commercial_COGS">#REF!</definedName>
    <definedName name="Commercial_paper">#REF!</definedName>
    <definedName name="Commercial_Revenue">#REF!</definedName>
    <definedName name="Commercial_SGA">#REF!</definedName>
    <definedName name="common">#REF!</definedName>
    <definedName name="Common_Dividend">#REF!</definedName>
    <definedName name="commrate">#REF!</definedName>
    <definedName name="Communications">#REF!</definedName>
    <definedName name="Companies">#REF!</definedName>
    <definedName name="Company">#REF!</definedName>
    <definedName name="Company_Fig_ID">#REF!</definedName>
    <definedName name="Company_ID">#REF!</definedName>
    <definedName name="company_name">#REF!</definedName>
    <definedName name="Company_reported_exceptionals">#REF!</definedName>
    <definedName name="Company1">#REF!</definedName>
    <definedName name="companyinfo">#REF!</definedName>
    <definedName name="CompanyName">#REF!</definedName>
    <definedName name="CompanyNames">#REF!</definedName>
    <definedName name="CompTable_Companies">OFFSET(#REF!,0,0,COUNTA(#REF!)-13)</definedName>
    <definedName name="CompTable_MeanMetrics">OFFSET(#REF!,0,0,1,COUNTA(#REF!)-37)</definedName>
    <definedName name="CompTable_Metric">OFFSET(#REF!,0,8,1,COUNTA(#REF!)-8)</definedName>
    <definedName name="CompTable_YearColRange">OFFSET(#REF!,0,0,1,COUNTA(#REF!))</definedName>
    <definedName name="comscurr">#REF!</definedName>
    <definedName name="comscurrffq">#REF!</definedName>
    <definedName name="comspegrelavg">#REF!</definedName>
    <definedName name="comspegrelcurr">#REF!</definedName>
    <definedName name="comspegrowthavg">#REF!</definedName>
    <definedName name="comspegrowthcurr">#REF!</definedName>
    <definedName name="con">#REF!</definedName>
    <definedName name="concession_active">#REF!</definedName>
    <definedName name="concession_adj_equity_value">#REF!</definedName>
    <definedName name="concession_disc_rate_2">#REF!</definedName>
    <definedName name="concession_payment_stream_2">#REF!</definedName>
    <definedName name="cons_line_growth">#REF!</definedName>
    <definedName name="cons_wcom">#REF!</definedName>
    <definedName name="consolidated_company_id">#REF!</definedName>
    <definedName name="Const_Costs">#REF!</definedName>
    <definedName name="consumer">#REF!</definedName>
    <definedName name="cont_life">#REF!</definedName>
    <definedName name="ContentsHelp" hidden="1">#REF!</definedName>
    <definedName name="conv">#REF!</definedName>
    <definedName name="conv2">#REF!</definedName>
    <definedName name="conversion_rate">#REF!</definedName>
    <definedName name="CopyArea">#REF!</definedName>
    <definedName name="Core_EBIT">#REF!</definedName>
    <definedName name="Core_EBITDA">#REF!</definedName>
    <definedName name="Core_Net_Cash_Debt">#REF!</definedName>
    <definedName name="Core_Sales">#REF!</definedName>
    <definedName name="Corporate_Capex">#REF!</definedName>
    <definedName name="Corporate_COGS">#REF!</definedName>
    <definedName name="Corporate_Revenue">#REF!</definedName>
    <definedName name="Corporate_SGA">#REF!</definedName>
    <definedName name="Corporate_Value">#REF!</definedName>
    <definedName name="COSr_AssociatesMinorities">#REF!</definedName>
    <definedName name="Cost">#REF!</definedName>
    <definedName name="Cost_Of_License">#REF!</definedName>
    <definedName name="Cost_Of_Maintenance">#REF!</definedName>
    <definedName name="Cost_of_sales_net_of_D_A">#REF!</definedName>
    <definedName name="Cost_Of_Services">#REF!</definedName>
    <definedName name="Cost_Of_Subscription">#REF!</definedName>
    <definedName name="Cost_Savings">#REF!</definedName>
    <definedName name="CountriesData">#REF!</definedName>
    <definedName name="Country_Index">#REF!</definedName>
    <definedName name="Country_Name">#REF!</definedName>
    <definedName name="Cov_00_PS">#REF!</definedName>
    <definedName name="Cov_00_Rev">#REF!</definedName>
    <definedName name="Cov_97_PS">#REF!</definedName>
    <definedName name="Cov_97_Rev">#REF!</definedName>
    <definedName name="Cov_98_PS">#REF!</definedName>
    <definedName name="Cov_98_Rev">#REF!</definedName>
    <definedName name="Cov_99_PS">#REF!</definedName>
    <definedName name="Cov_99_Rev">#REF!</definedName>
    <definedName name="Cov_EPS_00">#REF!</definedName>
    <definedName name="Cov_EPS_98">#REF!</definedName>
    <definedName name="Cov_EPS_99">#REF!</definedName>
    <definedName name="Cov_Mkt_Cap">#REF!</definedName>
    <definedName name="Cov_Off_High">#REF!</definedName>
    <definedName name="Cov_Perf_97">#REF!</definedName>
    <definedName name="Cov_Perf_98">#REF!</definedName>
    <definedName name="Cov_Perf_99">#REF!</definedName>
    <definedName name="cov_perf_99b">#REF!</definedName>
    <definedName name="Cov_Univ_Avg">#REF!</definedName>
    <definedName name="Cov_Univ_Total">#REF!</definedName>
    <definedName name="covenants">#REF!</definedName>
    <definedName name="COVER">#REF!</definedName>
    <definedName name="CoverageStatus">#REF!</definedName>
    <definedName name="cox" hidden="1">{#N/A,#N/A,FALSE,"Time Warner";#N/A,#N/A,FALSE,"Entertainment Group";#N/A,#N/A,FALSE,"EBITDA";#N/A,#N/A,FALSE,"Notes"}</definedName>
    <definedName name="CP_Interest">#REF!</definedName>
    <definedName name="CPI">#REF!</definedName>
    <definedName name="CPT">#REF!</definedName>
    <definedName name="cratios">#REF!</definedName>
    <definedName name="CreateTable" hidden="1">#REF!</definedName>
    <definedName name="CreditSrvSecurites">#REF!</definedName>
    <definedName name="CRIB">#REF!</definedName>
    <definedName name="Crit_12mo">#REF!</definedName>
    <definedName name="Crit_Date">#REF!</definedName>
    <definedName name="Crit_Date_7">#REF!</definedName>
    <definedName name="_xlnm.Criteria">#REF!</definedName>
    <definedName name="CRM">#REF!</definedName>
    <definedName name="cs">#N/A</definedName>
    <definedName name="csc_currency">#REF!</definedName>
    <definedName name="cschg">#REF!</definedName>
    <definedName name="cscoavg">#REF!</definedName>
    <definedName name="cscoavgffq">#REF!</definedName>
    <definedName name="cscochg">#REF!</definedName>
    <definedName name="cscocurr">#REF!</definedName>
    <definedName name="cscocurrffq">#REF!</definedName>
    <definedName name="cscopegrelavg">#REF!</definedName>
    <definedName name="cscopegrelcurr">#REF!</definedName>
    <definedName name="cscopegrowthavg">#REF!</definedName>
    <definedName name="cscopegrowthcurr">#REF!</definedName>
    <definedName name="cscoshares">#REF!</definedName>
    <definedName name="cscurr">#REF!</definedName>
    <definedName name="cscurrffq">#REF!</definedName>
    <definedName name="csDesignMode">1</definedName>
    <definedName name="csize">#REF!</definedName>
    <definedName name="cspegrelavg">#REF!</definedName>
    <definedName name="cspegrelcurr">#REF!</definedName>
    <definedName name="cspegrowthavg">#REF!</definedName>
    <definedName name="cspegrowthcurr">#REF!</definedName>
    <definedName name="CTL_5YRGROWTH">#REF!</definedName>
    <definedName name="ctvavg">#REF!</definedName>
    <definedName name="ctvchg">#REF!</definedName>
    <definedName name="ctvcrpe">#REF!</definedName>
    <definedName name="ctvcurr">#REF!</definedName>
    <definedName name="ctvdate">#REF!</definedName>
    <definedName name="ctvdown">#REF!</definedName>
    <definedName name="ctvdownsup">#REF!</definedName>
    <definedName name="ctveps98">#REF!</definedName>
    <definedName name="ctveps99">#REF!</definedName>
    <definedName name="ctvfy1cons">#REF!</definedName>
    <definedName name="ctvfy2cons">#REF!</definedName>
    <definedName name="ctvhi">#REF!</definedName>
    <definedName name="ctvhilo">#REF!</definedName>
    <definedName name="ctvlow">#REF!</definedName>
    <definedName name="ctvmktcap">#REF!</definedName>
    <definedName name="ctvpegrowthavg">#REF!</definedName>
    <definedName name="ctvpegrowthcurr">#REF!</definedName>
    <definedName name="ctvpegrowthhi">#REF!</definedName>
    <definedName name="ctvpegrowthlow">#REF!</definedName>
    <definedName name="ctvprice">#REF!</definedName>
    <definedName name="ctvrpe">#REF!</definedName>
    <definedName name="ctvshares">#REF!</definedName>
    <definedName name="ctvtprice">#REF!</definedName>
    <definedName name="ctvttmavg">#REF!</definedName>
    <definedName name="ctvttmcurr">#REF!</definedName>
    <definedName name="ctvttmhi">#REF!</definedName>
    <definedName name="ctvttmlow">#REF!</definedName>
    <definedName name="ctvttmrelavg">#REF!</definedName>
    <definedName name="ctvttmrelcurr">#REF!</definedName>
    <definedName name="ctvttmrelhi">#REF!</definedName>
    <definedName name="ctvttmrellow">#REF!</definedName>
    <definedName name="ctvup">#REF!</definedName>
    <definedName name="ctvupsup">#REF!</definedName>
    <definedName name="ctvvol">#REF!</definedName>
    <definedName name="ctvyield">#REF!</definedName>
    <definedName name="CU">#REF!</definedName>
    <definedName name="CU1_">#REF!</definedName>
    <definedName name="cu102.ShareScalingFactor" hidden="1">1000000</definedName>
    <definedName name="cu103.EmployeeScalingFactor" hidden="1">1000</definedName>
    <definedName name="cu107.DPSSymbol" hidden="1">"US$"</definedName>
    <definedName name="cu107.EPSSymbol" hidden="1">"US$"</definedName>
    <definedName name="cu71.ScalingFactor" hidden="1">1000000</definedName>
    <definedName name="Cumulative_Goodwill_Prev_Written_Off_To_Equity">#REF!</definedName>
    <definedName name="Cumulative_PV_of_EVA">#REF!</definedName>
    <definedName name="Cumulative_PV_of_FCF">#REF!</definedName>
    <definedName name="CUR3MTH">6</definedName>
    <definedName name="CURCYTD">9</definedName>
    <definedName name="CURMTH">1</definedName>
    <definedName name="CURMYTD">12</definedName>
    <definedName name="Currency">#REF!</definedName>
    <definedName name="Currency_Header">#REF!</definedName>
    <definedName name="CurrencyLookup">#REF!</definedName>
    <definedName name="CurrencyMarker">#REF!</definedName>
    <definedName name="CurrencyTable">#REF!</definedName>
    <definedName name="Current_assets">#REF!</definedName>
    <definedName name="Current_cost_adjusted_net_income">#REF!</definedName>
    <definedName name="current_earnings_footnote">#REF!</definedName>
    <definedName name="Current_estd_yr">#REF!</definedName>
    <definedName name="current_liabilities">#REF!</definedName>
    <definedName name="currenta">#REF!</definedName>
    <definedName name="currentl">#REF!</definedName>
    <definedName name="CurrentPE">#REF!</definedName>
    <definedName name="CurrentPrice">#REF!</definedName>
    <definedName name="CurrentTime">#REF!</definedName>
    <definedName name="CURWEEK">1</definedName>
    <definedName name="CUSLink29">#REF!</definedName>
    <definedName name="Cust.Analy.">#REF!</definedName>
    <definedName name="Customer_deposits">#REF!</definedName>
    <definedName name="Customer_deposits_growth_fore">#REF!</definedName>
    <definedName name="Customers">#REF!</definedName>
    <definedName name="CvgRef">#REF!</definedName>
    <definedName name="CY_1Rev">#REF!</definedName>
    <definedName name="CY_2Rev">#REF!</definedName>
    <definedName name="CY01Rev">#REF!</definedName>
    <definedName name="CY02EPS">#REF!</definedName>
    <definedName name="CY02Rev">#REF!</definedName>
    <definedName name="CY03EPS">#REF!</definedName>
    <definedName name="CY03Rev">#REF!</definedName>
    <definedName name="CY0Rev">#REF!</definedName>
    <definedName name="CY1Rev">#REF!</definedName>
    <definedName name="CY2Rev">#REF!</definedName>
    <definedName name="CY3Rev">#REF!</definedName>
    <definedName name="CYTDVOL">11</definedName>
    <definedName name="d">#REF!</definedName>
    <definedName name="da">#REF!</definedName>
    <definedName name="dalprice">#REF!</definedName>
    <definedName name="dalshares">#REF!</definedName>
    <definedName name="Data">#REF!</definedName>
    <definedName name="data_type_id">#REF!</definedName>
    <definedName name="_xlnm.Database">#REF!</definedName>
    <definedName name="Dataquest">#REF!</definedName>
    <definedName name="DataSheet">#REF!</definedName>
    <definedName name="date">#REF!</definedName>
    <definedName name="date_of_last_bvps_update">#REF!</definedName>
    <definedName name="date_of_last_eps_update">#REF!</definedName>
    <definedName name="dates">#REF!</definedName>
    <definedName name="Days_Sales_Outstanding_Adj">#REF!</definedName>
    <definedName name="Days_Sales_Outstanding_Rep">#REF!</definedName>
    <definedName name="DaysTotal">#REF!</definedName>
    <definedName name="DB">"WIRENYPROD"</definedName>
    <definedName name="dcf">#REF!</definedName>
    <definedName name="DCF_1995">#REF!</definedName>
    <definedName name="DCF_1996">#REF!</definedName>
    <definedName name="DCF_1997">#REF!</definedName>
    <definedName name="DCF_1998">#REF!</definedName>
    <definedName name="DCF_1999">#REF!</definedName>
    <definedName name="DCF_2000">#REF!</definedName>
    <definedName name="DCF_2001">#REF!</definedName>
    <definedName name="DCF_2002">#REF!</definedName>
    <definedName name="DCF_2003">#REF!</definedName>
    <definedName name="DCF_2004">#REF!</definedName>
    <definedName name="DCF_2005">#REF!</definedName>
    <definedName name="DCF_2006">#REF!</definedName>
    <definedName name="DCF_2007">#REF!</definedName>
    <definedName name="DCF_2008">#REF!</definedName>
    <definedName name="DCF_2009">#REF!</definedName>
    <definedName name="DCF_2010">#REF!</definedName>
    <definedName name="DCF_2011">#REF!</definedName>
    <definedName name="DCF_2012">#REF!</definedName>
    <definedName name="DCF_2013">#REF!</definedName>
    <definedName name="DCF_2014">#REF!</definedName>
    <definedName name="DCF_2015">#REF!</definedName>
    <definedName name="DCF_2016">#REF!</definedName>
    <definedName name="DCF_2017">#REF!</definedName>
    <definedName name="DCF_2018">#REF!</definedName>
    <definedName name="DCF_2019">#REF!</definedName>
    <definedName name="DCF_2020">#REF!</definedName>
    <definedName name="DCF_A">#REF!</definedName>
    <definedName name="DCF_A2">#REF!</definedName>
    <definedName name="DCF_analysis">#REF!</definedName>
    <definedName name="dcf_debt">#REF!</definedName>
    <definedName name="DCF_EY1">#REF!</definedName>
    <definedName name="DCF_EY10">#REF!</definedName>
    <definedName name="DCF_EY11">#REF!</definedName>
    <definedName name="DCF_EY12">#REF!</definedName>
    <definedName name="DCF_EY13">#REF!</definedName>
    <definedName name="DCF_EY14">#REF!</definedName>
    <definedName name="DCF_EY15">#REF!</definedName>
    <definedName name="DCF_EY16">#REF!</definedName>
    <definedName name="DCF_EY17">#REF!</definedName>
    <definedName name="DCF_EY18">#REF!</definedName>
    <definedName name="DCF_EY19">#REF!</definedName>
    <definedName name="DCF_EY2">#REF!</definedName>
    <definedName name="DCF_EY20">#REF!</definedName>
    <definedName name="DCF_EY21">#REF!</definedName>
    <definedName name="DCF_EY22">#REF!</definedName>
    <definedName name="DCF_EY23">#REF!</definedName>
    <definedName name="DCF_EY24">#REF!</definedName>
    <definedName name="DCF_EY25">#REF!</definedName>
    <definedName name="DCF_EY26">#REF!</definedName>
    <definedName name="DCF_EY3">#REF!</definedName>
    <definedName name="DCF_EY4">#REF!</definedName>
    <definedName name="DCF_EY5">#REF!</definedName>
    <definedName name="DCF_EY6">#REF!</definedName>
    <definedName name="DCF_EY7">#REF!</definedName>
    <definedName name="DCF_EY8">#REF!</definedName>
    <definedName name="DCF_EY9">#REF!</definedName>
    <definedName name="dcf_lookup">#REF!</definedName>
    <definedName name="DCF_P">#REF!</definedName>
    <definedName name="DCF_Perpetuity">#REF!</definedName>
    <definedName name="DCF_print">#REF!</definedName>
    <definedName name="DCF_TYPE">#REF!</definedName>
    <definedName name="dd">#REF!</definedName>
    <definedName name="de">#REF!</definedName>
    <definedName name="Deals">#REF!</definedName>
    <definedName name="Deals_Over_1m">#REF!</definedName>
    <definedName name="debt">#REF!</definedName>
    <definedName name="Debt_growth">#REF!</definedName>
    <definedName name="Debt_Market_Cap_Ratio">#REF!</definedName>
    <definedName name="debt_schedule">#REF!</definedName>
    <definedName name="Debt_To_Capital">#REF!</definedName>
    <definedName name="Debt_To_Equity">#REF!</definedName>
    <definedName name="debttc">#REF!</definedName>
    <definedName name="decrease">#REF!</definedName>
    <definedName name="Def">#REF!</definedName>
    <definedName name="DEF_DEM_X">#REF!</definedName>
    <definedName name="DEF_ITL_X">#REF!</definedName>
    <definedName name="Deferred_Rev">#REF!</definedName>
    <definedName name="Deferred_tax_asset">#REF!</definedName>
    <definedName name="Deferred_tax_asset_growth_fore">#REF!</definedName>
    <definedName name="Deferred_Tax_Component_Of_Current_Tax_Charge">#REF!</definedName>
    <definedName name="Deferred_tax_liability">#REF!</definedName>
    <definedName name="Deferred_tax_liability_growth_fore">#REF!</definedName>
    <definedName name="Deferred_taxes">#REF!</definedName>
    <definedName name="Deferred_Taxes_Balance_Sheet">#REF!</definedName>
    <definedName name="Deferred_Taxes_Cash_Flow">#REF!</definedName>
    <definedName name="DeleteArea3">#REF!</definedName>
    <definedName name="DeleteArea4">#REF!</definedName>
    <definedName name="DeleteArea5">#REF!</definedName>
    <definedName name="DeleteArea6">#REF!</definedName>
    <definedName name="DeleteArea7">#REF!</definedName>
    <definedName name="deleteme">#REF!</definedName>
    <definedName name="deleteme2" hidden="1">{#N/A,#N/A,FALSE,"Output";#N/A,#N/A,FALSE,"Cover Sheet";#N/A,#N/A,FALSE,"Current Mkt. Projections"}</definedName>
    <definedName name="deleteme3" hidden="1">{#N/A,#N/A,FALSE,"Output";#N/A,#N/A,FALSE,"Cover Sheet";#N/A,#N/A,FALSE,"Current Mkt. Projections"}</definedName>
    <definedName name="deleteme333" hidden="1">{#N/A,#N/A,FALSE,"Output";#N/A,#N/A,FALSE,"Cover Sheet";#N/A,#N/A,FALSE,"Current Mkt. Projections"}</definedName>
    <definedName name="DeleteRange" hidden="1">#REF!</definedName>
    <definedName name="DeleteTable" hidden="1">#REF!</definedName>
    <definedName name="DellEMC">#REF!</definedName>
    <definedName name="dep">#REF!</definedName>
    <definedName name="Dep_and_Amort">#REF!</definedName>
    <definedName name="Dep_margin_fore">#REF!</definedName>
    <definedName name="DepAmo1998">#REF!</definedName>
    <definedName name="DepAmo1999">#REF!</definedName>
    <definedName name="DepAmo2000">#REF!</definedName>
    <definedName name="DepAmo2001">#REF!</definedName>
    <definedName name="depr">#REF!</definedName>
    <definedName name="depr_amort">#REF!</definedName>
    <definedName name="Depreciation">#REF!</definedName>
    <definedName name="Depreciation_Adjustment">#REF!</definedName>
    <definedName name="Depreciation_fore">#REF!</definedName>
    <definedName name="Depreciation_margin">#REF!</definedName>
    <definedName name="deriv_spon_type_id">#REF!</definedName>
    <definedName name="deriv_type_id">#REF!</definedName>
    <definedName name="description">#REF!</definedName>
    <definedName name="Desktop">#REF!</definedName>
    <definedName name="DESKTOPASP">#REF!</definedName>
    <definedName name="DESKTOPREV">#REF!</definedName>
    <definedName name="DESKTOPSHIP.">#REF!</definedName>
    <definedName name="df_analysis">#REF!</definedName>
    <definedName name="dfa" hidden="1">{"Annual_Income",#N/A,FALSE,"Report Page";"Balance_Cash_Flow",#N/A,FALSE,"Report Page";"Quarterly_Income",#N/A,FALSE,"Report Page"}</definedName>
    <definedName name="dfaddfd">#REF!</definedName>
    <definedName name="dfdf" localSheetId="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fdf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fk" localSheetId="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fk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g" localSheetId="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g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ial_around_services">#REF!</definedName>
    <definedName name="Dial_Capex">#REF!</definedName>
    <definedName name="Dial_COGS">#REF!</definedName>
    <definedName name="Dial_Revenue">#REF!</definedName>
    <definedName name="Dial_SGA">#REF!</definedName>
    <definedName name="Diluted_Shares_Outstanding">#REF!</definedName>
    <definedName name="dilution_factor">#REF!</definedName>
    <definedName name="dir">#REF!</definedName>
    <definedName name="Direct">#REF!</definedName>
    <definedName name="DirectTable">#REF!</definedName>
    <definedName name="Disc_Op_Assets_Held_For_Sale">#REF!</definedName>
    <definedName name="Disclosed">#REF!</definedName>
    <definedName name="discount_rate">#REF!</definedName>
    <definedName name="discountrate">#REF!</definedName>
    <definedName name="discountratemax">#REF!</definedName>
    <definedName name="discountratemed">#REF!</definedName>
    <definedName name="discountratemin">#REF!</definedName>
    <definedName name="Discretes">#REF!</definedName>
    <definedName name="Distribution">#REF!</definedName>
    <definedName name="Div">#REF!</definedName>
    <definedName name="dividend">#REF!</definedName>
    <definedName name="DIVIDEND_DISCOUNTED_MODEL">#REF!</definedName>
    <definedName name="Dividends_Other">#REF!</definedName>
    <definedName name="Dividends_Paid">#REF!</definedName>
    <definedName name="Dividends_Special_Common">#REF!</definedName>
    <definedName name="DLX1.USE">#REF!</definedName>
    <definedName name="DLX2.USE">#REF!</definedName>
    <definedName name="DLX21.USE">#REF!</definedName>
    <definedName name="DLX3.USE">#REF!</definedName>
    <definedName name="DLX4.USE">#REF!</definedName>
    <definedName name="DLX5.USE">#REF!</definedName>
    <definedName name="DLX6.USE">#REF!</definedName>
    <definedName name="DLX7.USE">#REF!</definedName>
    <definedName name="DLX8.USE">#REF!</definedName>
    <definedName name="DLX9.USE">#REF!</definedName>
    <definedName name="DnA_fore">#REF!</definedName>
    <definedName name="DnA_growth_fore">#REF!</definedName>
    <definedName name="Dobson">#REF!</definedName>
    <definedName name="DoCoMo" hidden="1">{"test2",#N/A,TRUE,"Prices"}</definedName>
    <definedName name="dollb">#REF!</definedName>
    <definedName name="DownloadDate">#REF!</definedName>
    <definedName name="downsup">#REF!</definedName>
    <definedName name="DPO_estimate">#REF!</definedName>
    <definedName name="DPS_Curr_Yr">#REF!</definedName>
    <definedName name="DPS_Lst_Yr">#REF!</definedName>
    <definedName name="dps_mkt">#REF!</definedName>
    <definedName name="DPS_Next_Yr">#REF!</definedName>
    <definedName name="dps_over">#REF!</definedName>
    <definedName name="dps_sum_qtr">#REF!</definedName>
    <definedName name="dps_year_actual">#REF!</definedName>
    <definedName name="DPS00">#REF!</definedName>
    <definedName name="DPSEuro03">#REF!</definedName>
    <definedName name="DPSEuro04">#REF!</definedName>
    <definedName name="DPSord00">#REF!</definedName>
    <definedName name="DPSord01">#REF!</definedName>
    <definedName name="DPSord97">#REF!</definedName>
    <definedName name="DPSord98">#REF!</definedName>
    <definedName name="DPSord99">#REF!</definedName>
    <definedName name="drivers1">#REF!</definedName>
    <definedName name="drivers2">#REF!</definedName>
    <definedName name="drivers3">#REF!</definedName>
    <definedName name="DSO">#REF!</definedName>
    <definedName name="DSO_estimate">#REF!</definedName>
    <definedName name="DSTREAM">#REF!</definedName>
    <definedName name="E_ALL_ACN">#REF!</definedName>
    <definedName name="E_ALL_ADI">#REF!</definedName>
    <definedName name="E_ALL_ALTR">#REF!</definedName>
    <definedName name="E_ALL_AMAT">#REF!</definedName>
    <definedName name="E_ALL_AMD">#REF!</definedName>
    <definedName name="E_ALL_AMT">#REF!</definedName>
    <definedName name="E_ALL_APXT">#REF!</definedName>
    <definedName name="E_ALL_ARM">#REF!</definedName>
    <definedName name="E_ALL_ARW">#REF!</definedName>
    <definedName name="E_ALL_ARX">#REF!</definedName>
    <definedName name="E_ALL_AVGO">#REF!</definedName>
    <definedName name="E_ALL_BCE">#REF!</definedName>
    <definedName name="E_ALL_BRCM">#REF!</definedName>
    <definedName name="E_ALL_BSY">#REF!</definedName>
    <definedName name="E_ALL_CCI">#REF!</definedName>
    <definedName name="E_ALL_CDNS">#REF!</definedName>
    <definedName name="E_ALL_CFG">#REF!</definedName>
    <definedName name="E_ALL_CHTR">#REF!</definedName>
    <definedName name="E_ALL_CMCSA">#REF!</definedName>
    <definedName name="E_ALL_CRWD">#REF!</definedName>
    <definedName name="E_ALL_CSAL">#REF!</definedName>
    <definedName name="E_ALL_CTL">#REF!</definedName>
    <definedName name="E_ALL_CTSH">#REF!</definedName>
    <definedName name="E_ALL_CYBR">#REF!</definedName>
    <definedName name="E_ALL_DBX">#REF!</definedName>
    <definedName name="E_ALL_DIS">#REF!</definedName>
    <definedName name="E_ALL_DTV">#REF!</definedName>
    <definedName name="E_ALL_ENTG">#REF!</definedName>
    <definedName name="E_ALL_EPAM">#REF!</definedName>
    <definedName name="E_ALL_EQIX">#REF!</definedName>
    <definedName name="E_ALL_FSL">#REF!</definedName>
    <definedName name="E_ALL_FTR">#REF!</definedName>
    <definedName name="E_ALL_FTRCQ">#REF!</definedName>
    <definedName name="E_ALL_FYBR">#REF!</definedName>
    <definedName name="E_ALL_GLOB">#REF!</definedName>
    <definedName name="E_ALL_I">#REF!</definedName>
    <definedName name="E_ALL_IBM">#REF!</definedName>
    <definedName name="E_ALL_INTC">#REF!</definedName>
    <definedName name="E_ALL_INTU" localSheetId="3">#REF!</definedName>
    <definedName name="E_ALL_INTU">#REF!</definedName>
    <definedName name="E_ALL_JBL">#REF!</definedName>
    <definedName name="E_ALL_KEYWORDS_TYPE_Breakdown_EQTY_200001646">#REF!</definedName>
    <definedName name="E_ALL_KEYWORDS_TYPE_Breakdown_EQTY_200002831">#REF!</definedName>
    <definedName name="E_ALL_KEYWORDS_TYPE_Breakdown_EQTY_200004419">#REF!</definedName>
    <definedName name="E_ALL_KEYWORDS_TYPE_ScalarContributed_EQTY_200000304">#REF!,#REF!,#REF!,#REF!</definedName>
    <definedName name="E_ALL_KEYWORDS_TYPE_ScalarContributed_EQTY_200000813">#REF!,#REF!,#REF!,#REF!,#REF!</definedName>
    <definedName name="E_ALL_KEYWORDS_TYPE_ScalarContributed_EQTY_200001265">#REF!,#REF!,#REF!,#REF!</definedName>
    <definedName name="E_ALL_KEYWORDS_TYPE_ScalarContributed_EQTY_200001320">#REF!,#REF!,#REF!,#REF!</definedName>
    <definedName name="E_ALL_KEYWORDS_TYPE_ScalarContributed_EQTY_200001330">#REF!,#REF!,#REF!,#REF!</definedName>
    <definedName name="E_ALL_KEYWORDS_TYPE_ScalarContributed_EQTY_200001353">#REF!,#REF!</definedName>
    <definedName name="E_ALL_KEYWORDS_TYPE_ScalarContributed_EQTY_200001371">#REF!,#REF!</definedName>
    <definedName name="E_ALL_KEYWORDS_TYPE_ScalarContributed_EQTY_200001381">#REF!,#REF!,#REF!,#REF!</definedName>
    <definedName name="E_ALL_KEYWORDS_TYPE_ScalarContributed_EQTY_200001646">#REF!,#REF!,#REF!,#REF!</definedName>
    <definedName name="E_ALL_KEYWORDS_TYPE_ScalarContributed_EQTY_200002282">#REF!,#REF!,#REF!,#REF!,#REF!</definedName>
    <definedName name="E_ALL_KEYWORDS_TYPE_ScalarContributed_EQTY_200002283">#REF!,#REF!,#REF!,#REF!,#REF!</definedName>
    <definedName name="E_ALL_KEYWORDS_TYPE_ScalarContributed_EQTY_200002831">#REF!,#REF!,#REF!,#REF!,#REF!</definedName>
    <definedName name="E_ALL_KEYWORDS_TYPE_ScalarContributed_EQTY_200002833">#REF!,#REF!,#REF!,#REF!</definedName>
    <definedName name="E_ALL_KEYWORDS_TYPE_ScalarContributed_EQTY_200003036">#REF!,#REF!,#REF!,#REF!,#REF!</definedName>
    <definedName name="E_ALL_KEYWORDS_TYPE_ScalarContributed_EQTY_200003037">#REF!,#REF!,#REF!,#REF!</definedName>
    <definedName name="E_ALL_KEYWORDS_TYPE_ScalarContributed_EQTY_200003892">#REF!,#REF!,#REF!,#REF!</definedName>
    <definedName name="E_ALL_KEYWORDS_TYPE_ScalarContributed_EQTY_200004419">#REF!,#REF!,#REF!,#REF!</definedName>
    <definedName name="E_ALL_KEYWORDS_TYPE_ScalarContributed_EQTY_200004906">#REF!,#REF!,#REF!,#REF!,#REF!</definedName>
    <definedName name="E_ALL_KEYWORDS_TYPE_ScalarContributed_EQTY_200005326">#REF!,#REF!,#REF!,#REF!</definedName>
    <definedName name="E_ALL_KEYWORDS_TYPE_ScalarContributed_EQTY_200006384">#REF!,#REF!,#REF!,#REF!,#REF!</definedName>
    <definedName name="E_ALL_KEYWORDS_TYPE_ScalarContributed_EQTY_200007794">#REF!,#REF!,#REF!,#REF!</definedName>
    <definedName name="E_ALL_KEYWORDS_TYPE_ScalarContributed_EQTY_200009556">#REF!,#REF!,#REF!,#REF!</definedName>
    <definedName name="E_ALL_KEYWORDS_TYPE_ScalarContributed_EQTY_200010313">#REF!,#REF!,#REF!,#REF!,#REF!</definedName>
    <definedName name="E_ALL_KEYWORDS_TYPE_ScalarContributed_EQTY_200011598">#REF!,#REF!,#REF!,#REF!,#REF!</definedName>
    <definedName name="E_ALL_KEYWORDS_TYPE_ScalarContributed_EQTY_200012762">#REF!,#REF!,#REF!,#REF!</definedName>
    <definedName name="E_ALL_KEYWORDS_TYPE_ScalarContributed_EQTY_200014300">#REF!,#REF!,#REF!,#REF!</definedName>
    <definedName name="E_ALL_KEYWORDS_TYPE_ScalarContributed_EQTY_200014750">#REF!,#REF!,#REF!,#REF!,#REF!</definedName>
    <definedName name="E_ALL_KEYWORDS_TYPE_ScalarContributed_EQTY_200015107">#REF!,#REF!,#REF!,#REF!</definedName>
    <definedName name="E_ALL_KEYWORDS_TYPE_ScalarContributed_EQTY_200015716">#REF!,#REF!,#REF!,#REF!</definedName>
    <definedName name="E_ALL_KEYWORDS_TYPE_ScalarContributed_EQTY_200015757">#REF!,#REF!,#REF!,#REF!</definedName>
    <definedName name="E_ALL_KEYWORDS_TYPE_ScalarContributed_EQTY_200016026">#REF!,#REF!,#REF!,#REF!</definedName>
    <definedName name="E_ALL_KEYWORDS_TYPE_ScalarContributed_EQTY_200017745">#REF!,#REF!,#REF!,#REF!</definedName>
    <definedName name="E_ALL_KEYWORDS_TYPE_ScalarContributed_EQTY_200021484">#REF!,#REF!,#REF!,#REF!,#REF!</definedName>
    <definedName name="E_ALL_KEYWORDS_TYPE_ScalarContributed_ISSR_208000027">#REF!,#REF!</definedName>
    <definedName name="E_ALL_KEYWORDS_TYPE_ScalarContributed_ISSR_208000430">#REF!,#REF!,#REF!,#REF!,#REF!,#REF!,#REF!,#REF!,#REF!,#REF!,#REF!</definedName>
    <definedName name="E_ALL_KEYWORDS_TYPE_ScalarContributed_ISSR_208000603">#REF!</definedName>
    <definedName name="E_ALL_KEYWORDS_TYPE_ScalarContributed_ISSR_208000826">#REF!,#REF!,#REF!,#REF!</definedName>
    <definedName name="E_ALL_KEYWORDS_TYPE_ScalarContributed_ISSR_208000976">#REF!</definedName>
    <definedName name="E_ALL_KEYWORDS_TYPE_ScalarContributed_ISSR_208000977">#REF!,#REF!</definedName>
    <definedName name="E_ALL_KEYWORDS_TYPE_ScalarContributed_ISSR_208001048">#REF!,#REF!</definedName>
    <definedName name="E_ALL_KEYWORDS_TYPE_ScalarContributed_ISSR_208001258">#REF!</definedName>
    <definedName name="E_ALL_KEYWORDS_TYPE_ScalarContributed_ISSR_208001370">#REF!,#REF!</definedName>
    <definedName name="E_ALL_KEYWORDS_TYPE_ScalarContributed_ISSR_208001515">#REF!,#REF!</definedName>
    <definedName name="E_ALL_KEYWORDS_TYPE_ScalarContributed_ISSR_208001627">#REF!,#REF!,#REF!</definedName>
    <definedName name="E_ALL_KEYWORDS_TYPE_ScalarContributed_ISSR_208001640">#REF!,#REF!</definedName>
    <definedName name="E_ALL_KEYWORDS_TYPE_ScalarContributed_ISSR_208001765">#REF!,#REF!,#REF!</definedName>
    <definedName name="E_ALL_KEYWORDS_TYPE_ScalarContributed_ISSR_208001785">#REF!,#REF!</definedName>
    <definedName name="E_ALL_KEYWORDS_TYPE_ScalarContributed_ISSR_208002651">#REF!,#REF!</definedName>
    <definedName name="E_ALL_KEYWORDS_TYPE_ScalarContributed_ISSR_208005795">#REF!,#REF!</definedName>
    <definedName name="E_ALL_KEYWORDS_TYPE_ScalarContributed_ISSR_208008030">#REF!,#REF!,#REF!</definedName>
    <definedName name="E_ALL_KEYWORDS_TYPE_ScalarContributed_ISSR_208008836">#REF!,#REF!</definedName>
    <definedName name="E_ALL_KEYWORDS_TYPE_ScalarContributed_ISSR_208009722">#REF!</definedName>
    <definedName name="E_ALL_KEYWORDS_TYPE_ScalarContributed_ISSR_208011556">#REF!,#REF!</definedName>
    <definedName name="E_ALL_KEYWORDS_TYPE_ScalarContributed_ISSR_208011888">#REF!,#REF!,#REF!,#REF!,#REF!,#REF!,#REF!,#REF!,#REF!,#REF!,#REF!</definedName>
    <definedName name="E_ALL_KEYWORDS_TYPE_ScalarContributed_ISSR_208012959">#REF!,#REF!,#REF!</definedName>
    <definedName name="E_ALL_KEYWORDS_TYPE_ScalarContributed_ISSR_208015351">#REF!,#REF!</definedName>
    <definedName name="E_ALL_KEYWORDS_TYPE_ScalarContributed_ISSR_208018253">#REF!,#REF!,#REF!</definedName>
    <definedName name="E_ALL_KEYWORDS_TYPE_ScalarContributed_ISSR_208020919">#REF!,#REF!,#REF!</definedName>
    <definedName name="E_ALL_KEYWORDS_TYPE_ScalarReference_EQTY_200001646">#REF!</definedName>
    <definedName name="E_ALL_KEYWORDS_TYPE_ScalarReference_EQTY_200002831">#REF!</definedName>
    <definedName name="E_ALL_KEYWORDS_TYPE_ScalarReference_EQTY_200004419">#REF!</definedName>
    <definedName name="E_ALL_KEYWORDS_TYPE_ScalarReference_EQTY_200012762">#REF!</definedName>
    <definedName name="E_ALL_KEYWORDS_TYPE_ScalarReference_EQTY_200014750">#REF!</definedName>
    <definedName name="E_ALL_KEYWORDS_TYPE_ScalarReference_ISSR_208000603">#REF!</definedName>
    <definedName name="E_ALL_KEYWORDS_TYPE_ScalarReference_ISSR_208000976">#REF!</definedName>
    <definedName name="E_ALL_KEYWORDS_TYPE_ScalarReference_ISSR_208001258">#REF!</definedName>
    <definedName name="E_ALL_KEYWORDS_TYPE_ScalarReference_ISSR_208009722">#REF!</definedName>
    <definedName name="E_ALL_KEYWORDS_TYPE_ScalarReference_ISSR_208011556">#REF!</definedName>
    <definedName name="E_ALL_KEYWORDS_TYPE_Vector_EQTY_200000304">#REF!,#REF!,#REF!,#REF!,#REF!,#REF!,#REF!</definedName>
    <definedName name="E_ALL_KEYWORDS_TYPE_Vector_EQTY_200001265">#REF!,#REF!,#REF!,#REF!,#REF!,#REF!,#REF!</definedName>
    <definedName name="E_ALL_KEYWORDS_TYPE_Vector_EQTY_200001320">#REF!,#REF!,#REF!,#REF!,#REF!,#REF!,#REF!</definedName>
    <definedName name="E_ALL_KEYWORDS_TYPE_Vector_EQTY_200001330">#REF!,#REF!,#REF!,#REF!,#REF!,#REF!,#REF!</definedName>
    <definedName name="E_ALL_KEYWORDS_TYPE_Vector_EQTY_200001353">#REF!,#REF!,#REF!,#REF!,#REF!</definedName>
    <definedName name="E_ALL_KEYWORDS_TYPE_Vector_EQTY_200001371">#REF!,#REF!,#REF!,#REF!,#REF!</definedName>
    <definedName name="E_ALL_KEYWORDS_TYPE_Vector_EQTY_200001381">#REF!,#REF!,#REF!,#REF!,#REF!,#REF!,#REF!</definedName>
    <definedName name="E_ALL_KEYWORDS_TYPE_Vector_EQTY_200001646">#REF!,#REF!,#REF!,#REF!,#REF!,#REF!,#REF!,#REF!</definedName>
    <definedName name="E_ALL_KEYWORDS_TYPE_Vector_EQTY_200002282">#REF!,#REF!,#REF!,#REF!,#REF!,#REF!,#REF!,#REF!</definedName>
    <definedName name="E_ALL_KEYWORDS_TYPE_Vector_EQTY_200002831">#REF!,#REF!,#REF!,#REF!,#REF!,#REF!,#REF!</definedName>
    <definedName name="E_ALL_KEYWORDS_TYPE_Vector_EQTY_200002833">#REF!,#REF!,#REF!,#REF!,#REF!,#REF!,#REF!</definedName>
    <definedName name="E_ALL_KEYWORDS_TYPE_Vector_EQTY_200003036">#REF!,#REF!,#REF!,#REF!,#REF!,#REF!,#REF!</definedName>
    <definedName name="E_ALL_KEYWORDS_TYPE_Vector_EQTY_200003037">#REF!,#REF!,#REF!,#REF!,#REF!,#REF!,#REF!</definedName>
    <definedName name="E_ALL_KEYWORDS_TYPE_Vector_EQTY_200003892">#REF!,#REF!,#REF!,#REF!,#REF!,#REF!,#REF!</definedName>
    <definedName name="E_ALL_KEYWORDS_TYPE_Vector_EQTY_200004419">#REF!,#REF!,#REF!,#REF!,#REF!,#REF!,#REF!</definedName>
    <definedName name="E_ALL_KEYWORDS_TYPE_Vector_EQTY_200004906">#REF!,#REF!,#REF!,#REF!,#REF!,#REF!,#REF!</definedName>
    <definedName name="E_ALL_KEYWORDS_TYPE_Vector_EQTY_200005184">#REF!,#REF!,#REF!,#REF!,#REF!,#REF!,#REF!</definedName>
    <definedName name="E_ALL_KEYWORDS_TYPE_Vector_EQTY_200005326">#REF!,#REF!,#REF!,#REF!,#REF!,#REF!,#REF!</definedName>
    <definedName name="E_ALL_KEYWORDS_TYPE_Vector_EQTY_200005722">#REF!,#REF!,#REF!,#REF!,#REF!,#REF!,#REF!</definedName>
    <definedName name="E_ALL_KEYWORDS_TYPE_Vector_EQTY_200006232">#REF!,#REF!,#REF!,#REF!,#REF!,#REF!,#REF!</definedName>
    <definedName name="E_ALL_KEYWORDS_TYPE_Vector_EQTY_200006333">#REF!,#REF!,#REF!,#REF!,#REF!,#REF!,#REF!,#REF!,#REF!</definedName>
    <definedName name="E_ALL_KEYWORDS_TYPE_Vector_EQTY_200006384">#REF!,#REF!,#REF!,#REF!,#REF!,#REF!,#REF!</definedName>
    <definedName name="E_ALL_KEYWORDS_TYPE_Vector_EQTY_200009556">#REF!,#REF!,#REF!,#REF!,#REF!,#REF!,#REF!</definedName>
    <definedName name="E_ALL_KEYWORDS_TYPE_Vector_EQTY_200011598">#REF!,#REF!,#REF!,#REF!,#REF!,#REF!,#REF!</definedName>
    <definedName name="E_ALL_KEYWORDS_TYPE_Vector_EQTY_200012762">#REF!,#REF!,#REF!,#REF!,#REF!,#REF!,#REF!</definedName>
    <definedName name="E_ALL_KEYWORDS_TYPE_Vector_EQTY_200014300">#REF!,#REF!,#REF!,#REF!,#REF!,#REF!,#REF!</definedName>
    <definedName name="E_ALL_KEYWORDS_TYPE_Vector_EQTY_200014750">#REF!,#REF!,#REF!,#REF!,#REF!,#REF!,#REF!</definedName>
    <definedName name="E_ALL_KEYWORDS_TYPE_Vector_EQTY_200015107">#REF!,#REF!,#REF!,#REF!,#REF!,#REF!,#REF!</definedName>
    <definedName name="E_ALL_KEYWORDS_TYPE_Vector_EQTY_200015716">#REF!,#REF!,#REF!,#REF!,#REF!,#REF!,#REF!</definedName>
    <definedName name="E_ALL_KEYWORDS_TYPE_Vector_EQTY_200015757">#REF!,#REF!,#REF!,#REF!,#REF!,#REF!,#REF!,#REF!</definedName>
    <definedName name="E_ALL_KEYWORDS_TYPE_Vector_EQTY_200016026">#REF!,#REF!,#REF!,#REF!,#REF!,#REF!,#REF!,#REF!</definedName>
    <definedName name="E_ALL_KEYWORDS_TYPE_Vector_EQTY_200017745">#REF!,#REF!,#REF!,#REF!,#REF!,#REF!,#REF!</definedName>
    <definedName name="E_ALL_KEYWORDS_TYPE_Vector_EQTY_200021484">#REF!,#REF!,#REF!,#REF!,#REF!,#REF!,#REF!</definedName>
    <definedName name="E_ALL_KEYWORDS_TYPE_Vector_ISSR_208000027">#REF!,#REF!,#REF!,#REF!,#REF!,#REF!,#REF!,#REF!,#REF!,#REF!,#REF!,#REF!,#REF!,#REF!,#REF!,#REF!</definedName>
    <definedName name="E_ALL_KEYWORDS_TYPE_Vector_ISSR_208000402">#REF!,#REF!,#REF!,#REF!,#REF!,#REF!,#REF!,#REF!,#REF!,#REF!,#REF!,#REF!,#REF!,#REF!,#REF!,#REF!</definedName>
    <definedName name="E_ALL_KEYWORDS_TYPE_Vector_ISSR_208000430">#REF!,#REF!,#REF!,#REF!,#REF!,#REF!,#REF!,#REF!,#REF!,#REF!,#REF!,#REF!,#REF!,#REF!</definedName>
    <definedName name="E_ALL_KEYWORDS_TYPE_Vector_ISSR_208000435">#REF!,#REF!,#REF!,#REF!,#REF!,#REF!,#REF!,#REF!,#REF!,#REF!,#REF!,#REF!,#REF!,#REF!,#REF!,#REF!</definedName>
    <definedName name="E_ALL_KEYWORDS_TYPE_Vector_ISSR_208000451">#REF!,#REF!,#REF!,#REF!,#REF!,#REF!,#REF!,#REF!,#REF!,#REF!,#REF!,#REF!,#REF!,#REF!,#REF!,#REF!,#REF!,#REF!,#REF!,#REF!,#REF!,#REF!,#REF!,#REF!,#REF!,#REF!</definedName>
    <definedName name="E_ALL_KEYWORDS_TYPE_Vector_ISSR_208000468">#REF!,#REF!,#REF!,#REF!,#REF!,#REF!,#REF!,#REF!,#REF!,#REF!,#REF!,#REF!,#REF!,#REF!,#REF!,#REF!</definedName>
    <definedName name="E_ALL_KEYWORDS_TYPE_Vector_ISSR_208000603">#REF!,#REF!,#REF!,#REF!,#REF!,#REF!,#REF!,#REF!,#REF!,#REF!</definedName>
    <definedName name="E_ALL_KEYWORDS_TYPE_Vector_ISSR_208000826">#REF!,#REF!,#REF!,#REF!,#REF!,#REF!,#REF!,#REF!,#REF!,#REF!,#REF!,#REF!,#REF!,#REF!,#REF!,#REF!</definedName>
    <definedName name="E_ALL_KEYWORDS_TYPE_Vector_ISSR_208000976">#REF!,#REF!,#REF!,#REF!,#REF!,#REF!,#REF!,#REF!,#REF!</definedName>
    <definedName name="E_ALL_KEYWORDS_TYPE_Vector_ISSR_208000977">#REF!,#REF!,#REF!,#REF!,#REF!,#REF!,#REF!,#REF!,#REF!,#REF!,#REF!,#REF!,#REF!,#REF!,#REF!</definedName>
    <definedName name="E_ALL_KEYWORDS_TYPE_Vector_ISSR_208001048">#REF!,#REF!,#REF!,#REF!,#REF!,#REF!,#REF!,#REF!,#REF!,#REF!,#REF!,#REF!,#REF!</definedName>
    <definedName name="E_ALL_KEYWORDS_TYPE_Vector_ISSR_208001049">#REF!,#REF!,#REF!,#REF!,#REF!,#REF!,#REF!,#REF!,#REF!,#REF!,#REF!,#REF!,#REF!,#REF!,#REF!</definedName>
    <definedName name="E_ALL_KEYWORDS_TYPE_Vector_ISSR_208001137">#REF!,#REF!,#REF!,#REF!,#REF!,#REF!,#REF!,#REF!,#REF!,#REF!,#REF!,#REF!,#REF!,#REF!,#REF!</definedName>
    <definedName name="E_ALL_KEYWORDS_TYPE_Vector_ISSR_208001258">#REF!,#REF!,#REF!,#REF!,#REF!,#REF!,#REF!,#REF!,#REF!,#REF!,#REF!,#REF!,#REF!,#REF!,#REF!</definedName>
    <definedName name="E_ALL_KEYWORDS_TYPE_Vector_ISSR_208001370">#REF!,#REF!,#REF!,#REF!,#REF!,#REF!,#REF!,#REF!,#REF!,#REF!,#REF!,#REF!,#REF!</definedName>
    <definedName name="E_ALL_KEYWORDS_TYPE_Vector_ISSR_208001515">#REF!,#REF!,#REF!,#REF!,#REF!,#REF!,#REF!,#REF!,#REF!,#REF!,#REF!,#REF!,#REF!</definedName>
    <definedName name="E_ALL_KEYWORDS_TYPE_Vector_ISSR_208001627">#REF!,#REF!,#REF!,#REF!,#REF!,#REF!,#REF!,#REF!,#REF!,#REF!,#REF!,#REF!,#REF!</definedName>
    <definedName name="E_ALL_KEYWORDS_TYPE_Vector_ISSR_208001640">#REF!,#REF!,#REF!,#REF!,#REF!,#REF!,#REF!,#REF!,#REF!,#REF!,#REF!,#REF!,#REF!,#REF!</definedName>
    <definedName name="E_ALL_KEYWORDS_TYPE_Vector_ISSR_208001765">#REF!,#REF!,#REF!,#REF!,#REF!,#REF!,#REF!,#REF!,#REF!,#REF!,#REF!,#REF!,#REF!,#REF!,#REF!,#REF!</definedName>
    <definedName name="E_ALL_KEYWORDS_TYPE_Vector_ISSR_208001785">#REF!,#REF!,#REF!,#REF!,#REF!,#REF!,#REF!,#REF!,#REF!,#REF!,#REF!,#REF!,#REF!</definedName>
    <definedName name="E_ALL_KEYWORDS_TYPE_Vector_ISSR_208002651">#REF!,#REF!,#REF!,#REF!,#REF!,#REF!,#REF!,#REF!,#REF!,#REF!,#REF!,#REF!,#REF!</definedName>
    <definedName name="E_ALL_KEYWORDS_TYPE_Vector_ISSR_208005795">#REF!,#REF!,#REF!,#REF!,#REF!,#REF!,#REF!,#REF!,#REF!,#REF!</definedName>
    <definedName name="E_ALL_KEYWORDS_TYPE_Vector_ISSR_208007359">#REF!,#REF!,#REF!,#REF!,#REF!,#REF!,#REF!,#REF!,#REF!</definedName>
    <definedName name="E_ALL_KEYWORDS_TYPE_Vector_ISSR_208007452">#REF!,#REF!,#REF!,#REF!,#REF!,#REF!,#REF!,#REF!,#REF!,#REF!,#REF!,#REF!,#REF!,#REF!,#REF!,#REF!,#REF!,#REF!,#REF!,#REF!,#REF!,#REF!,#REF!,#REF!,#REF!</definedName>
    <definedName name="E_ALL_KEYWORDS_TYPE_Vector_ISSR_208007986">#REF!,#REF!,#REF!,#REF!,#REF!,#REF!,#REF!,#REF!,#REF!,#REF!,#REF!,#REF!,#REF!,#REF!,#REF!</definedName>
    <definedName name="E_ALL_KEYWORDS_TYPE_Vector_ISSR_208008030">#REF!,#REF!,#REF!,#REF!,#REF!,#REF!,#REF!,#REF!,#REF!,#REF!,#REF!,#REF!,#REF!,#REF!,#REF!,#REF!,#REF!,#REF!,#REF!,#REF!</definedName>
    <definedName name="E_ALL_KEYWORDS_TYPE_Vector_ISSR_208008836">#REF!,#REF!,#REF!,#REF!,#REF!,#REF!,#REF!,#REF!,#REF!,#REF!</definedName>
    <definedName name="E_ALL_KEYWORDS_TYPE_Vector_ISSR_208009722">#REF!,#REF!,#REF!,#REF!,#REF!,#REF!,#REF!,#REF!,#REF!</definedName>
    <definedName name="E_ALL_KEYWORDS_TYPE_Vector_ISSR_208010209">#REF!,#REF!,#REF!,#REF!,#REF!,#REF!,#REF!,#REF!,#REF!,#REF!,#REF!,#REF!,#REF!,#REF!,#REF!</definedName>
    <definedName name="E_ALL_KEYWORDS_TYPE_Vector_ISSR_208011072">#REF!,#REF!,#REF!,#REF!,#REF!,#REF!,#REF!,#REF!,#REF!,#REF!,#REF!,#REF!,#REF!,#REF!</definedName>
    <definedName name="E_ALL_KEYWORDS_TYPE_Vector_ISSR_208011556">#REF!,#REF!,#REF!,#REF!,#REF!,#REF!,#REF!,#REF!,#REF!,#REF!</definedName>
    <definedName name="E_ALL_KEYWORDS_TYPE_Vector_ISSR_208011888">#REF!,#REF!,#REF!,#REF!,#REF!,#REF!,#REF!,#REF!,#REF!,#REF!,#REF!,#REF!,#REF!,#REF!,#REF!,#REF!,#REF!,#REF!,#REF!</definedName>
    <definedName name="E_ALL_KEYWORDS_TYPE_Vector_ISSR_208012959">#REF!,#REF!,#REF!,#REF!,#REF!,#REF!,#REF!,#REF!,#REF!,#REF!,#REF!,#REF!,#REF!,#REF!,#REF!,#REF!,#REF!,#REF!,#REF!,#REF!</definedName>
    <definedName name="E_ALL_KEYWORDS_TYPE_Vector_ISSR_208015351">#REF!,#REF!,#REF!,#REF!,#REF!,#REF!,#REF!,#REF!,#REF!,#REF!,#REF!,#REF!,#REF!,#REF!</definedName>
    <definedName name="E_ALL_KEYWORDS_TYPE_Vector_ISSR_208018253">#REF!,#REF!,#REF!,#REF!,#REF!,#REF!,#REF!,#REF!,#REF!,#REF!,#REF!,#REF!,#REF!</definedName>
    <definedName name="E_ALL_KEYWORDS_TYPE_Vector_ISSR_208020919">#REF!,#REF!,#REF!,#REF!,#REF!,#REF!,#REF!,#REF!,#REF!,#REF!,#REF!,#REF!,#REF!</definedName>
    <definedName name="E_ALL_KNBE">#REF!</definedName>
    <definedName name="E_ALL_LLTC">#REF!</definedName>
    <definedName name="E_ALL_LUMN">#REF!</definedName>
    <definedName name="E_ALL_LVLT">#REF!</definedName>
    <definedName name="E_ALL_MCFE">#REF!</definedName>
    <definedName name="E_ALL_MCHP">#REF!</definedName>
    <definedName name="E_ALL_MDB">#REF!</definedName>
    <definedName name="E_ALL_MIME">#REF!</definedName>
    <definedName name="E_ALL_MKTO">#REF!</definedName>
    <definedName name="E_ALL_MRVL">#REF!</definedName>
    <definedName name="E_ALL_MSFT">#REF!</definedName>
    <definedName name="E_ALL_MXIM">#REF!</definedName>
    <definedName name="E_ALL_NOK1V.HE">#REF!</definedName>
    <definedName name="E_ALL_NVDA">#REF!</definedName>
    <definedName name="E_ALL_NXPI">#REF!</definedName>
    <definedName name="E_ALL_ON">#REF!</definedName>
    <definedName name="E_ALL_PANW">#REF!</definedName>
    <definedName name="E_ALL_PERIODS_ARX">#REF!</definedName>
    <definedName name="E_ALL_PERIODS_SBAC">#REF!</definedName>
    <definedName name="E_ALL_PERIODS_T">#REF!</definedName>
    <definedName name="E_ALL_PFPT">#REF!</definedName>
    <definedName name="E_ALL_QRVO">#REF!</definedName>
    <definedName name="E_ALL_QTS">#REF!</definedName>
    <definedName name="E_ALL_RCI">#REF!</definedName>
    <definedName name="E_ALL_RPD">#REF!</definedName>
    <definedName name="E_ALL_S">#REF!</definedName>
    <definedName name="E_ALL_SBAC">#REF!</definedName>
    <definedName name="E_ALL_SECTION_KEYWORDS_EQTY_200001646_1314">#REF!</definedName>
    <definedName name="E_ALL_SECTION_KEYWORDS_EQTY_200001646_1319">#REF!</definedName>
    <definedName name="E_ALL_SECTION_KEYWORDS_EQTY_200001646_131E">#REF!</definedName>
    <definedName name="E_ALL_SECTION_KEYWORDS_EQTY_200001646_131O">#REF!</definedName>
    <definedName name="E_ALL_SECTION_KEYWORDS_EQTY_200001646_131P">#REF!</definedName>
    <definedName name="E_ALL_SECTION_KEYWORDS_EQTY_200001646_13A">#REF!</definedName>
    <definedName name="E_ALL_SECTION_KEYWORDS_EQTY_200001646_13K">#REF!</definedName>
    <definedName name="E_ALL_SECTION_KEYWORDS_EQTY_200001646_13U">#REF!</definedName>
    <definedName name="E_ALL_SECTION_KEYWORDS_EQTY_200001646_13V">#REF!</definedName>
    <definedName name="E_ALL_SECTION_KEYWORDS_EQTY_200001646_13W">#REF!</definedName>
    <definedName name="E_ALL_SECTION_KEYWORDS_EQTY_200001646_Reference_Data">#REF!</definedName>
    <definedName name="E_ALL_SECTION_KEYWORDS_EQTY_200002831_1314">#REF!</definedName>
    <definedName name="E_ALL_SECTION_KEYWORDS_EQTY_200002831_1319">#REF!</definedName>
    <definedName name="E_ALL_SECTION_KEYWORDS_EQTY_200002831_131E">#REF!</definedName>
    <definedName name="E_ALL_SECTION_KEYWORDS_EQTY_200002831_131O">#REF!</definedName>
    <definedName name="E_ALL_SECTION_KEYWORDS_EQTY_200002831_13A">#REF!</definedName>
    <definedName name="E_ALL_SECTION_KEYWORDS_EQTY_200002831_13K">#REF!</definedName>
    <definedName name="E_ALL_SECTION_KEYWORDS_EQTY_200002831_13U">#REF!</definedName>
    <definedName name="E_ALL_SECTION_KEYWORDS_EQTY_200002831_13V">#REF!</definedName>
    <definedName name="E_ALL_SECTION_KEYWORDS_EQTY_200002831_13W">#REF!</definedName>
    <definedName name="E_ALL_SECTION_KEYWORDS_EQTY_200002831_Reference_Data">#REF!</definedName>
    <definedName name="E_ALL_SECTION_KEYWORDS_EQTY_200004419_1314">#REF!</definedName>
    <definedName name="E_ALL_SECTION_KEYWORDS_EQTY_200004419_1319">#REF!</definedName>
    <definedName name="E_ALL_SECTION_KEYWORDS_EQTY_200004419_131E">#REF!</definedName>
    <definedName name="E_ALL_SECTION_KEYWORDS_EQTY_200004419_131O">#REF!</definedName>
    <definedName name="E_ALL_SECTION_KEYWORDS_EQTY_200004419_13A">#REF!</definedName>
    <definedName name="E_ALL_SECTION_KEYWORDS_EQTY_200004419_13K">#REF!</definedName>
    <definedName name="E_ALL_SECTION_KEYWORDS_EQTY_200004419_13U">#REF!</definedName>
    <definedName name="E_ALL_SECTION_KEYWORDS_EQTY_200004419_13V">#REF!</definedName>
    <definedName name="E_ALL_SECTION_KEYWORDS_EQTY_200004419_13W">#REF!</definedName>
    <definedName name="E_ALL_SECTION_KEYWORDS_EQTY_200004419_Reference_Data">#REF!</definedName>
    <definedName name="E_ALL_SECTION_KEYWORDS_EQTY_200004906_13K">#REF!</definedName>
    <definedName name="E_ALL_SECTION_KEYWORDS_EQTY_200005326_13K">#REF!</definedName>
    <definedName name="E_ALL_SECTION_KEYWORDS_EQTY_200006333_13K">#REF!</definedName>
    <definedName name="E_ALL_SECTION_KEYWORDS_EQTY_200012762_1314">#REF!</definedName>
    <definedName name="E_ALL_SECTION_KEYWORDS_EQTY_200012762_1319">#REF!</definedName>
    <definedName name="E_ALL_SECTION_KEYWORDS_EQTY_200012762_131E">#REF!</definedName>
    <definedName name="E_ALL_SECTION_KEYWORDS_EQTY_200012762_131O">#REF!</definedName>
    <definedName name="E_ALL_SECTION_KEYWORDS_EQTY_200012762_13A">#REF!</definedName>
    <definedName name="E_ALL_SECTION_KEYWORDS_EQTY_200012762_13K">#REF!</definedName>
    <definedName name="E_ALL_SECTION_KEYWORDS_EQTY_200012762_13U">#REF!</definedName>
    <definedName name="E_ALL_SECTION_KEYWORDS_EQTY_200012762_13V">#REF!</definedName>
    <definedName name="E_ALL_SECTION_KEYWORDS_EQTY_200012762_13W">#REF!</definedName>
    <definedName name="E_ALL_SECTION_KEYWORDS_EQTY_200012762_Reference_Data">#REF!</definedName>
    <definedName name="E_ALL_SECTION_KEYWORDS_EQTY_200014750_1314">#REF!</definedName>
    <definedName name="E_ALL_SECTION_KEYWORDS_EQTY_200014750_1319">#REF!</definedName>
    <definedName name="E_ALL_SECTION_KEYWORDS_EQTY_200014750_131E">#REF!</definedName>
    <definedName name="E_ALL_SECTION_KEYWORDS_EQTY_200014750_131O">#REF!</definedName>
    <definedName name="E_ALL_SECTION_KEYWORDS_EQTY_200014750_13A">#REF!</definedName>
    <definedName name="E_ALL_SECTION_KEYWORDS_EQTY_200014750_13K">#REF!</definedName>
    <definedName name="E_ALL_SECTION_KEYWORDS_EQTY_200014750_13U">#REF!</definedName>
    <definedName name="E_ALL_SECTION_KEYWORDS_EQTY_200014750_13V">#REF!</definedName>
    <definedName name="E_ALL_SECTION_KEYWORDS_EQTY_200014750_13W">#REF!</definedName>
    <definedName name="E_ALL_SECTION_KEYWORDS_EQTY_200014750_Reference_Data">#REF!</definedName>
    <definedName name="E_ALL_SECTION_KEYWORDS_EQTY_200021484_13A">#REF!</definedName>
    <definedName name="E_ALL_SECTION_KEYWORDS_EQTY_200021484_13K">#REF!</definedName>
    <definedName name="E_ALL_SECTION_KEYWORDS_ISSR_208000402_136J">#REF!,#REF!</definedName>
    <definedName name="E_ALL_SECTION_KEYWORDS_ISSR_208000435_136J">#REF!,#REF!</definedName>
    <definedName name="E_ALL_SECTION_KEYWORDS_ISSR_208000603_1314">#REF!</definedName>
    <definedName name="E_ALL_SECTION_KEYWORDS_ISSR_208000603_13168">#REF!</definedName>
    <definedName name="E_ALL_SECTION_KEYWORDS_ISSR_208000603_1319">#REF!</definedName>
    <definedName name="E_ALL_SECTION_KEYWORDS_ISSR_208000603_131E">#REF!</definedName>
    <definedName name="E_ALL_SECTION_KEYWORDS_ISSR_208000603_131J">#REF!</definedName>
    <definedName name="E_ALL_SECTION_KEYWORDS_ISSR_208000603_131O">#REF!</definedName>
    <definedName name="E_ALL_SECTION_KEYWORDS_ISSR_208000603_131P">#REF!</definedName>
    <definedName name="E_ALL_SECTION_KEYWORDS_ISSR_208000603_13A">#REF!</definedName>
    <definedName name="E_ALL_SECTION_KEYWORDS_ISSR_208000603_13U">#REF!</definedName>
    <definedName name="E_ALL_SECTION_KEYWORDS_ISSR_208000603_13V">#REF!</definedName>
    <definedName name="E_ALL_SECTION_KEYWORDS_ISSR_208000603_Reference_Data">#REF!</definedName>
    <definedName name="E_ALL_SECTION_KEYWORDS_ISSR_208000826_136J">#REF!,#REF!</definedName>
    <definedName name="E_ALL_SECTION_KEYWORDS_ISSR_208000976_1314">#REF!</definedName>
    <definedName name="E_ALL_SECTION_KEYWORDS_ISSR_208000976_13168">#REF!</definedName>
    <definedName name="E_ALL_SECTION_KEYWORDS_ISSR_208000976_1316T">#REF!</definedName>
    <definedName name="E_ALL_SECTION_KEYWORDS_ISSR_208000976_1316U">#REF!</definedName>
    <definedName name="E_ALL_SECTION_KEYWORDS_ISSR_208000976_1319">#REF!</definedName>
    <definedName name="E_ALL_SECTION_KEYWORDS_ISSR_208000976_131E">#REF!</definedName>
    <definedName name="E_ALL_SECTION_KEYWORDS_ISSR_208000976_131J">#REF!</definedName>
    <definedName name="E_ALL_SECTION_KEYWORDS_ISSR_208000976_131O">#REF!</definedName>
    <definedName name="E_ALL_SECTION_KEYWORDS_ISSR_208000976_136E">#REF!,#REF!</definedName>
    <definedName name="E_ALL_SECTION_KEYWORDS_ISSR_208000976_13A">#REF!</definedName>
    <definedName name="E_ALL_SECTION_KEYWORDS_ISSR_208000976_13U">#REF!</definedName>
    <definedName name="E_ALL_SECTION_KEYWORDS_ISSR_208000976_13V">#REF!</definedName>
    <definedName name="E_ALL_SECTION_KEYWORDS_ISSR_208000976_Reference_Data">#REF!</definedName>
    <definedName name="E_ALL_SECTION_KEYWORDS_ISSR_208000977_136E">#REF!,#REF!</definedName>
    <definedName name="E_ALL_SECTION_KEYWORDS_ISSR_208001048_13V">#REF!,#REF!</definedName>
    <definedName name="E_ALL_SECTION_KEYWORDS_ISSR_208001258_1314">#REF!</definedName>
    <definedName name="E_ALL_SECTION_KEYWORDS_ISSR_208001258_13168">#REF!</definedName>
    <definedName name="E_ALL_SECTION_KEYWORDS_ISSR_208001258_1316T">#REF!</definedName>
    <definedName name="E_ALL_SECTION_KEYWORDS_ISSR_208001258_1316U">#REF!</definedName>
    <definedName name="E_ALL_SECTION_KEYWORDS_ISSR_208001258_1319">#REF!</definedName>
    <definedName name="E_ALL_SECTION_KEYWORDS_ISSR_208001258_131E">#REF!</definedName>
    <definedName name="E_ALL_SECTION_KEYWORDS_ISSR_208001258_131J">#REF!</definedName>
    <definedName name="E_ALL_SECTION_KEYWORDS_ISSR_208001258_131O">#REF!</definedName>
    <definedName name="E_ALL_SECTION_KEYWORDS_ISSR_208001258_13A">#REF!</definedName>
    <definedName name="E_ALL_SECTION_KEYWORDS_ISSR_208001258_13U">#REF!</definedName>
    <definedName name="E_ALL_SECTION_KEYWORDS_ISSR_208001258_13V">#REF!</definedName>
    <definedName name="E_ALL_SECTION_KEYWORDS_ISSR_208001258_Reference_Data">#REF!</definedName>
    <definedName name="E_ALL_SECTION_KEYWORDS_ISSR_208001370_1314">#REF!</definedName>
    <definedName name="E_ALL_SECTION_KEYWORDS_ISSR_208001370_1319">#REF!</definedName>
    <definedName name="E_ALL_SECTION_KEYWORDS_ISSR_208001370_131E">#REF!</definedName>
    <definedName name="E_ALL_SECTION_KEYWORDS_ISSR_208001370_13V">#REF!,#REF!</definedName>
    <definedName name="E_ALL_SECTION_KEYWORDS_ISSR_208001515_1314">#REF!</definedName>
    <definedName name="E_ALL_SECTION_KEYWORDS_ISSR_208001515_1319">#REF!</definedName>
    <definedName name="E_ALL_SECTION_KEYWORDS_ISSR_208001515_131E">#REF!</definedName>
    <definedName name="E_ALL_SECTION_KEYWORDS_ISSR_208001515_13V">#REF!,#REF!</definedName>
    <definedName name="E_ALL_SECTION_KEYWORDS_ISSR_208001627_131O">#REF!,#REF!</definedName>
    <definedName name="E_ALL_SECTION_KEYWORDS_ISSR_208001640_13V">#REF!,#REF!</definedName>
    <definedName name="E_ALL_SECTION_KEYWORDS_ISSR_208001765_1314">#REF!</definedName>
    <definedName name="E_ALL_SECTION_KEYWORDS_ISSR_208001765_13168">#REF!</definedName>
    <definedName name="E_ALL_SECTION_KEYWORDS_ISSR_208001765_1316T">#REF!</definedName>
    <definedName name="E_ALL_SECTION_KEYWORDS_ISSR_208001765_1319">#REF!</definedName>
    <definedName name="E_ALL_SECTION_KEYWORDS_ISSR_208001765_131E">#REF!</definedName>
    <definedName name="E_ALL_SECTION_KEYWORDS_ISSR_208001765_136E">#REF!,#REF!</definedName>
    <definedName name="E_ALL_SECTION_KEYWORDS_ISSR_208001765_13V">#REF!,#REF!</definedName>
    <definedName name="E_ALL_SECTION_KEYWORDS_ISSR_208001785_13V">#REF!,#REF!</definedName>
    <definedName name="E_ALL_SECTION_KEYWORDS_ISSR_208002651_13V">#REF!,#REF!</definedName>
    <definedName name="E_ALL_SECTION_KEYWORDS_ISSR_208006029_136E">#REF!,#REF!</definedName>
    <definedName name="E_ALL_SECTION_KEYWORDS_ISSR_208006029_13V">#REF!,#REF!</definedName>
    <definedName name="E_ALL_SECTION_KEYWORDS_ISSR_208007452_136J">#REF!,#REF!</definedName>
    <definedName name="E_ALL_SECTION_KEYWORDS_ISSR_208007452_13V">#REF!,#REF!</definedName>
    <definedName name="E_ALL_SECTION_KEYWORDS_ISSR_208007986_13168">#REF!,#REF!</definedName>
    <definedName name="E_ALL_SECTION_KEYWORDS_ISSR_208007986_136E">#REF!,#REF!</definedName>
    <definedName name="E_ALL_SECTION_KEYWORDS_ISSR_208008030_1316P">#REF!,#REF!</definedName>
    <definedName name="E_ALL_SECTION_KEYWORDS_ISSR_208008030_131Y">#REF!,#REF!</definedName>
    <definedName name="E_ALL_SECTION_KEYWORDS_ISSR_208008030_134L">#REF!,#REF!</definedName>
    <definedName name="E_ALL_SECTION_KEYWORDS_ISSR_208008836_136E">#REF!,#REF!</definedName>
    <definedName name="E_ALL_SECTION_KEYWORDS_ISSR_208009722_1314">#REF!</definedName>
    <definedName name="E_ALL_SECTION_KEYWORDS_ISSR_208009722_13168">#REF!</definedName>
    <definedName name="E_ALL_SECTION_KEYWORDS_ISSR_208009722_1319">#REF!</definedName>
    <definedName name="E_ALL_SECTION_KEYWORDS_ISSR_208009722_131E">#REF!</definedName>
    <definedName name="E_ALL_SECTION_KEYWORDS_ISSR_208009722_131J">#REF!</definedName>
    <definedName name="E_ALL_SECTION_KEYWORDS_ISSR_208009722_131O">#REF!</definedName>
    <definedName name="E_ALL_SECTION_KEYWORDS_ISSR_208009722_13A">#REF!</definedName>
    <definedName name="E_ALL_SECTION_KEYWORDS_ISSR_208009722_13U">#REF!</definedName>
    <definedName name="E_ALL_SECTION_KEYWORDS_ISSR_208009722_13V">#REF!</definedName>
    <definedName name="E_ALL_SECTION_KEYWORDS_ISSR_208009722_Reference_Data">#REF!</definedName>
    <definedName name="E_ALL_SECTION_KEYWORDS_ISSR_208011556_1314">#REF!</definedName>
    <definedName name="E_ALL_SECTION_KEYWORDS_ISSR_208011556_13168">#REF!</definedName>
    <definedName name="E_ALL_SECTION_KEYWORDS_ISSR_208011556_1316T">#REF!</definedName>
    <definedName name="E_ALL_SECTION_KEYWORDS_ISSR_208011556_1316U">#REF!</definedName>
    <definedName name="E_ALL_SECTION_KEYWORDS_ISSR_208011556_1319">#REF!</definedName>
    <definedName name="E_ALL_SECTION_KEYWORDS_ISSR_208011556_131E">#REF!</definedName>
    <definedName name="E_ALL_SECTION_KEYWORDS_ISSR_208011556_131J">#REF!</definedName>
    <definedName name="E_ALL_SECTION_KEYWORDS_ISSR_208011556_131O">#REF!</definedName>
    <definedName name="E_ALL_SECTION_KEYWORDS_ISSR_208011556_13A">#REF!</definedName>
    <definedName name="E_ALL_SECTION_KEYWORDS_ISSR_208011556_13U">#REF!</definedName>
    <definedName name="E_ALL_SECTION_KEYWORDS_ISSR_208011556_13V">#REF!</definedName>
    <definedName name="E_ALL_SECTION_KEYWORDS_ISSR_208011556_Reference_Data">#REF!</definedName>
    <definedName name="E_ALL_SECTION_KEYWORDS_ISSR_208011888_136E">#REF!,#REF!</definedName>
    <definedName name="E_ALL_SECTION_KEYWORDS_ISSR_208015351_13V">#REF!,#REF!</definedName>
    <definedName name="E_ALL_SECTION_KEYWORDS_ISSR_208018253_131O">#REF!,#REF!</definedName>
    <definedName name="E_ALL_SECTION_KEYWORDS_ISSR_208020919_131O">#REF!,#REF!</definedName>
    <definedName name="E_ALL_SECTION_KEYWORDS_ISSR_208020919_136J">#REF!,#REF!</definedName>
    <definedName name="E_ALL_SECTIONS_EQTY_200000304">#REF!,#REF!,#REF!,#REF!,#REF!,#REF!,#REF!,#REF!,#REF!,#REF!</definedName>
    <definedName name="E_ALL_SECTIONS_EQTY_200001265">#REF!,#REF!,#REF!,#REF!,#REF!,#REF!,#REF!,#REF!,#REF!,#REF!</definedName>
    <definedName name="E_ALL_SECTIONS_EQTY_200001320">#REF!,#REF!,#REF!,#REF!,#REF!,#REF!,#REF!,#REF!,#REF!,#REF!</definedName>
    <definedName name="E_ALL_SECTIONS_EQTY_200001330">#REF!,#REF!,#REF!,#REF!,#REF!,#REF!,#REF!,#REF!,#REF!,#REF!</definedName>
    <definedName name="E_ALL_SECTIONS_EQTY_200001353">#REF!,#REF!,#REF!,#REF!,#REF!,#REF!,#REF!,#REF!</definedName>
    <definedName name="E_ALL_SECTIONS_EQTY_200001371">#REF!,#REF!,#REF!,#REF!,#REF!,#REF!,#REF!,#REF!</definedName>
    <definedName name="E_ALL_SECTIONS_EQTY_200001381">#REF!,#REF!,#REF!,#REF!,#REF!,#REF!,#REF!,#REF!,#REF!,#REF!</definedName>
    <definedName name="E_ALL_SECTIONS_EQTY_200001646">#REF!,#REF!,#REF!,#REF!,#REF!,#REF!,#REF!,#REF!,#REF!,#REF!,#REF!</definedName>
    <definedName name="E_ALL_SECTIONS_EQTY_200002831">#REF!,#REF!,#REF!,#REF!,#REF!,#REF!,#REF!,#REF!,#REF!,#REF!</definedName>
    <definedName name="E_ALL_SECTIONS_EQTY_200002833">#REF!,#REF!,#REF!,#REF!,#REF!,#REF!,#REF!,#REF!,#REF!,#REF!</definedName>
    <definedName name="E_ALL_SECTIONS_EQTY_200003037">#REF!,#REF!,#REF!,#REF!,#REF!,#REF!,#REF!,#REF!,#REF!,#REF!</definedName>
    <definedName name="E_ALL_SECTIONS_EQTY_200003892">#REF!,#REF!,#REF!,#REF!,#REF!,#REF!,#REF!,#REF!,#REF!,#REF!</definedName>
    <definedName name="E_ALL_SECTIONS_EQTY_200004419">#REF!,#REF!,#REF!,#REF!,#REF!,#REF!,#REF!,#REF!,#REF!,#REF!</definedName>
    <definedName name="E_ALL_SECTIONS_EQTY_200005326">#REF!,#REF!,#REF!,#REF!,#REF!,#REF!,#REF!,#REF!,#REF!,#REF!</definedName>
    <definedName name="E_ALL_SECTIONS_EQTY_200006232">#REF!,#REF!,#REF!,#REF!,#REF!,#REF!,#REF!,#REF!,#REF!,#REF!</definedName>
    <definedName name="E_ALL_SECTIONS_EQTY_200009556">#REF!,#REF!,#REF!,#REF!,#REF!,#REF!,#REF!,#REF!,#REF!,#REF!</definedName>
    <definedName name="E_ALL_SECTIONS_EQTY_200011598">#REF!,#REF!,#REF!,#REF!,#REF!,#REF!,#REF!,#REF!,#REF!,#REF!</definedName>
    <definedName name="E_ALL_SECTIONS_EQTY_200012762">#REF!,#REF!,#REF!,#REF!,#REF!,#REF!,#REF!,#REF!,#REF!,#REF!</definedName>
    <definedName name="E_ALL_SECTIONS_EQTY_200014300">#REF!,#REF!,#REF!,#REF!,#REF!,#REF!,#REF!,#REF!,#REF!,#REF!</definedName>
    <definedName name="E_ALL_SECTIONS_EQTY_200014750">#REF!,#REF!,#REF!,#REF!,#REF!,#REF!,#REF!,#REF!,#REF!,#REF!</definedName>
    <definedName name="E_ALL_SECTIONS_EQTY_200015107">#REF!,#REF!,#REF!,#REF!,#REF!,#REF!,#REF!,#REF!,#REF!,#REF!</definedName>
    <definedName name="E_ALL_SECTIONS_EQTY_200015716">#REF!,#REF!,#REF!,#REF!,#REF!,#REF!,#REF!,#REF!,#REF!,#REF!</definedName>
    <definedName name="E_ALL_SECTIONS_EQTY_200015757">#REF!,#REF!,#REF!,#REF!,#REF!,#REF!,#REF!,#REF!,#REF!,#REF!,#REF!</definedName>
    <definedName name="E_ALL_SECTIONS_EQTY_200016026">#REF!,#REF!,#REF!,#REF!,#REF!,#REF!,#REF!,#REF!,#REF!,#REF!,#REF!</definedName>
    <definedName name="E_ALL_SECTIONS_EQTY_200017745">#REF!,#REF!,#REF!,#REF!,#REF!,#REF!,#REF!,#REF!,#REF!,#REF!</definedName>
    <definedName name="E_ALL_SECTIONS_ISSR_208000430">#REF!,#REF!,#REF!,#REF!,#REF!,#REF!,#REF!,#REF!,#REF!,#REF!,#REF!</definedName>
    <definedName name="E_ALL_SECTIONS_ISSR_208000451">#REF!,#REF!,#REF!,#REF!,#REF!,#REF!,#REF!,#REF!,#REF!,#REF!</definedName>
    <definedName name="E_ALL_SECTIONS_ISSR_208000603">#REF!,#REF!,#REF!,#REF!,#REF!,#REF!,#REF!,#REF!,#REF!,#REF!,#REF!</definedName>
    <definedName name="E_ALL_SECTIONS_ISSR_208000977">#REF!,#REF!,#REF!,#REF!,#REF!,#REF!,#REF!,#REF!,#REF!,#REF!,#REF!</definedName>
    <definedName name="E_ALL_SECTIONS_ISSR_208001049">#REF!,#REF!,#REF!,#REF!,#REF!,#REF!,#REF!,#REF!,#REF!,#REF!,#REF!</definedName>
    <definedName name="E_ALL_SECTIONS_ISSR_208001137">#REF!,#REF!,#REF!,#REF!,#REF!,#REF!,#REF!,#REF!,#REF!,#REF!,#REF!</definedName>
    <definedName name="E_ALL_SECTIONS_ISSR_208001258">#REF!,#REF!,#REF!,#REF!,#REF!,#REF!,#REF!,#REF!,#REF!,#REF!,#REF!</definedName>
    <definedName name="E_ALL_SECTIONS_ISSR_208001515">#REF!,#REF!,#REF!,#REF!,#REF!,#REF!,#REF!,#REF!,#REF!,#REF!</definedName>
    <definedName name="E_ALL_SECTIONS_ISSR_208005795">#REF!,#REF!,#REF!,#REF!,#REF!,#REF!,#REF!,#REF!,#REF!,#REF!,#REF!</definedName>
    <definedName name="E_ALL_SECTIONS_ISSR_208007359">#REF!,#REF!,#REF!,#REF!,#REF!,#REF!,#REF!,#REF!,#REF!,#REF!</definedName>
    <definedName name="E_ALL_SECTIONS_ISSR_208009722">#REF!,#REF!,#REF!,#REF!,#REF!,#REF!,#REF!,#REF!,#REF!,#REF!</definedName>
    <definedName name="E_ALL_SECTIONS_ISSR_208010209">#REF!,#REF!,#REF!,#REF!,#REF!,#REF!,#REF!,#REF!,#REF!,#REF!,#REF!</definedName>
    <definedName name="E_ALL_SECTIONS_ISSR_208011072">#REF!,#REF!,#REF!,#REF!,#REF!,#REF!,#REF!,#REF!,#REF!,#REF!,#REF!</definedName>
    <definedName name="E_ALL_SECTIONS_ISSR_208012959">#REF!,#REF!,#REF!,#REF!,#REF!,#REF!,#REF!,#REF!,#REF!,#REF!,#REF!,#REF!,#REF!</definedName>
    <definedName name="E_ALL_SECTIONS_ISSR_208015351">#REF!,#REF!,#REF!,#REF!,#REF!,#REF!,#REF!,#REF!,#REF!,#REF!,#REF!</definedName>
    <definedName name="E_ALL_SEMI">#REF!</definedName>
    <definedName name="E_ALL_SIRI">#REF!</definedName>
    <definedName name="E_ALL_SWKS">#REF!</definedName>
    <definedName name="E_ALL_T">#REF!</definedName>
    <definedName name="E_ALL_TEL">#REF!</definedName>
    <definedName name="E_ALL_TENB">#REF!</definedName>
    <definedName name="E_ALL_TER">#REF!</definedName>
    <definedName name="E_ALL_TGT">#REF!</definedName>
    <definedName name="E_ALL_TMUS">#REF!</definedName>
    <definedName name="E_ALL_TWC">#REF!</definedName>
    <definedName name="E_ALL_TWKS">#REF!</definedName>
    <definedName name="E_ALL_TXN">#REF!</definedName>
    <definedName name="E_ALL_VMW">#REF!</definedName>
    <definedName name="E_ALL_VSM">#REF!</definedName>
    <definedName name="E_ALL_VZ">#REF!</definedName>
    <definedName name="E_ALL_WDAY">#REF!</definedName>
    <definedName name="E_ALL_WIN">#REF!</definedName>
    <definedName name="E_ALL_ZAYO">#REF!</definedName>
    <definedName name="E_ALL_ZS">#REF!</definedName>
    <definedName name="E_ALL_ZS_OLD">#REF!</definedName>
    <definedName name="E_CURRENCY_EQTY_200000304_PRI">#REF!</definedName>
    <definedName name="E_CURRENCY_EQTY_200000304_PUB">#REF!</definedName>
    <definedName name="E_CURRENCY_EQTY_200000304_REP">#REF!</definedName>
    <definedName name="E_CURRENCY_EQTY_200001265_PRI">#REF!</definedName>
    <definedName name="E_CURRENCY_EQTY_200001265_PUB">#REF!</definedName>
    <definedName name="E_CURRENCY_EQTY_200001265_REP">#REF!</definedName>
    <definedName name="E_CURRENCY_EQTY_200001320_PRI">#REF!</definedName>
    <definedName name="E_CURRENCY_EQTY_200001320_PUB">#REF!</definedName>
    <definedName name="E_CURRENCY_EQTY_200001320_REP">#REF!</definedName>
    <definedName name="E_CURRENCY_EQTY_200001330_PRI">#REF!</definedName>
    <definedName name="E_CURRENCY_EQTY_200001330_PUB">#REF!</definedName>
    <definedName name="E_CURRENCY_EQTY_200001330_REP">#REF!</definedName>
    <definedName name="E_CURRENCY_EQTY_200001353_PRI">#REF!</definedName>
    <definedName name="E_CURRENCY_EQTY_200001353_PUB">#REF!</definedName>
    <definedName name="E_CURRENCY_EQTY_200001353_REP">#REF!</definedName>
    <definedName name="E_CURRENCY_EQTY_200001371_PRI">#REF!</definedName>
    <definedName name="E_CURRENCY_EQTY_200001371_PUB">#REF!</definedName>
    <definedName name="E_CURRENCY_EQTY_200001371_REP">#REF!</definedName>
    <definedName name="E_CURRENCY_EQTY_200001381_PRI" hidden="1">#REF!</definedName>
    <definedName name="E_CURRENCY_EQTY_200001381_PUB" hidden="1">#REF!</definedName>
    <definedName name="E_CURRENCY_EQTY_200001381_REP" hidden="1">#REF!</definedName>
    <definedName name="E_CURRENCY_EQTY_200001646_PRI">#REF!</definedName>
    <definedName name="E_CURRENCY_EQTY_200001646_PUB">#REF!</definedName>
    <definedName name="E_CURRENCY_EQTY_200001646_REP">#REF!</definedName>
    <definedName name="E_CURRENCY_EQTY_200002831_PRI">#REF!</definedName>
    <definedName name="E_CURRENCY_EQTY_200002831_PUB">#REF!</definedName>
    <definedName name="E_CURRENCY_EQTY_200002831_REP">#REF!</definedName>
    <definedName name="E_CURRENCY_EQTY_200002833_PRI">#REF!</definedName>
    <definedName name="E_CURRENCY_EQTY_200002833_PUB">#REF!</definedName>
    <definedName name="E_CURRENCY_EQTY_200002833_REP">#REF!</definedName>
    <definedName name="E_CURRENCY_EQTY_200003037_PRI">#REF!</definedName>
    <definedName name="E_CURRENCY_EQTY_200003037_PUB">#REF!</definedName>
    <definedName name="E_CURRENCY_EQTY_200003037_REP">#REF!</definedName>
    <definedName name="E_CURRENCY_EQTY_200003892_PRI">#REF!</definedName>
    <definedName name="E_CURRENCY_EQTY_200003892_PUB">#REF!</definedName>
    <definedName name="E_CURRENCY_EQTY_200003892_REP">#REF!</definedName>
    <definedName name="E_CURRENCY_EQTY_200004419_PRI">#REF!</definedName>
    <definedName name="E_CURRENCY_EQTY_200004419_PUB">#REF!</definedName>
    <definedName name="E_CURRENCY_EQTY_200004419_REP">#REF!</definedName>
    <definedName name="E_CURRENCY_EQTY_200005326_PRI">#REF!</definedName>
    <definedName name="E_CURRENCY_EQTY_200005326_PUB">#REF!</definedName>
    <definedName name="E_CURRENCY_EQTY_200005326_REP">#REF!</definedName>
    <definedName name="E_CURRENCY_EQTY_200006232_PRI">#REF!</definedName>
    <definedName name="E_CURRENCY_EQTY_200006232_PUB">#REF!</definedName>
    <definedName name="E_CURRENCY_EQTY_200006232_REP">#REF!</definedName>
    <definedName name="E_CURRENCY_EQTY_200006639_PUB">#REF!</definedName>
    <definedName name="E_CURRENCY_EQTY_200009556_PRI">#REF!</definedName>
    <definedName name="E_CURRENCY_EQTY_200009556_PUB">#REF!</definedName>
    <definedName name="E_CURRENCY_EQTY_200009556_REP">#REF!</definedName>
    <definedName name="E_CURRENCY_EQTY_200011598_PRI">#REF!</definedName>
    <definedName name="E_CURRENCY_EQTY_200011598_PUB">#REF!</definedName>
    <definedName name="E_CURRENCY_EQTY_200011598_REP">#REF!</definedName>
    <definedName name="E_CURRENCY_EQTY_200012762_PRI">#REF!</definedName>
    <definedName name="E_CURRENCY_EQTY_200012762_PUB">#REF!</definedName>
    <definedName name="E_CURRENCY_EQTY_200012762_REP">#REF!</definedName>
    <definedName name="E_CURRENCY_EQTY_200014300_PRI">#REF!</definedName>
    <definedName name="E_CURRENCY_EQTY_200014300_PUB">#REF!</definedName>
    <definedName name="E_CURRENCY_EQTY_200014300_REP">#REF!</definedName>
    <definedName name="E_CURRENCY_EQTY_200014750_PRI">#REF!</definedName>
    <definedName name="E_CURRENCY_EQTY_200014750_PUB">#REF!</definedName>
    <definedName name="E_CURRENCY_EQTY_200014750_REP">#REF!</definedName>
    <definedName name="E_CURRENCY_EQTY_200015107_PRI">#REF!</definedName>
    <definedName name="E_CURRENCY_EQTY_200015107_PUB">#REF!</definedName>
    <definedName name="E_CURRENCY_EQTY_200015107_REP">#REF!</definedName>
    <definedName name="E_CURRENCY_EQTY_200015716_PRI">#REF!</definedName>
    <definedName name="E_CURRENCY_EQTY_200015716_PUB">#REF!</definedName>
    <definedName name="E_CURRENCY_EQTY_200015716_REP">#REF!</definedName>
    <definedName name="E_CURRENCY_EQTY_200015757_PRI">#REF!</definedName>
    <definedName name="E_CURRENCY_EQTY_200015757_PUB">#REF!</definedName>
    <definedName name="E_CURRENCY_EQTY_200015757_REP">#REF!</definedName>
    <definedName name="E_CURRENCY_EQTY_200016026_PRI">#REF!</definedName>
    <definedName name="E_CURRENCY_EQTY_200016026_PUB">#REF!</definedName>
    <definedName name="E_CURRENCY_EQTY_200016026_REP">#REF!</definedName>
    <definedName name="E_CURRENCY_EQTY_200017745_PRI">#REF!</definedName>
    <definedName name="E_CURRENCY_EQTY_200017745_PUB">#REF!</definedName>
    <definedName name="E_CURRENCY_EQTY_200017745_REP">#REF!</definedName>
    <definedName name="E_CURRENCY_ISSR_208000027_REP">#REF!</definedName>
    <definedName name="E_CURRENCY_ISSR_208000402_REP">#REF!</definedName>
    <definedName name="E_CURRENCY_ISSR_208000430_REP">#REF!</definedName>
    <definedName name="E_CURRENCY_ISSR_208000435_REP">#REF!</definedName>
    <definedName name="E_CURRENCY_ISSR_208000451_REP">#REF!</definedName>
    <definedName name="E_CURRENCY_ISSR_208000468_REP" hidden="1">#REF!</definedName>
    <definedName name="E_CURRENCY_ISSR_208000603_REP">#REF!</definedName>
    <definedName name="E_CURRENCY_ISSR_208000976_REP">#REF!</definedName>
    <definedName name="E_CURRENCY_ISSR_208000977_REP">#REF!</definedName>
    <definedName name="E_CURRENCY_ISSR_208001049_REP">#REF!</definedName>
    <definedName name="E_CURRENCY_ISSR_208001137_REP">#REF!</definedName>
    <definedName name="E_CURRENCY_ISSR_208001258_REP">#REF!</definedName>
    <definedName name="E_CURRENCY_ISSR_208001515_REP">#REF!</definedName>
    <definedName name="E_CURRENCY_ISSR_208005795_REP">#REF!</definedName>
    <definedName name="E_CURRENCY_ISSR_208007359_REP">#REF!</definedName>
    <definedName name="E_CURRENCY_ISSR_208008030_REP">#REF!</definedName>
    <definedName name="E_CURRENCY_ISSR_208008836_REP">#REF!</definedName>
    <definedName name="E_CURRENCY_ISSR_208009722_REP">#REF!</definedName>
    <definedName name="E_CURRENCY_ISSR_208010209_REP">#REF!</definedName>
    <definedName name="E_CURRENCY_ISSR_208011072_REP">#REF!</definedName>
    <definedName name="E_CURRENCY_ISSR_208011556_REP">#REF!</definedName>
    <definedName name="E_CURRENCY_ISSR_208011888_REP">#REF!</definedName>
    <definedName name="E_CURRENCY_ISSR_208012959_REP">#REF!</definedName>
    <definedName name="E_CURRENCY_ISSR_208015351_REP">#REF!</definedName>
    <definedName name="E_ENTITY_DATA_EQTY_200001646">#REF!</definedName>
    <definedName name="E_ENTITY_DATA_EQTY_200012762">#REF!</definedName>
    <definedName name="E_ENTITY_DATA_ISSR_208000603">#REF!</definedName>
    <definedName name="E_ENTITY_DATA_ISSR_208009722">#REF!</definedName>
    <definedName name="E_ENTITY_DATA_ISSR_208011556">#REF!</definedName>
    <definedName name="E_KEYWORD_EQTY_200001646_ACT1">#REF!</definedName>
    <definedName name="E_KEYWORD_EQTY_200001646_AMER_CONVICTION">#REF!</definedName>
    <definedName name="E_KEYWORD_EQTY_200001646_AMER_LIST">#REF!</definedName>
    <definedName name="E_KEYWORD_EQTY_200001646_BETA_ANALYST">#REF!</definedName>
    <definedName name="E_KEYWORD_EQTY_200001646_BVPS">#REF!</definedName>
    <definedName name="E_KEYWORD_EQTY_200001646_BVPS_PUB">#REF!</definedName>
    <definedName name="E_KEYWORD_EQTY_200001646_CF_NI_PRE_PREF">#REF!</definedName>
    <definedName name="E_KEYWORD_EQTY_200001646_COMMON_DIV_PAID">#REF!</definedName>
    <definedName name="E_KEYWORD_EQTY_200001646_CURRENCY_ISO">#REF!</definedName>
    <definedName name="E_KEYWORD_EQTY_200001646_DILUTE_SHARES">#REF!</definedName>
    <definedName name="E_KEYWORD_EQTY_200001646_DPS">#REF!</definedName>
    <definedName name="E_KEYWORD_EQTY_200001646_DPS_PUB">#REF!</definedName>
    <definedName name="E_KEYWORD_EQTY_200001646_EBIT_PUB">#REF!</definedName>
    <definedName name="E_KEYWORD_EQTY_200001646_EBITDA_PUB">#REF!</definedName>
    <definedName name="E_KEYWORD_EQTY_200001646_EPS">#REF!</definedName>
    <definedName name="E_KEYWORD_EQTY_200001646_EPS_EX_ESO_B">#REF!</definedName>
    <definedName name="E_KEYWORD_EQTY_200001646_EPS_EX_ESO_D">#REF!</definedName>
    <definedName name="E_KEYWORD_EQTY_200001646_EPS_FUL_DIL">#REF!</definedName>
    <definedName name="E_KEYWORD_EQTY_200001646_EPS_POST_BASIC">#REF!</definedName>
    <definedName name="E_KEYWORD_EQTY_200001646_EPS_PUB">#REF!</definedName>
    <definedName name="E_KEYWORD_EQTY_200001646_EPS_PUB_EX_ESO">#REF!</definedName>
    <definedName name="E_KEYWORD_EQTY_200001646_EQ_PUB">#REF!</definedName>
    <definedName name="E_KEYWORD_EQTY_200001646_ESO_POST_TAX">#REF!</definedName>
    <definedName name="E_KEYWORD_EQTY_200001646_ESO_YEAR">#REF!</definedName>
    <definedName name="E_KEYWORD_EQTY_200001646_EV_ADJ_PUB">#REF!</definedName>
    <definedName name="E_KEYWORD_EQTY_200001646_FREE_FLOAT">#REF!</definedName>
    <definedName name="E_KEYWORD_EQTY_200001646_FULLY_DIL_EPS">#REF!</definedName>
    <definedName name="E_KEYWORD_EQTY_200001646_FV_GRANT">#REF!</definedName>
    <definedName name="E_KEYWORD_EQTY_200001646_GT_BETA">#REF!</definedName>
    <definedName name="E_KEYWORD_EQTY_200001646_INC_MINORITY">#REF!</definedName>
    <definedName name="E_KEYWORD_EQTY_200001646_Interim_Type">#REF!</definedName>
    <definedName name="E_KEYWORD_EQTY_200001646_LEGAL_RATING">#REF!</definedName>
    <definedName name="E_KEYWORD_EQTY_200001646_MARGIN_TAX_RATE">#REF!</definedName>
    <definedName name="E_KEYWORD_EQTY_200001646_MKT_EQ_RISK_PREM">#REF!</definedName>
    <definedName name="E_KEYWORD_EQTY_200001646_NET_DEBT_PUB">#REF!</definedName>
    <definedName name="E_KEYWORD_EQTY_200001646_NET_EARNING">#REF!</definedName>
    <definedName name="E_KEYWORD_EQTY_200001646_NET_INC">#REF!</definedName>
    <definedName name="E_KEYWORD_EQTY_200001646_NI_PRE_PREF">#REF!</definedName>
    <definedName name="E_KEYWORD_EQTY_200001646_NI_PUB">#REF!</definedName>
    <definedName name="E_KEYWORD_EQTY_200001646_NON_OP_ADD">#REF!</definedName>
    <definedName name="E_KEYWORD_EQTY_200001646_NUM_SH">#REF!</definedName>
    <definedName name="E_KEYWORD_EQTY_200001646_PREF_DIV">#REF!</definedName>
    <definedName name="E_KEYWORD_EQTY_200001646_PRICE_CURRENCY_ISO">#REF!</definedName>
    <definedName name="E_KEYWORD_EQTY_200001646_PROV_INC_TAX">#REF!</definedName>
    <definedName name="E_KEYWORD_EQTY_200001646_PTP_PUB">#REF!</definedName>
    <definedName name="E_KEYWORD_EQTY_200001646_PUB_CURRENCY_ISO">#REF!</definedName>
    <definedName name="E_KEYWORD_EQTY_200001646_REPUR_ACTUAL">#REF!</definedName>
    <definedName name="E_KEYWORD_EQTY_200001646_REPUR_REMAINING">#REF!</definedName>
    <definedName name="E_KEYWORD_EQTY_200001646_REPUR_SUSPENDED">#REF!</definedName>
    <definedName name="E_KEYWORD_EQTY_200001646_REPUR_TOT_AUTH">#REF!</definedName>
    <definedName name="E_KEYWORD_EQTY_200001646_REVS_PUB">#REF!</definedName>
    <definedName name="E_KEYWORD_EQTY_200001646_RISK_FR_RATE">#REF!</definedName>
    <definedName name="E_KEYWORD_EQTY_200001646_Security_Name">#REF!</definedName>
    <definedName name="E_KEYWORD_EQTY_200001646_SH">#REF!</definedName>
    <definedName name="E_KEYWORD_EQTY_200001646_TARGET_PRICE">#REF!</definedName>
    <definedName name="E_KEYWORD_EQTY_200001646_TAX_EXC">#REF!</definedName>
    <definedName name="E_KEYWORD_EQTY_200001646_Ticker">#REF!</definedName>
    <definedName name="E_KEYWORD_EQTY_200001646_TP_PERIOD">#REF!</definedName>
    <definedName name="E_KEYWORD_EQTY_200002831_ACT1">#REF!</definedName>
    <definedName name="E_KEYWORD_EQTY_200002831_ACT2">#REF!</definedName>
    <definedName name="E_KEYWORD_EQTY_200002831_ACT3">#REF!</definedName>
    <definedName name="E_KEYWORD_EQTY_200002831_ACT4">#REF!</definedName>
    <definedName name="E_KEYWORD_EQTY_200002831_ACT5">#REF!</definedName>
    <definedName name="E_KEYWORD_EQTY_200002831_ACT6">#REF!</definedName>
    <definedName name="E_KEYWORD_EQTY_200002831_ACT7">#REF!</definedName>
    <definedName name="E_KEYWORD_EQTY_200002831_ACT8">#REF!</definedName>
    <definedName name="E_KEYWORD_EQTY_200002831_ACT9">#REF!</definedName>
    <definedName name="E_KEYWORD_EQTY_200002831_AMER_CONVICTION">#REF!</definedName>
    <definedName name="E_KEYWORD_EQTY_200002831_AMER_LIST">#REF!</definedName>
    <definedName name="E_KEYWORD_EQTY_200002831_BETA_ANALYST">#REF!</definedName>
    <definedName name="E_KEYWORD_EQTY_200002831_BVPS">#REF!</definedName>
    <definedName name="E_KEYWORD_EQTY_200002831_BVPS_PUB">#REF!</definedName>
    <definedName name="E_KEYWORD_EQTY_200002831_CF_NI_PRE_PREF">#REF!</definedName>
    <definedName name="E_KEYWORD_EQTY_200002831_COMMON_DIV_PAID">#REF!</definedName>
    <definedName name="E_KEYWORD_EQTY_200002831_CURRENCY_ISO">#REF!</definedName>
    <definedName name="E_KEYWORD_EQTY_200002831_DILUTE_SHARES">#REF!</definedName>
    <definedName name="E_KEYWORD_EQTY_200002831_DPS">#REF!</definedName>
    <definedName name="E_KEYWORD_EQTY_200002831_DPS_PUB">#REF!</definedName>
    <definedName name="E_KEYWORD_EQTY_200002831_EBIT_PUB">#REF!</definedName>
    <definedName name="E_KEYWORD_EQTY_200002831_EBITDA_PUB">#REF!</definedName>
    <definedName name="E_KEYWORD_EQTY_200002831_EPS">#REF!</definedName>
    <definedName name="E_KEYWORD_EQTY_200002831_EPS_EX_ESO_B">#REF!</definedName>
    <definedName name="E_KEYWORD_EQTY_200002831_EPS_EX_ESO_D">#REF!</definedName>
    <definedName name="E_KEYWORD_EQTY_200002831_EPS_FUL_DIL">#REF!</definedName>
    <definedName name="E_KEYWORD_EQTY_200002831_EPS_POST_BASIC">#REF!</definedName>
    <definedName name="E_KEYWORD_EQTY_200002831_EPS_PUB">#REF!</definedName>
    <definedName name="E_KEYWORD_EQTY_200002831_EPS_PUB_EX_ESO">#REF!</definedName>
    <definedName name="E_KEYWORD_EQTY_200002831_EQ_PUB">#REF!</definedName>
    <definedName name="E_KEYWORD_EQTY_200002831_ESO_POST_TAX">#REF!</definedName>
    <definedName name="E_KEYWORD_EQTY_200002831_ESO_YEAR">#REF!</definedName>
    <definedName name="E_KEYWORD_EQTY_200002831_EV_ADJ_PUB">#REF!</definedName>
    <definedName name="E_KEYWORD_EQTY_200002831_FREE_FLOAT">#REF!</definedName>
    <definedName name="E_KEYWORD_EQTY_200002831_FULLY_DIL_EPS">#REF!</definedName>
    <definedName name="E_KEYWORD_EQTY_200002831_FV_GRANT">#REF!</definedName>
    <definedName name="E_KEYWORD_EQTY_200002831_INC_MINORITY">#REF!</definedName>
    <definedName name="E_KEYWORD_EQTY_200002831_Interim_Type">#REF!</definedName>
    <definedName name="E_KEYWORD_EQTY_200002831_LEGAL_RATING">#REF!</definedName>
    <definedName name="E_KEYWORD_EQTY_200002831_MARGIN_TAX_RATE">#REF!</definedName>
    <definedName name="E_KEYWORD_EQTY_200002831_MKT_EQ_RISK_PREM">#REF!</definedName>
    <definedName name="E_KEYWORD_EQTY_200002831_NET_DEBT_PUB">#REF!</definedName>
    <definedName name="E_KEYWORD_EQTY_200002831_NET_EARNING">#REF!</definedName>
    <definedName name="E_KEYWORD_EQTY_200002831_NET_INC">#REF!</definedName>
    <definedName name="E_KEYWORD_EQTY_200002831_NI_PRE_PREF">#REF!</definedName>
    <definedName name="E_KEYWORD_EQTY_200002831_NI_PUB">#REF!</definedName>
    <definedName name="E_KEYWORD_EQTY_200002831_NON_OP_ADD">#REF!</definedName>
    <definedName name="E_KEYWORD_EQTY_200002831_NUM_SH">#REF!</definedName>
    <definedName name="E_KEYWORD_EQTY_200002831_PREF_DIV">#REF!</definedName>
    <definedName name="E_KEYWORD_EQTY_200002831_PRICE_CURRENCY_ISO">#REF!</definedName>
    <definedName name="E_KEYWORD_EQTY_200002831_PROV_INC_TAX">#REF!</definedName>
    <definedName name="E_KEYWORD_EQTY_200002831_PTP_PUB">#REF!</definedName>
    <definedName name="E_KEYWORD_EQTY_200002831_PUB_CURRENCY_ISO">#REF!</definedName>
    <definedName name="E_KEYWORD_EQTY_200002831_REPUR_ACTUAL">#REF!</definedName>
    <definedName name="E_KEYWORD_EQTY_200002831_REPUR_REMAINING">#REF!</definedName>
    <definedName name="E_KEYWORD_EQTY_200002831_REPUR_SUSPENDED">#REF!</definedName>
    <definedName name="E_KEYWORD_EQTY_200002831_REPUR_TOT_AUTH">#REF!</definedName>
    <definedName name="E_KEYWORD_EQTY_200002831_REVS_PUB">#REF!</definedName>
    <definedName name="E_KEYWORD_EQTY_200002831_RISK_FR_RATE">#REF!</definedName>
    <definedName name="E_KEYWORD_EQTY_200002831_Security_Name">#REF!</definedName>
    <definedName name="E_KEYWORD_EQTY_200002831_SH">#REF!</definedName>
    <definedName name="E_KEYWORD_EQTY_200002831_TARGET_PRICE">#REF!</definedName>
    <definedName name="E_KEYWORD_EQTY_200002831_TAX_EXC">#REF!</definedName>
    <definedName name="E_KEYWORD_EQTY_200002831_Ticker">#REF!</definedName>
    <definedName name="E_KEYWORD_EQTY_200002831_TP_PERIOD">#REF!</definedName>
    <definedName name="E_KEYWORD_EQTY_200004419_ACT1">#REF!</definedName>
    <definedName name="E_KEYWORD_EQTY_200004419_ACT2">#REF!</definedName>
    <definedName name="E_KEYWORD_EQTY_200004419_ACT3">#REF!</definedName>
    <definedName name="E_KEYWORD_EQTY_200004419_ACT4">#REF!</definedName>
    <definedName name="E_KEYWORD_EQTY_200004419_ACT5">#REF!</definedName>
    <definedName name="E_KEYWORD_EQTY_200004419_ACT6">#REF!</definedName>
    <definedName name="E_KEYWORD_EQTY_200004419_ACT7">#REF!</definedName>
    <definedName name="E_KEYWORD_EQTY_200004419_ACT8">#REF!</definedName>
    <definedName name="E_KEYWORD_EQTY_200004419_ACT9">#REF!</definedName>
    <definedName name="E_KEYWORD_EQTY_200004419_AMER_CONVICTION">#REF!</definedName>
    <definedName name="E_KEYWORD_EQTY_200004419_AMER_LIST">#REF!</definedName>
    <definedName name="E_KEYWORD_EQTY_200004419_BETA_ANALYST">#REF!</definedName>
    <definedName name="E_KEYWORD_EQTY_200004419_BVPS">#REF!</definedName>
    <definedName name="E_KEYWORD_EQTY_200004419_BVPS_PUB">#REF!</definedName>
    <definedName name="E_KEYWORD_EQTY_200004419_CEEE_EPS">#REF!</definedName>
    <definedName name="E_KEYWORD_EQTY_200004419_CF_NI_PRE_PREF">#REF!</definedName>
    <definedName name="E_KEYWORD_EQTY_200004419_COMMON_DIV_PAID">#REF!</definedName>
    <definedName name="E_KEYWORD_EQTY_200004419_CURRENCY_ISO">#REF!</definedName>
    <definedName name="E_KEYWORD_EQTY_200004419_DILUTE_SHARES">#REF!</definedName>
    <definedName name="E_KEYWORD_EQTY_200004419_DPS">#REF!</definedName>
    <definedName name="E_KEYWORD_EQTY_200004419_DPS_PUB">#REF!</definedName>
    <definedName name="E_KEYWORD_EQTY_200004419_EBIT_PUB">#REF!</definedName>
    <definedName name="E_KEYWORD_EQTY_200004419_EBITDA_PUB">#REF!</definedName>
    <definedName name="E_KEYWORD_EQTY_200004419_EPS">#REF!</definedName>
    <definedName name="E_KEYWORD_EQTY_200004419_EPS_EX_ESO_B">#REF!</definedName>
    <definedName name="E_KEYWORD_EQTY_200004419_EPS_EX_ESO_D">#REF!</definedName>
    <definedName name="E_KEYWORD_EQTY_200004419_EPS_FUL_DIL">#REF!</definedName>
    <definedName name="E_KEYWORD_EQTY_200004419_EPS_POST_BASIC">#REF!</definedName>
    <definedName name="E_KEYWORD_EQTY_200004419_EPS_PUB">#REF!</definedName>
    <definedName name="E_KEYWORD_EQTY_200004419_EPS_PUB_EX_ESO">#REF!</definedName>
    <definedName name="E_KEYWORD_EQTY_200004419_EQ_PUB">#REF!</definedName>
    <definedName name="E_KEYWORD_EQTY_200004419_ESO_POST_TAX">#REF!</definedName>
    <definedName name="E_KEYWORD_EQTY_200004419_ESO_YEAR">#REF!</definedName>
    <definedName name="E_KEYWORD_EQTY_200004419_EV_ADJ_PUB">#REF!</definedName>
    <definedName name="E_KEYWORD_EQTY_200004419_FREE_FLOAT">#REF!</definedName>
    <definedName name="E_KEYWORD_EQTY_200004419_FULLY_DIL_EPS">#REF!</definedName>
    <definedName name="E_KEYWORD_EQTY_200004419_FV_GRANT">#REF!</definedName>
    <definedName name="E_KEYWORD_EQTY_200004419_INC_MINORITY">#REF!</definedName>
    <definedName name="E_KEYWORD_EQTY_200004419_Interim_Type">#REF!</definedName>
    <definedName name="E_KEYWORD_EQTY_200004419_LEGAL_RATING">#REF!</definedName>
    <definedName name="E_KEYWORD_EQTY_200004419_MARGIN_TAX_RATE">#REF!</definedName>
    <definedName name="E_KEYWORD_EQTY_200004419_MKT_EQ_RISK_PREM">#REF!</definedName>
    <definedName name="E_KEYWORD_EQTY_200004419_NET_DEBT_PUB">#REF!</definedName>
    <definedName name="E_KEYWORD_EQTY_200004419_NET_EARNING">#REF!</definedName>
    <definedName name="E_KEYWORD_EQTY_200004419_NET_INC">#REF!</definedName>
    <definedName name="E_KEYWORD_EQTY_200004419_NI_PRE_PREF">#REF!</definedName>
    <definedName name="E_KEYWORD_EQTY_200004419_NI_PUB">#REF!</definedName>
    <definedName name="E_KEYWORD_EQTY_200004419_NON_OP_ADD">#REF!</definedName>
    <definedName name="E_KEYWORD_EQTY_200004419_NUM_SH">#REF!</definedName>
    <definedName name="E_KEYWORD_EQTY_200004419_PREF_DIV">#REF!</definedName>
    <definedName name="E_KEYWORD_EQTY_200004419_PRICE_CURRENCY_ISO">#REF!</definedName>
    <definedName name="E_KEYWORD_EQTY_200004419_PROV_INC_TAX">#REF!</definedName>
    <definedName name="E_KEYWORD_EQTY_200004419_PTP_PUB">#REF!</definedName>
    <definedName name="E_KEYWORD_EQTY_200004419_PUB_CURRENCY_ISO">#REF!</definedName>
    <definedName name="E_KEYWORD_EQTY_200004419_REPUR_ACTUAL">#REF!</definedName>
    <definedName name="E_KEYWORD_EQTY_200004419_REPUR_REMAINING">#REF!</definedName>
    <definedName name="E_KEYWORD_EQTY_200004419_REPUR_SUSPENDED">#REF!</definedName>
    <definedName name="E_KEYWORD_EQTY_200004419_REPUR_TOT_AUTH">#REF!</definedName>
    <definedName name="E_KEYWORD_EQTY_200004419_REVS_PUB">#REF!</definedName>
    <definedName name="E_KEYWORD_EQTY_200004419_RISK_FR_RATE">#REF!</definedName>
    <definedName name="E_KEYWORD_EQTY_200004419_Security_Name">#REF!</definedName>
    <definedName name="E_KEYWORD_EQTY_200004419_SH">#REF!</definedName>
    <definedName name="E_KEYWORD_EQTY_200004419_TARGET_PRICE">#REF!</definedName>
    <definedName name="E_KEYWORD_EQTY_200004419_TAX_EXC">#REF!</definedName>
    <definedName name="E_KEYWORD_EQTY_200004419_Ticker">#REF!</definedName>
    <definedName name="E_KEYWORD_EQTY_200004419_TP_PERIOD">#REF!</definedName>
    <definedName name="E_KEYWORD_EQTY_200012762_AMER_CONVICTION">#REF!</definedName>
    <definedName name="E_KEYWORD_EQTY_200012762_AMER_LIST">#REF!</definedName>
    <definedName name="E_KEYWORD_EQTY_200012762_BETA_ANALYST">#REF!</definedName>
    <definedName name="E_KEYWORD_EQTY_200012762_BVPS">#REF!</definedName>
    <definedName name="E_KEYWORD_EQTY_200012762_BVPS_PUB">#REF!</definedName>
    <definedName name="E_KEYWORD_EQTY_200012762_CEEE_EPS">#REF!</definedName>
    <definedName name="E_KEYWORD_EQTY_200012762_CF_NI_PRE_PREF">#REF!</definedName>
    <definedName name="E_KEYWORD_EQTY_200012762_COMMON_DIV_PAID">#REF!</definedName>
    <definedName name="E_KEYWORD_EQTY_200012762_CURRENCY_ISO">#REF!</definedName>
    <definedName name="E_KEYWORD_EQTY_200012762_DILUTE_SHARES">#REF!</definedName>
    <definedName name="E_KEYWORD_EQTY_200012762_DPS">#REF!</definedName>
    <definedName name="E_KEYWORD_EQTY_200012762_DPS_PUB">#REF!</definedName>
    <definedName name="E_KEYWORD_EQTY_200012762_EBIT_PUB">#REF!</definedName>
    <definedName name="E_KEYWORD_EQTY_200012762_EBITDA_PUB">#REF!</definedName>
    <definedName name="E_KEYWORD_EQTY_200012762_EPS">#REF!</definedName>
    <definedName name="E_KEYWORD_EQTY_200012762_EPS_EX_ESO_B">#REF!</definedName>
    <definedName name="E_KEYWORD_EQTY_200012762_EPS_EX_ESO_D">#REF!</definedName>
    <definedName name="E_KEYWORD_EQTY_200012762_EPS_FUL_DIL">#REF!</definedName>
    <definedName name="E_KEYWORD_EQTY_200012762_EPS_POST_BASIC">#REF!</definedName>
    <definedName name="E_KEYWORD_EQTY_200012762_EPS_PUB">#REF!</definedName>
    <definedName name="E_KEYWORD_EQTY_200012762_EPS_PUB_EX_ESO">#REF!</definedName>
    <definedName name="E_KEYWORD_EQTY_200012762_EQ_PUB">#REF!</definedName>
    <definedName name="E_KEYWORD_EQTY_200012762_ESO_POST_TAX">#REF!</definedName>
    <definedName name="E_KEYWORD_EQTY_200012762_ESO_YEAR">#REF!</definedName>
    <definedName name="E_KEYWORD_EQTY_200012762_EV_ADJ_PUB">#REF!</definedName>
    <definedName name="E_KEYWORD_EQTY_200012762_FREE_FLOAT">#REF!</definedName>
    <definedName name="E_KEYWORD_EQTY_200012762_FULLY_DIL_EPS">#REF!</definedName>
    <definedName name="E_KEYWORD_EQTY_200012762_FV_GRANT">#REF!</definedName>
    <definedName name="E_KEYWORD_EQTY_200012762_INC_MINORITY">#REF!</definedName>
    <definedName name="E_KEYWORD_EQTY_200012762_Interim_Type">#REF!</definedName>
    <definedName name="E_KEYWORD_EQTY_200012762_LEGAL_RATING">#REF!</definedName>
    <definedName name="E_KEYWORD_EQTY_200012762_MARGIN_TAX_RATE">#REF!</definedName>
    <definedName name="E_KEYWORD_EQTY_200012762_MKT_EQ_RISK_PREM">#REF!</definedName>
    <definedName name="E_KEYWORD_EQTY_200012762_NET_DEBT_PUB">#REF!</definedName>
    <definedName name="E_KEYWORD_EQTY_200012762_NET_EARNING">#REF!</definedName>
    <definedName name="E_KEYWORD_EQTY_200012762_NET_INC">#REF!</definedName>
    <definedName name="E_KEYWORD_EQTY_200012762_NI_PRE_PREF">#REF!</definedName>
    <definedName name="E_KEYWORD_EQTY_200012762_NI_PUB">#REF!</definedName>
    <definedName name="E_KEYWORD_EQTY_200012762_NON_OP_ADD">#REF!</definedName>
    <definedName name="E_KEYWORD_EQTY_200012762_NUM_SH">#REF!</definedName>
    <definedName name="E_KEYWORD_EQTY_200012762_PREF_DIV">#REF!</definedName>
    <definedName name="E_KEYWORD_EQTY_200012762_PRICE_CURRENCY_ISO">#REF!</definedName>
    <definedName name="E_KEYWORD_EQTY_200012762_PROV_INC_TAX">#REF!</definedName>
    <definedName name="E_KEYWORD_EQTY_200012762_PTP_PUB">#REF!</definedName>
    <definedName name="E_KEYWORD_EQTY_200012762_PUB_CURRENCY_ISO">#REF!</definedName>
    <definedName name="E_KEYWORD_EQTY_200012762_REPUR_ACTUAL">#REF!</definedName>
    <definedName name="E_KEYWORD_EQTY_200012762_REPUR_REMAINING">#REF!</definedName>
    <definedName name="E_KEYWORD_EQTY_200012762_REPUR_SUSPENDED">#REF!</definedName>
    <definedName name="E_KEYWORD_EQTY_200012762_REPUR_TOT_AUTH">#REF!</definedName>
    <definedName name="E_KEYWORD_EQTY_200012762_REVS_PUB">#REF!</definedName>
    <definedName name="E_KEYWORD_EQTY_200012762_RISK_FR_RATE">#REF!</definedName>
    <definedName name="E_KEYWORD_EQTY_200012762_Security_Name">#REF!</definedName>
    <definedName name="E_KEYWORD_EQTY_200012762_SH">#REF!</definedName>
    <definedName name="E_KEYWORD_EQTY_200012762_TARGET_PRICE">#REF!</definedName>
    <definedName name="E_KEYWORD_EQTY_200012762_TAX_EXC">#REF!</definedName>
    <definedName name="E_KEYWORD_EQTY_200012762_Ticker">#REF!</definedName>
    <definedName name="E_KEYWORD_EQTY_200012762_TP_PERIOD">#REF!</definedName>
    <definedName name="E_KEYWORD_EQTY_200014750_AMER_CONVICTION">#REF!</definedName>
    <definedName name="E_KEYWORD_EQTY_200014750_AMER_LIST">#REF!</definedName>
    <definedName name="E_KEYWORD_EQTY_200014750_BETA_ANALYST">#REF!</definedName>
    <definedName name="E_KEYWORD_EQTY_200014750_BVPS">#REF!</definedName>
    <definedName name="E_KEYWORD_EQTY_200014750_BVPS_PUB">#REF!</definedName>
    <definedName name="E_KEYWORD_EQTY_200014750_CEEE_EPS">#REF!</definedName>
    <definedName name="E_KEYWORD_EQTY_200014750_CF_NI_PRE_PREF">#REF!</definedName>
    <definedName name="E_KEYWORD_EQTY_200014750_COMMON_DIV_PAID">#REF!</definedName>
    <definedName name="E_KEYWORD_EQTY_200014750_CURRENCY_ISO">#REF!</definedName>
    <definedName name="E_KEYWORD_EQTY_200014750_DILUTE_SHARES">#REF!</definedName>
    <definedName name="E_KEYWORD_EQTY_200014750_DPS">#REF!</definedName>
    <definedName name="E_KEYWORD_EQTY_200014750_DPS_PUB">#REF!</definedName>
    <definedName name="E_KEYWORD_EQTY_200014750_EBIT_PUB">#REF!</definedName>
    <definedName name="E_KEYWORD_EQTY_200014750_EBITDA_PUB">#REF!</definedName>
    <definedName name="E_KEYWORD_EQTY_200014750_EPS">#REF!</definedName>
    <definedName name="E_KEYWORD_EQTY_200014750_EPS_CONS_PUB">#REF!</definedName>
    <definedName name="E_KEYWORD_EQTY_200014750_EPS_EX_ESO_B">#REF!</definedName>
    <definedName name="E_KEYWORD_EQTY_200014750_EPS_EX_ESO_D">#REF!</definedName>
    <definedName name="E_KEYWORD_EQTY_200014750_EPS_FUL_DIL">#REF!</definedName>
    <definedName name="E_KEYWORD_EQTY_200014750_EPS_POST_BASIC">#REF!</definedName>
    <definedName name="E_KEYWORD_EQTY_200014750_EPS_PUB">#REF!</definedName>
    <definedName name="E_KEYWORD_EQTY_200014750_EPS_PUB_EX_ESO">#REF!</definedName>
    <definedName name="E_KEYWORD_EQTY_200014750_EQ_PUB">#REF!</definedName>
    <definedName name="E_KEYWORD_EQTY_200014750_ESO_POST_TAX">#REF!</definedName>
    <definedName name="E_KEYWORD_EQTY_200014750_ESO_YEAR">#REF!</definedName>
    <definedName name="E_KEYWORD_EQTY_200014750_EV_ADJ_PUB">#REF!</definedName>
    <definedName name="E_KEYWORD_EQTY_200014750_FOREIGN_HOLDNG">#REF!</definedName>
    <definedName name="E_KEYWORD_EQTY_200014750_FREE_FLOAT">#REF!</definedName>
    <definedName name="E_KEYWORD_EQTY_200014750_FULLY_DIL_EPS">#REF!</definedName>
    <definedName name="E_KEYWORD_EQTY_200014750_FV_GRANT">#REF!</definedName>
    <definedName name="E_KEYWORD_EQTY_200014750_INC_MINORITY">#REF!</definedName>
    <definedName name="E_KEYWORD_EQTY_200014750_Interim_Type">#REF!</definedName>
    <definedName name="E_KEYWORD_EQTY_200014750_LEGAL_RATING">#REF!</definedName>
    <definedName name="E_KEYWORD_EQTY_200014750_MARGIN_TAX_RATE">#REF!</definedName>
    <definedName name="E_KEYWORD_EQTY_200014750_MKT_EQ_RISK_PREM">#REF!</definedName>
    <definedName name="E_KEYWORD_EQTY_200014750_NET_DEBT_PUB">#REF!</definedName>
    <definedName name="E_KEYWORD_EQTY_200014750_NET_EARNING">#REF!</definedName>
    <definedName name="E_KEYWORD_EQTY_200014750_NET_INC">#REF!</definedName>
    <definedName name="E_KEYWORD_EQTY_200014750_NI_CONS">#REF!</definedName>
    <definedName name="E_KEYWORD_EQTY_200014750_NI_PRE_PREF">#REF!</definedName>
    <definedName name="E_KEYWORD_EQTY_200014750_NI_PUB">#REF!</definedName>
    <definedName name="E_KEYWORD_EQTY_200014750_NON_OP_ADD">#REF!</definedName>
    <definedName name="E_KEYWORD_EQTY_200014750_NUM_SH">#REF!</definedName>
    <definedName name="E_KEYWORD_EQTY_200014750_PREF_DIV">#REF!</definedName>
    <definedName name="E_KEYWORD_EQTY_200014750_PRI_TARG_METH">#REF!</definedName>
    <definedName name="E_KEYWORD_EQTY_200014750_PRI_TARG_MULT">#REF!</definedName>
    <definedName name="E_KEYWORD_EQTY_200014750_PRICE_CURRENCY_ISO">#REF!</definedName>
    <definedName name="E_KEYWORD_EQTY_200014750_PROV_INC_TAX">#REF!</definedName>
    <definedName name="E_KEYWORD_EQTY_200014750_PTP_PUB">#REF!</definedName>
    <definedName name="E_KEYWORD_EQTY_200014750_PUB_CURRENCY_ISO">#REF!</definedName>
    <definedName name="E_KEYWORD_EQTY_200014750_REPUR_ACTUAL">#REF!</definedName>
    <definedName name="E_KEYWORD_EQTY_200014750_REPUR_REMAINING">#REF!</definedName>
    <definedName name="E_KEYWORD_EQTY_200014750_REPUR_SUSPENDED">#REF!</definedName>
    <definedName name="E_KEYWORD_EQTY_200014750_REPUR_TOT_AUTH">#REF!</definedName>
    <definedName name="E_KEYWORD_EQTY_200014750_REVS_PUB">#REF!</definedName>
    <definedName name="E_KEYWORD_EQTY_200014750_RISK_FR_RATE">#REF!</definedName>
    <definedName name="E_KEYWORD_EQTY_200014750_Security_Name">#REF!</definedName>
    <definedName name="E_KEYWORD_EQTY_200014750_SH">#REF!</definedName>
    <definedName name="E_KEYWORD_EQTY_200014750_TARGET_PRICE">#REF!</definedName>
    <definedName name="E_KEYWORD_EQTY_200014750_TAX_EXC">#REF!</definedName>
    <definedName name="E_KEYWORD_EQTY_200014750_Ticker">#REF!</definedName>
    <definedName name="E_KEYWORD_EQTY_200014750_TP_PERIOD">#REF!</definedName>
    <definedName name="E_KEYWORD_ISSR_208000603_ACC_AMORT">#REF!</definedName>
    <definedName name="E_KEYWORD_ISSR_208000603_ACC_DDA">#REF!</definedName>
    <definedName name="E_KEYWORD_ISSR_208000603_ACC_END_DATE">#REF!</definedName>
    <definedName name="E_KEYWORD_ISSR_208000603_ACC_GW_AM">#REF!</definedName>
    <definedName name="E_KEYWORD_ISSR_208000603_ACC_PAY_GQ">#REF!</definedName>
    <definedName name="E_KEYWORD_ISSR_208000603_ACCUM_AMORT">#REF!</definedName>
    <definedName name="E_KEYWORD_ISSR_208000603_ACQ">#REF!</definedName>
    <definedName name="E_KEYWORD_ISSR_208000603_ADJ_UNF_PENS_GOOD">#REF!</definedName>
    <definedName name="E_KEYWORD_ISSR_208000603_ASSOC_JV_ADDBK">#REF!</definedName>
    <definedName name="E_KEYWORD_ISSR_208000603_ASSOCIATE">#REF!</definedName>
    <definedName name="E_KEYWORD_ISSR_208000603_ASSOCIATE_OP">#REF!</definedName>
    <definedName name="E_KEYWORD_ISSR_208000603_BAL_MINO_INT">#REF!</definedName>
    <definedName name="E_KEYWORD_ISSR_208000603_CAP_LEASES">#REF!</definedName>
    <definedName name="E_KEYWORD_ISSR_208000603_CAPEX">#REF!</definedName>
    <definedName name="E_KEYWORD_ISSR_208000603_CAPEX_EXPANSION">#REF!</definedName>
    <definedName name="E_KEYWORD_ISSR_208000603_CAPEX_MAINTENANCE">#REF!</definedName>
    <definedName name="E_KEYWORD_ISSR_208000603_CASH_EQ">#REF!</definedName>
    <definedName name="E_KEYWORD_ISSR_208000603_CASH_INT_EXP">#REF!</definedName>
    <definedName name="E_KEYWORD_ISSR_208000603_CASH_TAX_EXP">#REF!</definedName>
    <definedName name="E_KEYWORD_ISSR_208000603_CF_FIN">#REF!</definedName>
    <definedName name="E_KEYWORD_ISSR_208000603_CF_INC_MINORITY">#REF!</definedName>
    <definedName name="E_KEYWORD_ISSR_208000603_CF_INV">#REF!</definedName>
    <definedName name="E_KEYWORD_ISSR_208000603_CF_OPS">#REF!</definedName>
    <definedName name="E_KEYWORD_ISSR_208000603_CHG_LT_DEBT">#REF!</definedName>
    <definedName name="E_KEYWORD_ISSR_208000603_CO_BOR_MARGIN">#REF!</definedName>
    <definedName name="E_KEYWORD_ISSR_208000603_COST_GD_SD">#REF!</definedName>
    <definedName name="E_KEYWORD_ISSR_208000603_CUR_ASS">#REF!</definedName>
    <definedName name="E_KEYWORD_ISSR_208000603_CURRENCY_ISO">#REF!</definedName>
    <definedName name="E_KEYWORD_ISSR_208000603_DEBTORS">#REF!</definedName>
    <definedName name="E_KEYWORD_ISSR_208000603_DEF_INC_TAX">#REF!</definedName>
    <definedName name="E_KEYWORD_ISSR_208000603_DEPR_AMORT">#REF!</definedName>
    <definedName name="E_KEYWORD_ISSR_208000603_DEPREC">#REF!</definedName>
    <definedName name="E_KEYWORD_ISSR_208000603_DIV_PAID">#REF!</definedName>
    <definedName name="E_KEYWORD_ISSR_208000603_DIVDS_ASSOC_JV">#REF!</definedName>
    <definedName name="E_KEYWORD_ISSR_208000603_DIVDS_PD_MINORITIES">#REF!</definedName>
    <definedName name="E_KEYWORD_ISSR_208000603_DIVEST">#REF!</definedName>
    <definedName name="E_KEYWORD_ISSR_208000603_EBIT">#REF!</definedName>
    <definedName name="E_KEYWORD_ISSR_208000603_EBIT_FIN_SEGMENT">#REF!</definedName>
    <definedName name="E_KEYWORD_ISSR_208000603_EBITDA_CALC">#REF!</definedName>
    <definedName name="E_KEYWORD_ISSR_208000603_EMPLOYEES">#REF!</definedName>
    <definedName name="E_KEYWORD_ISSR_208000603_EQ">#REF!</definedName>
    <definedName name="E_KEYWORD_ISSR_208000603_ESO_PRE_TAX">#REF!</definedName>
    <definedName name="E_KEYWORD_ISSR_208000603_FIX_ASS_INV">#REF!</definedName>
    <definedName name="E_KEYWORD_ISSR_208000603_GCI_INFL">#REF!</definedName>
    <definedName name="E_KEYWORD_ISSR_208000603_GOODWILL_AMORT">#REF!</definedName>
    <definedName name="E_KEYWORD_ISSR_208000603_GR_FIX_ASS">#REF!</definedName>
    <definedName name="E_KEYWORD_ISSR_208000603_GR_INTANG">#REF!</definedName>
    <definedName name="E_KEYWORD_ISSR_208000603_GROSS_GW">#REF!</definedName>
    <definedName name="E_KEYWORD_ISSR_208000603_GROSS_OTH_INTANG">#REF!</definedName>
    <definedName name="E_KEYWORD_ISSR_208000603_GT_BLEND_ARPU_PC">#REF!</definedName>
    <definedName name="E_KEYWORD_ISSR_208000603_GT_BLEND_MOU">#REF!</definedName>
    <definedName name="E_KEYWORD_ISSR_208000603_GT_CAPEX_MOU">#REF!</definedName>
    <definedName name="E_KEYWORD_ISSR_208000603_GT_DSL_SUB">#REF!</definedName>
    <definedName name="E_KEYWORD_ISSR_208000603_GT_FIX_DATA_REV">#REF!</definedName>
    <definedName name="E_KEYWORD_ISSR_208000603_GT_FIX_VOICE_REV">#REF!</definedName>
    <definedName name="E_KEYWORD_ISSR_208000603_GT_LD_SUB">#REF!</definedName>
    <definedName name="E_KEYWORD_ISSR_208000603_GT_MOB_DATA_REV">#REF!</definedName>
    <definedName name="E_KEYWORD_ISSR_208000603_GT_MOB_VOICE_REV">#REF!</definedName>
    <definedName name="E_KEYWORD_ISSR_208000603_GT_OTH_CAPEX">#REF!</definedName>
    <definedName name="E_KEYWORD_ISSR_208000603_GT_OTH_REV">#REF!</definedName>
    <definedName name="E_KEYWORD_ISSR_208000603_GT_OTHER_REV">#REF!</definedName>
    <definedName name="E_KEYWORD_ISSR_208000603_GT_PAY_TV_REV">#REF!</definedName>
    <definedName name="E_KEYWORD_ISSR_208000603_GT_SERVC_REV">#REF!</definedName>
    <definedName name="E_KEYWORD_ISSR_208000603_GT_TOT_ACC_LINE">#REF!</definedName>
    <definedName name="E_KEYWORD_ISSR_208000603_GT_TOT_BUS_LINE">#REF!</definedName>
    <definedName name="E_KEYWORD_ISSR_208000603_GT_TOT_MINS">#REF!</definedName>
    <definedName name="E_KEYWORD_ISSR_208000603_GT_TOT_PPD_SUB_PC">#REF!</definedName>
    <definedName name="E_KEYWORD_ISSR_208000603_GT_TOT_RES_LINE">#REF!</definedName>
    <definedName name="E_KEYWORD_ISSR_208000603_GT_TOT_RET_LINE">#REF!</definedName>
    <definedName name="E_KEYWORD_ISSR_208000603_GT_WRLN_CAPEX">#REF!</definedName>
    <definedName name="E_KEYWORD_ISSR_208000603_GT_WRLN_REV">#REF!</definedName>
    <definedName name="E_KEYWORD_ISSR_208000603_GT_WRLS_ARPU">#REF!</definedName>
    <definedName name="E_KEYWORD_ISSR_208000603_GT_WRLS_CAPEX">#REF!</definedName>
    <definedName name="E_KEYWORD_ISSR_208000603_GT_WRLS_CHURN">#REF!</definedName>
    <definedName name="E_KEYWORD_ISSR_208000603_GT_WRLS_REV">#REF!</definedName>
    <definedName name="E_KEYWORD_ISSR_208000603_GT_WRLS_SUB">#REF!</definedName>
    <definedName name="E_KEYWORD_ISSR_208000603_INT_EXP_IND">#REF!</definedName>
    <definedName name="E_KEYWORD_ISSR_208000603_INT_INC_IND">#REF!</definedName>
    <definedName name="E_KEYWORD_ISSR_208000603_INT_PAID_CF">#REF!</definedName>
    <definedName name="E_KEYWORD_ISSR_208000603_INTANG_CAPEX">#REF!</definedName>
    <definedName name="E_KEYWORD_ISSR_208000603_INV_SECUR">#REF!</definedName>
    <definedName name="E_KEYWORD_ISSR_208000603_Issuer_Name">#REF!</definedName>
    <definedName name="E_KEYWORD_ISSR_208000603_LEASE_DEEM_DEPR">#REF!</definedName>
    <definedName name="E_KEYWORD_ISSR_208000603_LEASE_DEEM_INT">#REF!</definedName>
    <definedName name="E_KEYWORD_ISSR_208000603_LEASE_PAY">#REF!</definedName>
    <definedName name="E_KEYWORD_ISSR_208000603_LT_DEBT">#REF!</definedName>
    <definedName name="E_KEYWORD_ISSR_208000603_MA_PROB">#REF!</definedName>
    <definedName name="E_KEYWORD_ISSR_208000603_MINORITIES">#REF!</definedName>
    <definedName name="E_KEYWORD_ISSR_208000603_MV_ASSOCIATES">#REF!</definedName>
    <definedName name="E_KEYWORD_ISSR_208000603_NET_DEBT">#REF!</definedName>
    <definedName name="E_KEYWORD_ISSR_208000603_NET_DEBT_ADJ">#REF!</definedName>
    <definedName name="E_KEYWORD_ISSR_208000603_NET_FIX_ASS">#REF!</definedName>
    <definedName name="E_KEYWORD_ISSR_208000603_NET_GW">#REF!</definedName>
    <definedName name="E_KEYWORD_ISSR_208000603_NET_INT_CH">#REF!</definedName>
    <definedName name="E_KEYWORD_ISSR_208000603_NET_INT_EXP">#REF!</definedName>
    <definedName name="E_KEYWORD_ISSR_208000603_NET_INTANG">#REF!</definedName>
    <definedName name="E_KEYWORD_ISSR_208000603_NET_OTH_INTANG">#REF!</definedName>
    <definedName name="E_KEYWORD_ISSR_208000603_NONPPE_CAPEX">#REF!</definedName>
    <definedName name="E_KEYWORD_ISSR_208000603_OP_AUSTRA">#REF!</definedName>
    <definedName name="E_KEYWORD_ISSR_208000603_OP_AUSTRIA">#REF!</definedName>
    <definedName name="E_KEYWORD_ISSR_208000603_OP_BEL">#REF!</definedName>
    <definedName name="E_KEYWORD_ISSR_208000603_OP_BRAZIL">#REF!</definedName>
    <definedName name="E_KEYWORD_ISSR_208000603_OP_CANADA">#REF!</definedName>
    <definedName name="E_KEYWORD_ISSR_208000603_OP_CEE">#REF!</definedName>
    <definedName name="E_KEYWORD_ISSR_208000603_OP_CHINA">#REF!</definedName>
    <definedName name="E_KEYWORD_ISSR_208000603_OP_CONS">#REF!</definedName>
    <definedName name="E_KEYWORD_ISSR_208000603_OP_COST">#REF!</definedName>
    <definedName name="E_KEYWORD_ISSR_208000603_OP_DEN">#REF!</definedName>
    <definedName name="E_KEYWORD_ISSR_208000603_OP_EU_EX_UK">#REF!</definedName>
    <definedName name="E_KEYWORD_ISSR_208000603_OP_FIN">#REF!</definedName>
    <definedName name="E_KEYWORD_ISSR_208000603_OP_FRA">#REF!</definedName>
    <definedName name="E_KEYWORD_ISSR_208000603_OP_GER">#REF!</definedName>
    <definedName name="E_KEYWORD_ISSR_208000603_OP_GOV">#REF!</definedName>
    <definedName name="E_KEYWORD_ISSR_208000603_OP_GRE">#REF!</definedName>
    <definedName name="E_KEYWORD_ISSR_208000603_OP_ICE">#REF!</definedName>
    <definedName name="E_KEYWORD_ISSR_208000603_OP_IND">#REF!</definedName>
    <definedName name="E_KEYWORD_ISSR_208000603_OP_INDIA">#REF!</definedName>
    <definedName name="E_KEYWORD_ISSR_208000603_OP_IRE">#REF!</definedName>
    <definedName name="E_KEYWORD_ISSR_208000603_OP_ITA">#REF!</definedName>
    <definedName name="E_KEYWORD_ISSR_208000603_OP_JAPAN">#REF!</definedName>
    <definedName name="E_KEYWORD_ISSR_208000603_OP_ME">#REF!</definedName>
    <definedName name="E_KEYWORD_ISSR_208000603_OP_NETH">#REF!</definedName>
    <definedName name="E_KEYWORD_ISSR_208000603_OP_NOR">#REF!</definedName>
    <definedName name="E_KEYWORD_ISSR_208000603_OP_NZ">#REF!</definedName>
    <definedName name="E_KEYWORD_ISSR_208000603_OP_OTH_AEJ">#REF!</definedName>
    <definedName name="E_KEYWORD_ISSR_208000603_OP_OTH_AM">#REF!</definedName>
    <definedName name="E_KEYWORD_ISSR_208000603_OP_OTH_EMEA">#REF!</definedName>
    <definedName name="E_KEYWORD_ISSR_208000603_OP_OTHER">#REF!</definedName>
    <definedName name="E_KEYWORD_ISSR_208000603_OP_POR">#REF!</definedName>
    <definedName name="E_KEYWORD_ISSR_208000603_OP_RUSSIA">#REF!</definedName>
    <definedName name="E_KEYWORD_ISSR_208000603_OP_SK">#REF!</definedName>
    <definedName name="E_KEYWORD_ISSR_208000603_OP_SPA">#REF!</definedName>
    <definedName name="E_KEYWORD_ISSR_208000603_OP_SWE">#REF!</definedName>
    <definedName name="E_KEYWORD_ISSR_208000603_OP_SWIT">#REF!</definedName>
    <definedName name="E_KEYWORD_ISSR_208000603_OP_TOT_AM">#REF!</definedName>
    <definedName name="E_KEYWORD_ISSR_208000603_OP_TOT_ASIA">#REF!</definedName>
    <definedName name="E_KEYWORD_ISSR_208000603_OP_TOT_EMEA">#REF!</definedName>
    <definedName name="E_KEYWORD_ISSR_208000603_OP_UK">#REF!</definedName>
    <definedName name="E_KEYWORD_ISSR_208000603_OP_US">#REF!</definedName>
    <definedName name="E_KEYWORD_ISSR_208000603_ORD_SH_FUND">#REF!</definedName>
    <definedName name="E_KEYWORD_ISSR_208000603_OTH_COST_INC">#REF!</definedName>
    <definedName name="E_KEYWORD_ISSR_208000603_OTH_CUR_ASS">#REF!</definedName>
    <definedName name="E_KEYWORD_ISSR_208000603_OTH_CUR_LIABS">#REF!</definedName>
    <definedName name="E_KEYWORD_ISSR_208000603_OTH_DACF_ADJ">#REF!</definedName>
    <definedName name="E_KEYWORD_ISSR_208000603_OTH_FIN_CF">#REF!</definedName>
    <definedName name="E_KEYWORD_ISSR_208000603_OTH_GCI_ADJ">#REF!</definedName>
    <definedName name="E_KEYWORD_ISSR_208000603_OTH_INV_CF">#REF!</definedName>
    <definedName name="E_KEYWORD_ISSR_208000603_OTH_LT_ASS">#REF!</definedName>
    <definedName name="E_KEYWORD_ISSR_208000603_OTH_LT_CRED_GQ">#REF!</definedName>
    <definedName name="E_KEYWORD_ISSR_208000603_OTH_NONCASH_ADJ">#REF!</definedName>
    <definedName name="E_KEYWORD_ISSR_208000603_OTH_OP_CF">#REF!</definedName>
    <definedName name="E_KEYWORD_ISSR_208000603_OTH_OP_INC_EXP">#REF!</definedName>
    <definedName name="E_KEYWORD_ISSR_208000603_PERIOD_MILESTONE">#REF!</definedName>
    <definedName name="E_KEYWORD_ISSR_208000603_PL_SALE_ASSETS">#REF!</definedName>
    <definedName name="E_KEYWORD_ISSR_208000603_PPNT_FCF">#REF!</definedName>
    <definedName name="E_KEYWORD_ISSR_208000603_PREF_SH">#REF!</definedName>
    <definedName name="E_KEYWORD_ISSR_208000603_PROFIT_ON_DISP">#REF!</definedName>
    <definedName name="E_KEYWORD_ISSR_208000603_PT_PROF">#REF!</definedName>
    <definedName name="E_KEYWORD_ISSR_208000603_RD_EXP">#REF!</definedName>
    <definedName name="E_KEYWORD_ISSR_208000603_REV_FIN_SEGMENT">#REF!</definedName>
    <definedName name="E_KEYWORD_ISSR_208000603_SALES">#REF!</definedName>
    <definedName name="E_KEYWORD_ISSR_208000603_SALES_AUSTRA">#REF!</definedName>
    <definedName name="E_KEYWORD_ISSR_208000603_SALES_AUSTRIA">#REF!</definedName>
    <definedName name="E_KEYWORD_ISSR_208000603_SALES_BEL">#REF!</definedName>
    <definedName name="E_KEYWORD_ISSR_208000603_SALES_BRAZIL">#REF!</definedName>
    <definedName name="E_KEYWORD_ISSR_208000603_SALES_CANADA">#REF!</definedName>
    <definedName name="E_KEYWORD_ISSR_208000603_SALES_CEE">#REF!</definedName>
    <definedName name="E_KEYWORD_ISSR_208000603_SALES_CHINA">#REF!</definedName>
    <definedName name="E_KEYWORD_ISSR_208000603_SALES_CONS">#REF!</definedName>
    <definedName name="E_KEYWORD_ISSR_208000603_SALES_DEN">#REF!</definedName>
    <definedName name="E_KEYWORD_ISSR_208000603_SALES_EU_EX_UK">#REF!</definedName>
    <definedName name="E_KEYWORD_ISSR_208000603_SALES_FIN">#REF!</definedName>
    <definedName name="E_KEYWORD_ISSR_208000603_SALES_FINAN">#REF!</definedName>
    <definedName name="E_KEYWORD_ISSR_208000603_SALES_FRA">#REF!</definedName>
    <definedName name="E_KEYWORD_ISSR_208000603_SALES_GER">#REF!</definedName>
    <definedName name="E_KEYWORD_ISSR_208000603_SALES_GOV">#REF!</definedName>
    <definedName name="E_KEYWORD_ISSR_208000603_SALES_GRE">#REF!</definedName>
    <definedName name="E_KEYWORD_ISSR_208000603_SALES_ICE">#REF!</definedName>
    <definedName name="E_KEYWORD_ISSR_208000603_SALES_IND">#REF!</definedName>
    <definedName name="E_KEYWORD_ISSR_208000603_SALES_INDIA">#REF!</definedName>
    <definedName name="E_KEYWORD_ISSR_208000603_SALES_IRE">#REF!</definedName>
    <definedName name="E_KEYWORD_ISSR_208000603_SALES_ITA">#REF!</definedName>
    <definedName name="E_KEYWORD_ISSR_208000603_SALES_JAPAN">#REF!</definedName>
    <definedName name="E_KEYWORD_ISSR_208000603_SALES_ME">#REF!</definedName>
    <definedName name="E_KEYWORD_ISSR_208000603_SALES_NETH">#REF!</definedName>
    <definedName name="E_KEYWORD_ISSR_208000603_SALES_NOR">#REF!</definedName>
    <definedName name="E_KEYWORD_ISSR_208000603_SALES_NZ">#REF!</definedName>
    <definedName name="E_KEYWORD_ISSR_208000603_SALES_OTH_AEJ">#REF!</definedName>
    <definedName name="E_KEYWORD_ISSR_208000603_SALES_OTH_AM">#REF!</definedName>
    <definedName name="E_KEYWORD_ISSR_208000603_SALES_OTH_EMEA">#REF!</definedName>
    <definedName name="E_KEYWORD_ISSR_208000603_SALES_OTHER">#REF!</definedName>
    <definedName name="E_KEYWORD_ISSR_208000603_SALES_POR">#REF!</definedName>
    <definedName name="E_KEYWORD_ISSR_208000603_SALES_RUSSIA">#REF!</definedName>
    <definedName name="E_KEYWORD_ISSR_208000603_SALES_SK">#REF!</definedName>
    <definedName name="E_KEYWORD_ISSR_208000603_SALES_SMB">#REF!</definedName>
    <definedName name="E_KEYWORD_ISSR_208000603_SALES_SPA">#REF!</definedName>
    <definedName name="E_KEYWORD_ISSR_208000603_SALES_SWE">#REF!</definedName>
    <definedName name="E_KEYWORD_ISSR_208000603_SALES_SWIT">#REF!</definedName>
    <definedName name="E_KEYWORD_ISSR_208000603_SALES_TOT_AM">#REF!</definedName>
    <definedName name="E_KEYWORD_ISSR_208000603_SALES_TOT_ASIA">#REF!</definedName>
    <definedName name="E_KEYWORD_ISSR_208000603_SALES_TOT_EMEA">#REF!</definedName>
    <definedName name="E_KEYWORD_ISSR_208000603_SALES_UK">#REF!</definedName>
    <definedName name="E_KEYWORD_ISSR_208000603_SALES_US">#REF!</definedName>
    <definedName name="E_KEYWORD_ISSR_208000603_SEL_GL_AD">#REF!</definedName>
    <definedName name="E_KEYWORD_ISSR_208000603_SH_REPUR">#REF!</definedName>
    <definedName name="E_KEYWORD_ISSR_208000603_SHORT_T_DEBT">#REF!</definedName>
    <definedName name="E_KEYWORD_ISSR_208000603_SHORT_TERM_LIABS">#REF!</definedName>
    <definedName name="E_KEYWORD_ISSR_208000603_STOCKS">#REF!</definedName>
    <definedName name="E_KEYWORD_ISSR_208000603_TANG_CAPEX">#REF!</definedName>
    <definedName name="E_KEYWORD_ISSR_208000603_TAX_PAID_CF">#REF!</definedName>
    <definedName name="E_KEYWORD_ISSR_208000603_TOT_ASSET">#REF!</definedName>
    <definedName name="E_KEYWORD_ISSR_208000603_TOT_CF">#REF!</definedName>
    <definedName name="E_KEYWORD_ISSR_208000603_TOT_LIAB">#REF!</definedName>
    <definedName name="E_KEYWORD_ISSR_208000603_TOT_LIAB_EQ">#REF!</definedName>
    <definedName name="E_KEYWORD_ISSR_208000603_TOT_LT_LIAB">#REF!</definedName>
    <definedName name="E_KEYWORD_ISSR_208000603_TOT_OPS_EXP">#REF!</definedName>
    <definedName name="E_KEYWORD_ISSR_208000603_TOT_OPS_EXP_DDA">#REF!</definedName>
    <definedName name="E_KEYWORD_ISSR_208000603_UNF_PENS">#REF!</definedName>
    <definedName name="E_KEYWORD_ISSR_208000603_UNF_PENS_LIAB_OTH">#REF!</definedName>
    <definedName name="E_KEYWORD_ISSR_208000603_UNF_PENS_OFF">#REF!</definedName>
    <definedName name="E_KEYWORD_ISSR_208000603_WORK_CAP">#REF!</definedName>
    <definedName name="E_KEYWORD_ISSR_208000976_ACC_AMORT">#REF!</definedName>
    <definedName name="E_KEYWORD_ISSR_208000976_ACC_DDA">#REF!</definedName>
    <definedName name="E_KEYWORD_ISSR_208000976_ACC_END_DATE">#REF!</definedName>
    <definedName name="E_KEYWORD_ISSR_208000976_ACC_PAY_GQ">#REF!</definedName>
    <definedName name="E_KEYWORD_ISSR_208000976_ACQ">#REF!</definedName>
    <definedName name="E_KEYWORD_ISSR_208000976_ADJ_UNF_PENS_GOOD">#REF!</definedName>
    <definedName name="E_KEYWORD_ISSR_208000976_ASSOC_JV_ADDBK">#REF!</definedName>
    <definedName name="E_KEYWORD_ISSR_208000976_ASSOCIATE">#REF!</definedName>
    <definedName name="E_KEYWORD_ISSR_208000976_ASSOCIATE_OP">#REF!</definedName>
    <definedName name="E_KEYWORD_ISSR_208000976_BAL_MINO_INT">#REF!</definedName>
    <definedName name="E_KEYWORD_ISSR_208000976_CAP_LEASES">#REF!</definedName>
    <definedName name="E_KEYWORD_ISSR_208000976_CAPEX">#REF!</definedName>
    <definedName name="E_KEYWORD_ISSR_208000976_CAPEX_EXPANSION">#REF!</definedName>
    <definedName name="E_KEYWORD_ISSR_208000976_CAPEX_MAINTENANCE">#REF!</definedName>
    <definedName name="E_KEYWORD_ISSR_208000976_CASH_EQ">#REF!</definedName>
    <definedName name="E_KEYWORD_ISSR_208000976_CASH_INT_EXP">#REF!</definedName>
    <definedName name="E_KEYWORD_ISSR_208000976_CASH_PCT_OS_US">#REF!</definedName>
    <definedName name="E_KEYWORD_ISSR_208000976_CASH_TAX_EXP">#REF!</definedName>
    <definedName name="E_KEYWORD_ISSR_208000976_CF_FIN">#REF!</definedName>
    <definedName name="E_KEYWORD_ISSR_208000976_CF_INC_MINORITY">#REF!</definedName>
    <definedName name="E_KEYWORD_ISSR_208000976_CF_INV">#REF!</definedName>
    <definedName name="E_KEYWORD_ISSR_208000976_CF_OPS">#REF!</definedName>
    <definedName name="E_KEYWORD_ISSR_208000976_CHG_LT_DEBT">#REF!</definedName>
    <definedName name="E_KEYWORD_ISSR_208000976_CO_BOR_MARGIN">#REF!</definedName>
    <definedName name="E_KEYWORD_ISSR_208000976_COST_GD_SD">#REF!</definedName>
    <definedName name="E_KEYWORD_ISSR_208000976_CUR_ASS">#REF!</definedName>
    <definedName name="E_KEYWORD_ISSR_208000976_CURRENCY_ISO">#REF!</definedName>
    <definedName name="E_KEYWORD_ISSR_208000976_DEBTORS">#REF!</definedName>
    <definedName name="E_KEYWORD_ISSR_208000976_DEF_INC_TAX">#REF!</definedName>
    <definedName name="E_KEYWORD_ISSR_208000976_DEPR_AMORT">#REF!</definedName>
    <definedName name="E_KEYWORD_ISSR_208000976_DEPREC">#REF!</definedName>
    <definedName name="E_KEYWORD_ISSR_208000976_DIV_PAID">#REF!</definedName>
    <definedName name="E_KEYWORD_ISSR_208000976_DIVDS_ASSOC_JV">#REF!</definedName>
    <definedName name="E_KEYWORD_ISSR_208000976_DIVDS_PD_MINORITIES">#REF!</definedName>
    <definedName name="E_KEYWORD_ISSR_208000976_DIVEST">#REF!</definedName>
    <definedName name="E_KEYWORD_ISSR_208000976_EBIT">#REF!</definedName>
    <definedName name="E_KEYWORD_ISSR_208000976_EBIT_FIN_SEGMENT">#REF!</definedName>
    <definedName name="E_KEYWORD_ISSR_208000976_EBITDA_CALC">#REF!</definedName>
    <definedName name="E_KEYWORD_ISSR_208000976_EMPLOYEES">#REF!</definedName>
    <definedName name="E_KEYWORD_ISSR_208000976_EQ">#REF!</definedName>
    <definedName name="E_KEYWORD_ISSR_208000976_ESO_PRE_TAX">#REF!</definedName>
    <definedName name="E_KEYWORD_ISSR_208000976_EXP_ALUMINIUM">#REF!</definedName>
    <definedName name="E_KEYWORD_ISSR_208000976_EXP_COPPER">#REF!</definedName>
    <definedName name="E_KEYWORD_ISSR_208000976_EXP_GLASS">#REF!</definedName>
    <definedName name="E_KEYWORD_ISSR_208000976_EXP_GOLD">#REF!</definedName>
    <definedName name="E_KEYWORD_ISSR_208000976_EXP_NICKEL">#REF!</definedName>
    <definedName name="E_KEYWORD_ISSR_208000976_EXP_OIL_DERIV_NGLS_PLASTICS">#REF!</definedName>
    <definedName name="E_KEYWORD_ISSR_208000976_EXP_OIL_PETRO_FUEL">#REF!</definedName>
    <definedName name="E_KEYWORD_ISSR_208000976_EXP_OTH_COMMODITY">#REF!</definedName>
    <definedName name="E_KEYWORD_ISSR_208000976_EXP_OTH_COST">#REF!</definedName>
    <definedName name="E_KEYWORD_ISSR_208000976_EXP_PALLADIUM">#REF!</definedName>
    <definedName name="E_KEYWORD_ISSR_208000976_EXP_PAPER_PULP">#REF!</definedName>
    <definedName name="E_KEYWORD_ISSR_208000976_EXP_PLATINUM">#REF!</definedName>
    <definedName name="E_KEYWORD_ISSR_208000976_EXP_SILVER">#REF!</definedName>
    <definedName name="E_KEYWORD_ISSR_208000976_EXP_WATER">#REF!</definedName>
    <definedName name="E_KEYWORD_ISSR_208000976_EXP_ZINC">#REF!</definedName>
    <definedName name="E_KEYWORD_ISSR_208000976_FIX_ASS_INV">#REF!</definedName>
    <definedName name="E_KEYWORD_ISSR_208000976_GCI_INFL">#REF!</definedName>
    <definedName name="E_KEYWORD_ISSR_208000976_GOODWILL_AMORT">#REF!</definedName>
    <definedName name="E_KEYWORD_ISSR_208000976_GR_FIX_ASS">#REF!</definedName>
    <definedName name="E_KEYWORD_ISSR_208000976_GR_INTANG">#REF!</definedName>
    <definedName name="E_KEYWORD_ISSR_208000976_INT_EXP_IND">#REF!</definedName>
    <definedName name="E_KEYWORD_ISSR_208000976_INT_INC_IND">#REF!</definedName>
    <definedName name="E_KEYWORD_ISSR_208000976_INV_SECUR">#REF!</definedName>
    <definedName name="E_KEYWORD_ISSR_208000976_Issuer_Name">#REF!</definedName>
    <definedName name="E_KEYWORD_ISSR_208000976_LEASE_DEEM_DEPR">#REF!</definedName>
    <definedName name="E_KEYWORD_ISSR_208000976_LEASE_DEEM_INT">#REF!</definedName>
    <definedName name="E_KEYWORD_ISSR_208000976_LEASE_PAY">#REF!</definedName>
    <definedName name="E_KEYWORD_ISSR_208000976_LT_DEBT">#REF!</definedName>
    <definedName name="E_KEYWORD_ISSR_208000976_MA_PROB">#REF!</definedName>
    <definedName name="E_KEYWORD_ISSR_208000976_MINORITIES">#REF!</definedName>
    <definedName name="E_KEYWORD_ISSR_208000976_MV_ASSOCIATES">#REF!</definedName>
    <definedName name="E_KEYWORD_ISSR_208000976_NET_DEBT">#REF!</definedName>
    <definedName name="E_KEYWORD_ISSR_208000976_NET_DEBT_ADJ">#REF!</definedName>
    <definedName name="E_KEYWORD_ISSR_208000976_NET_FIX_ASS">#REF!</definedName>
    <definedName name="E_KEYWORD_ISSR_208000976_NET_INT_CH">#REF!</definedName>
    <definedName name="E_KEYWORD_ISSR_208000976_NET_INT_EXP">#REF!</definedName>
    <definedName name="E_KEYWORD_ISSR_208000976_NET_INTANG">#REF!</definedName>
    <definedName name="E_KEYWORD_ISSR_208000976_NONPPE_CAPEX">#REF!</definedName>
    <definedName name="E_KEYWORD_ISSR_208000976_OP_COST">#REF!</definedName>
    <definedName name="E_KEYWORD_ISSR_208000976_ORD_SH_FUND">#REF!</definedName>
    <definedName name="E_KEYWORD_ISSR_208000976_ORG_REV_GRTH">#REF!</definedName>
    <definedName name="E_KEYWORD_ISSR_208000976_OTH_COST_INC">#REF!</definedName>
    <definedName name="E_KEYWORD_ISSR_208000976_OTH_CUR_ASS">#REF!</definedName>
    <definedName name="E_KEYWORD_ISSR_208000976_OTH_CUR_LIABS">#REF!</definedName>
    <definedName name="E_KEYWORD_ISSR_208000976_OTH_DACF_ADJ">#REF!</definedName>
    <definedName name="E_KEYWORD_ISSR_208000976_OTH_FIN_CF">#REF!</definedName>
    <definedName name="E_KEYWORD_ISSR_208000976_OTH_GCI_ADJ">#REF!</definedName>
    <definedName name="E_KEYWORD_ISSR_208000976_OTH_INV_CF">#REF!</definedName>
    <definedName name="E_KEYWORD_ISSR_208000976_OTH_LT_ASS">#REF!</definedName>
    <definedName name="E_KEYWORD_ISSR_208000976_OTH_LT_CRED_GQ">#REF!</definedName>
    <definedName name="E_KEYWORD_ISSR_208000976_OTH_NONCASH_ADJ">#REF!</definedName>
    <definedName name="E_KEYWORD_ISSR_208000976_OTH_OP_CF">#REF!</definedName>
    <definedName name="E_KEYWORD_ISSR_208000976_OTH_OP_INC_EXP">#REF!</definedName>
    <definedName name="E_KEYWORD_ISSR_208000976_PERIOD_MILESTONE">#REF!</definedName>
    <definedName name="E_KEYWORD_ISSR_208000976_PL_SALE_ASSETS">#REF!</definedName>
    <definedName name="E_KEYWORD_ISSR_208000976_PREF_SH">#REF!</definedName>
    <definedName name="E_KEYWORD_ISSR_208000976_PROFIT_ON_DISP">#REF!</definedName>
    <definedName name="E_KEYWORD_ISSR_208000976_PT_PROF">#REF!</definedName>
    <definedName name="E_KEYWORD_ISSR_208000976_RD_EXP">#REF!</definedName>
    <definedName name="E_KEYWORD_ISSR_208000976_REV_FIN_SEGMENT">#REF!</definedName>
    <definedName name="E_KEYWORD_ISSR_208000976_SALES">#REF!</definedName>
    <definedName name="E_KEYWORD_ISSR_208000976_SALES_ARGENTINA">#REF!</definedName>
    <definedName name="E_KEYWORD_ISSR_208000976_SALES_BRAZIL">#REF!</definedName>
    <definedName name="E_KEYWORD_ISSR_208000976_SALES_CANADA">#REF!</definedName>
    <definedName name="E_KEYWORD_ISSR_208000976_SALES_CEE">#REF!</definedName>
    <definedName name="E_KEYWORD_ISSR_208000976_SALES_CHILE">#REF!</definedName>
    <definedName name="E_KEYWORD_ISSR_208000976_SALES_CHINA">#REF!</definedName>
    <definedName name="E_KEYWORD_ISSR_208000976_SALES_COLOMBIA">#REF!</definedName>
    <definedName name="E_KEYWORD_ISSR_208000976_SALES_CONS">#REF!</definedName>
    <definedName name="E_KEYWORD_ISSR_208000976_SALES_EU_EX_UK">#REF!</definedName>
    <definedName name="E_KEYWORD_ISSR_208000976_SALES_FINAN">#REF!</definedName>
    <definedName name="E_KEYWORD_ISSR_208000976_SALES_FX_ARS">#REF!</definedName>
    <definedName name="E_KEYWORD_ISSR_208000976_SALES_FX_BRL">#REF!</definedName>
    <definedName name="E_KEYWORD_ISSR_208000976_SALES_FX_CAD">#REF!</definedName>
    <definedName name="E_KEYWORD_ISSR_208000976_SALES_FX_CLP">#REF!</definedName>
    <definedName name="E_KEYWORD_ISSR_208000976_SALES_FX_CNY">#REF!</definedName>
    <definedName name="E_KEYWORD_ISSR_208000976_SALES_FX_COP">#REF!</definedName>
    <definedName name="E_KEYWORD_ISSR_208000976_SALES_FX_EUR">#REF!</definedName>
    <definedName name="E_KEYWORD_ISSR_208000976_SALES_FX_GPB">#REF!</definedName>
    <definedName name="E_KEYWORD_ISSR_208000976_SALES_FX_INR">#REF!</definedName>
    <definedName name="E_KEYWORD_ISSR_208000976_SALES_FX_MXN">#REF!</definedName>
    <definedName name="E_KEYWORD_ISSR_208000976_SALES_FX_OTH">#REF!</definedName>
    <definedName name="E_KEYWORD_ISSR_208000976_SALES_FX_RUB">#REF!</definedName>
    <definedName name="E_KEYWORD_ISSR_208000976_SALES_FX_USD">#REF!</definedName>
    <definedName name="E_KEYWORD_ISSR_208000976_SALES_FX_VEF">#REF!</definedName>
    <definedName name="E_KEYWORD_ISSR_208000976_SALES_FX_YEN">#REF!</definedName>
    <definedName name="E_KEYWORD_ISSR_208000976_SALES_GOV">#REF!</definedName>
    <definedName name="E_KEYWORD_ISSR_208000976_SALES_IND">#REF!</definedName>
    <definedName name="E_KEYWORD_ISSR_208000976_SALES_INDIA">#REF!</definedName>
    <definedName name="E_KEYWORD_ISSR_208000976_SALES_JAPAN">#REF!</definedName>
    <definedName name="E_KEYWORD_ISSR_208000976_SALES_ME">#REF!</definedName>
    <definedName name="E_KEYWORD_ISSR_208000976_SALES_MEXICO">#REF!</definedName>
    <definedName name="E_KEYWORD_ISSR_208000976_SALES_OTH_AEJ">#REF!</definedName>
    <definedName name="E_KEYWORD_ISSR_208000976_SALES_OTH_AM">#REF!</definedName>
    <definedName name="E_KEYWORD_ISSR_208000976_SALES_OTH_EMEA">#REF!</definedName>
    <definedName name="E_KEYWORD_ISSR_208000976_SALES_OTHER">#REF!</definedName>
    <definedName name="E_KEYWORD_ISSR_208000976_SALES_RUSSIA">#REF!</definedName>
    <definedName name="E_KEYWORD_ISSR_208000976_SALES_SMB">#REF!</definedName>
    <definedName name="E_KEYWORD_ISSR_208000976_SALES_TOT_AFRICA">#REF!</definedName>
    <definedName name="E_KEYWORD_ISSR_208000976_SALES_TOT_AM">#REF!</definedName>
    <definedName name="E_KEYWORD_ISSR_208000976_SALES_TOT_ASIA">#REF!</definedName>
    <definedName name="E_KEYWORD_ISSR_208000976_SALES_TOT_EMEA">#REF!</definedName>
    <definedName name="E_KEYWORD_ISSR_208000976_SALES_UK">#REF!</definedName>
    <definedName name="E_KEYWORD_ISSR_208000976_SALES_US">#REF!</definedName>
    <definedName name="E_KEYWORD_ISSR_208000976_SALES_VENEZUELA">#REF!</definedName>
    <definedName name="E_KEYWORD_ISSR_208000976_SEL_GL_AD">#REF!</definedName>
    <definedName name="E_KEYWORD_ISSR_208000976_SH_REPUR">#REF!</definedName>
    <definedName name="E_KEYWORD_ISSR_208000976_SHORT_T_DEBT">#REF!</definedName>
    <definedName name="E_KEYWORD_ISSR_208000976_SHORT_TERM_LIABS">#REF!</definedName>
    <definedName name="E_KEYWORD_ISSR_208000976_STOCKS">#REF!</definedName>
    <definedName name="E_KEYWORD_ISSR_208000976_TOT_ASSET">#REF!</definedName>
    <definedName name="E_KEYWORD_ISSR_208000976_TOT_CF">#REF!</definedName>
    <definedName name="E_KEYWORD_ISSR_208000976_TOT_LIAB">#REF!</definedName>
    <definedName name="E_KEYWORD_ISSR_208000976_TOT_LIAB_EQ">#REF!</definedName>
    <definedName name="E_KEYWORD_ISSR_208000976_TOT_LT_LIAB">#REF!</definedName>
    <definedName name="E_KEYWORD_ISSR_208000976_TOT_OPS_EXP">#REF!</definedName>
    <definedName name="E_KEYWORD_ISSR_208000976_TOT_OPS_EXP_DDA">#REF!</definedName>
    <definedName name="E_KEYWORD_ISSR_208000976_UNF_PENS">#REF!</definedName>
    <definedName name="E_KEYWORD_ISSR_208000976_UNF_PENS_LIAB_OTH">#REF!</definedName>
    <definedName name="E_KEYWORD_ISSR_208000976_UNF_PENS_OFF">#REF!</definedName>
    <definedName name="E_KEYWORD_ISSR_208000976_WORK_CAP">#REF!</definedName>
    <definedName name="E_KEYWORD_ISSR_208001048_ORG_REV_GRTH">#REF!</definedName>
    <definedName name="E_KEYWORD_ISSR_208001258_ACC_AMORT">#REF!</definedName>
    <definedName name="E_KEYWORD_ISSR_208001258_ACC_DDA">#REF!</definedName>
    <definedName name="E_KEYWORD_ISSR_208001258_ACC_END_DATE">#REF!</definedName>
    <definedName name="E_KEYWORD_ISSR_208001258_ACC_PAY_GQ">#REF!</definedName>
    <definedName name="E_KEYWORD_ISSR_208001258_ACQ">#REF!</definedName>
    <definedName name="E_KEYWORD_ISSR_208001258_ADJ_UNF_PENS_GOOD">#REF!</definedName>
    <definedName name="E_KEYWORD_ISSR_208001258_ASSOC_JV_ADDBK">#REF!</definedName>
    <definedName name="E_KEYWORD_ISSR_208001258_ASSOCIATE">#REF!</definedName>
    <definedName name="E_KEYWORD_ISSR_208001258_ASSOCIATE_OP">#REF!</definedName>
    <definedName name="E_KEYWORD_ISSR_208001258_BAL_MINO_INT">#REF!</definedName>
    <definedName name="E_KEYWORD_ISSR_208001258_CAP_LEASES">#REF!</definedName>
    <definedName name="E_KEYWORD_ISSR_208001258_CAPEX">#REF!</definedName>
    <definedName name="E_KEYWORD_ISSR_208001258_CAPEX_EXPANSION">#REF!</definedName>
    <definedName name="E_KEYWORD_ISSR_208001258_CAPEX_MAINTENANCE">#REF!</definedName>
    <definedName name="E_KEYWORD_ISSR_208001258_CASH_EQ">#REF!</definedName>
    <definedName name="E_KEYWORD_ISSR_208001258_CASH_INT_EXP">#REF!</definedName>
    <definedName name="E_KEYWORD_ISSR_208001258_CASH_PCT_OS_US">#REF!</definedName>
    <definedName name="E_KEYWORD_ISSR_208001258_CASH_TAX_EXP">#REF!</definedName>
    <definedName name="E_KEYWORD_ISSR_208001258_CF_FIN">#REF!</definedName>
    <definedName name="E_KEYWORD_ISSR_208001258_CF_INC_MINORITY">#REF!</definedName>
    <definedName name="E_KEYWORD_ISSR_208001258_CF_INV">#REF!</definedName>
    <definedName name="E_KEYWORD_ISSR_208001258_CF_OPS">#REF!</definedName>
    <definedName name="E_KEYWORD_ISSR_208001258_CHG_LT_DEBT">#REF!</definedName>
    <definedName name="E_KEYWORD_ISSR_208001258_CO_BOR_MARGIN">#REF!</definedName>
    <definedName name="E_KEYWORD_ISSR_208001258_COST_GD_SD">#REF!</definedName>
    <definedName name="E_KEYWORD_ISSR_208001258_CUR_ASS">#REF!</definedName>
    <definedName name="E_KEYWORD_ISSR_208001258_CURRENCY_ISO">#REF!</definedName>
    <definedName name="E_KEYWORD_ISSR_208001258_DEBTORS">#REF!</definedName>
    <definedName name="E_KEYWORD_ISSR_208001258_DEF_INC_TAX">#REF!</definedName>
    <definedName name="E_KEYWORD_ISSR_208001258_DEPR_AMORT">#REF!</definedName>
    <definedName name="E_KEYWORD_ISSR_208001258_DEPREC">#REF!</definedName>
    <definedName name="E_KEYWORD_ISSR_208001258_DIV_PAID">#REF!</definedName>
    <definedName name="E_KEYWORD_ISSR_208001258_DIVDS_ASSOC_JV">#REF!</definedName>
    <definedName name="E_KEYWORD_ISSR_208001258_DIVDS_PD_MINORITIES">#REF!</definedName>
    <definedName name="E_KEYWORD_ISSR_208001258_DIVEST">#REF!</definedName>
    <definedName name="E_KEYWORD_ISSR_208001258_EBIT">#REF!</definedName>
    <definedName name="E_KEYWORD_ISSR_208001258_EBIT_FIN_SEGMENT">#REF!</definedName>
    <definedName name="E_KEYWORD_ISSR_208001258_EBITDA_CALC">#REF!</definedName>
    <definedName name="E_KEYWORD_ISSR_208001258_EMPLOYEES">#REF!</definedName>
    <definedName name="E_KEYWORD_ISSR_208001258_EQ">#REF!</definedName>
    <definedName name="E_KEYWORD_ISSR_208001258_ESO_PRE_TAX">#REF!</definedName>
    <definedName name="E_KEYWORD_ISSR_208001258_EXP_ALUMINIUM">#REF!</definedName>
    <definedName name="E_KEYWORD_ISSR_208001258_EXP_COPPER">#REF!</definedName>
    <definedName name="E_KEYWORD_ISSR_208001258_EXP_GLASS">#REF!</definedName>
    <definedName name="E_KEYWORD_ISSR_208001258_EXP_GOLD">#REF!</definedName>
    <definedName name="E_KEYWORD_ISSR_208001258_EXP_NICKEL">#REF!</definedName>
    <definedName name="E_KEYWORD_ISSR_208001258_EXP_OIL_DERIV_NGLS_PLASTICS">#REF!</definedName>
    <definedName name="E_KEYWORD_ISSR_208001258_EXP_OIL_PETRO_FUEL">#REF!</definedName>
    <definedName name="E_KEYWORD_ISSR_208001258_EXP_OTH_COMMODITY">#REF!</definedName>
    <definedName name="E_KEYWORD_ISSR_208001258_EXP_OTH_COST">#REF!</definedName>
    <definedName name="E_KEYWORD_ISSR_208001258_EXP_PALLADIUM">#REF!</definedName>
    <definedName name="E_KEYWORD_ISSR_208001258_EXP_PAPER_PULP">#REF!</definedName>
    <definedName name="E_KEYWORD_ISSR_208001258_EXP_PLATINUM">#REF!</definedName>
    <definedName name="E_KEYWORD_ISSR_208001258_EXP_SILVER">#REF!</definedName>
    <definedName name="E_KEYWORD_ISSR_208001258_EXP_WATER">#REF!</definedName>
    <definedName name="E_KEYWORD_ISSR_208001258_EXP_ZINC">#REF!</definedName>
    <definedName name="E_KEYWORD_ISSR_208001258_FIX_ASS_INV">#REF!</definedName>
    <definedName name="E_KEYWORD_ISSR_208001258_GCI_INFL">#REF!</definedName>
    <definedName name="E_KEYWORD_ISSR_208001258_GOODWILL_AMORT">#REF!</definedName>
    <definedName name="E_KEYWORD_ISSR_208001258_GR_FIX_ASS">#REF!</definedName>
    <definedName name="E_KEYWORD_ISSR_208001258_GR_INTANG">#REF!</definedName>
    <definedName name="E_KEYWORD_ISSR_208001258_INT_EXP_IND">#REF!</definedName>
    <definedName name="E_KEYWORD_ISSR_208001258_INT_INC_IND">#REF!</definedName>
    <definedName name="E_KEYWORD_ISSR_208001258_INV_SECUR">#REF!</definedName>
    <definedName name="E_KEYWORD_ISSR_208001258_Issuer_Name">#REF!</definedName>
    <definedName name="E_KEYWORD_ISSR_208001258_LEASE_DEEM_DEPR">#REF!</definedName>
    <definedName name="E_KEYWORD_ISSR_208001258_LEASE_DEEM_INT">#REF!</definedName>
    <definedName name="E_KEYWORD_ISSR_208001258_LEASE_PAY">#REF!</definedName>
    <definedName name="E_KEYWORD_ISSR_208001258_LT_DEBT">#REF!</definedName>
    <definedName name="E_KEYWORD_ISSR_208001258_MA_PROB">#REF!</definedName>
    <definedName name="E_KEYWORD_ISSR_208001258_MINORITIES">#REF!</definedName>
    <definedName name="E_KEYWORD_ISSR_208001258_MV_ASSOCIATES">#REF!</definedName>
    <definedName name="E_KEYWORD_ISSR_208001258_NET_DEBT">#REF!</definedName>
    <definedName name="E_KEYWORD_ISSR_208001258_NET_DEBT_ADJ">#REF!</definedName>
    <definedName name="E_KEYWORD_ISSR_208001258_NET_FIX_ASS">#REF!</definedName>
    <definedName name="E_KEYWORD_ISSR_208001258_NET_INT_CH">#REF!</definedName>
    <definedName name="E_KEYWORD_ISSR_208001258_NET_INT_EXP">#REF!</definedName>
    <definedName name="E_KEYWORD_ISSR_208001258_NET_INTANG">#REF!</definedName>
    <definedName name="E_KEYWORD_ISSR_208001258_NONPPE_CAPEX">#REF!</definedName>
    <definedName name="E_KEYWORD_ISSR_208001258_OP_COST">#REF!</definedName>
    <definedName name="E_KEYWORD_ISSR_208001258_ORD_SH_FUND">#REF!</definedName>
    <definedName name="E_KEYWORD_ISSR_208001258_ORG_REV_GRTH">#REF!</definedName>
    <definedName name="E_KEYWORD_ISSR_208001258_OTH_COST_INC">#REF!</definedName>
    <definedName name="E_KEYWORD_ISSR_208001258_OTH_CUR_ASS">#REF!</definedName>
    <definedName name="E_KEYWORD_ISSR_208001258_OTH_CUR_LIABS">#REF!</definedName>
    <definedName name="E_KEYWORD_ISSR_208001258_OTH_DACF_ADJ">#REF!</definedName>
    <definedName name="E_KEYWORD_ISSR_208001258_OTH_FIN_CF">#REF!</definedName>
    <definedName name="E_KEYWORD_ISSR_208001258_OTH_GCI_ADJ">#REF!</definedName>
    <definedName name="E_KEYWORD_ISSR_208001258_OTH_INV_CF">#REF!</definedName>
    <definedName name="E_KEYWORD_ISSR_208001258_OTH_LT_ASS">#REF!</definedName>
    <definedName name="E_KEYWORD_ISSR_208001258_OTH_LT_CRED_GQ">#REF!</definedName>
    <definedName name="E_KEYWORD_ISSR_208001258_OTH_NONCASH_ADJ">#REF!</definedName>
    <definedName name="E_KEYWORD_ISSR_208001258_OTH_OP_CF">#REF!</definedName>
    <definedName name="E_KEYWORD_ISSR_208001258_OTH_OP_INC_EXP">#REF!</definedName>
    <definedName name="E_KEYWORD_ISSR_208001258_PERIOD_MILESTONE">#REF!</definedName>
    <definedName name="E_KEYWORD_ISSR_208001258_PL_SALE_ASSETS">#REF!</definedName>
    <definedName name="E_KEYWORD_ISSR_208001258_PREF_SH">#REF!</definedName>
    <definedName name="E_KEYWORD_ISSR_208001258_PROFIT_ON_DISP">#REF!</definedName>
    <definedName name="E_KEYWORD_ISSR_208001258_PT_PROF">#REF!</definedName>
    <definedName name="E_KEYWORD_ISSR_208001258_RD_EXP">#REF!</definedName>
    <definedName name="E_KEYWORD_ISSR_208001258_REV_FIN_SEGMENT">#REF!</definedName>
    <definedName name="E_KEYWORD_ISSR_208001258_SALES">#REF!</definedName>
    <definedName name="E_KEYWORD_ISSR_208001258_SALES_ARGENTINA">#REF!</definedName>
    <definedName name="E_KEYWORD_ISSR_208001258_SALES_BRAZIL">#REF!</definedName>
    <definedName name="E_KEYWORD_ISSR_208001258_SALES_CANADA">#REF!</definedName>
    <definedName name="E_KEYWORD_ISSR_208001258_SALES_CEE">#REF!</definedName>
    <definedName name="E_KEYWORD_ISSR_208001258_SALES_CHILE">#REF!</definedName>
    <definedName name="E_KEYWORD_ISSR_208001258_SALES_CHINA">#REF!</definedName>
    <definedName name="E_KEYWORD_ISSR_208001258_SALES_COLOMBIA">#REF!</definedName>
    <definedName name="E_KEYWORD_ISSR_208001258_SALES_CONS">#REF!</definedName>
    <definedName name="E_KEYWORD_ISSR_208001258_SALES_EU_EX_UK">#REF!</definedName>
    <definedName name="E_KEYWORD_ISSR_208001258_SALES_FINAN">#REF!</definedName>
    <definedName name="E_KEYWORD_ISSR_208001258_SALES_FX_ARS">#REF!</definedName>
    <definedName name="E_KEYWORD_ISSR_208001258_SALES_FX_BRL">#REF!</definedName>
    <definedName name="E_KEYWORD_ISSR_208001258_SALES_FX_CAD">#REF!</definedName>
    <definedName name="E_KEYWORD_ISSR_208001258_SALES_FX_CLP">#REF!</definedName>
    <definedName name="E_KEYWORD_ISSR_208001258_SALES_FX_CNY">#REF!</definedName>
    <definedName name="E_KEYWORD_ISSR_208001258_SALES_FX_COP">#REF!</definedName>
    <definedName name="E_KEYWORD_ISSR_208001258_SALES_FX_EUR">#REF!</definedName>
    <definedName name="E_KEYWORD_ISSR_208001258_SALES_FX_GPB">#REF!</definedName>
    <definedName name="E_KEYWORD_ISSR_208001258_SALES_FX_INR">#REF!</definedName>
    <definedName name="E_KEYWORD_ISSR_208001258_SALES_FX_MXN">#REF!</definedName>
    <definedName name="E_KEYWORD_ISSR_208001258_SALES_FX_OTH">#REF!</definedName>
    <definedName name="E_KEYWORD_ISSR_208001258_SALES_FX_RUB">#REF!</definedName>
    <definedName name="E_KEYWORD_ISSR_208001258_SALES_FX_USD">#REF!</definedName>
    <definedName name="E_KEYWORD_ISSR_208001258_SALES_FX_VEF">#REF!</definedName>
    <definedName name="E_KEYWORD_ISSR_208001258_SALES_FX_YEN">#REF!</definedName>
    <definedName name="E_KEYWORD_ISSR_208001258_SALES_GOV">#REF!</definedName>
    <definedName name="E_KEYWORD_ISSR_208001258_SALES_IND">#REF!</definedName>
    <definedName name="E_KEYWORD_ISSR_208001258_SALES_INDIA">#REF!</definedName>
    <definedName name="E_KEYWORD_ISSR_208001258_SALES_JAPAN">#REF!</definedName>
    <definedName name="E_KEYWORD_ISSR_208001258_SALES_ME">#REF!</definedName>
    <definedName name="E_KEYWORD_ISSR_208001258_SALES_MEXICO">#REF!</definedName>
    <definedName name="E_KEYWORD_ISSR_208001258_SALES_OTH_AEJ">#REF!</definedName>
    <definedName name="E_KEYWORD_ISSR_208001258_SALES_OTH_AM">#REF!</definedName>
    <definedName name="E_KEYWORD_ISSR_208001258_SALES_OTH_EMEA">#REF!</definedName>
    <definedName name="E_KEYWORD_ISSR_208001258_SALES_OTHER">#REF!</definedName>
    <definedName name="E_KEYWORD_ISSR_208001258_SALES_RUSSIA">#REF!</definedName>
    <definedName name="E_KEYWORD_ISSR_208001258_SALES_SMB">#REF!</definedName>
    <definedName name="E_KEYWORD_ISSR_208001258_SALES_TOT_AFRICA">#REF!</definedName>
    <definedName name="E_KEYWORD_ISSR_208001258_SALES_TOT_AM">#REF!</definedName>
    <definedName name="E_KEYWORD_ISSR_208001258_SALES_TOT_ASIA">#REF!</definedName>
    <definedName name="E_KEYWORD_ISSR_208001258_SALES_TOT_EMEA">#REF!</definedName>
    <definedName name="E_KEYWORD_ISSR_208001258_SALES_UK">#REF!</definedName>
    <definedName name="E_KEYWORD_ISSR_208001258_SALES_US">#REF!</definedName>
    <definedName name="E_KEYWORD_ISSR_208001258_SALES_VENEZUELA">#REF!</definedName>
    <definedName name="E_KEYWORD_ISSR_208001258_SEL_GL_AD">#REF!</definedName>
    <definedName name="E_KEYWORD_ISSR_208001258_SH_REPUR">#REF!</definedName>
    <definedName name="E_KEYWORD_ISSR_208001258_SHORT_T_DEBT">#REF!</definedName>
    <definedName name="E_KEYWORD_ISSR_208001258_SHORT_TERM_LIABS">#REF!</definedName>
    <definedName name="E_KEYWORD_ISSR_208001258_STOCKS">#REF!</definedName>
    <definedName name="E_KEYWORD_ISSR_208001258_TOT_ASSET">#REF!</definedName>
    <definedName name="E_KEYWORD_ISSR_208001258_TOT_CF">#REF!</definedName>
    <definedName name="E_KEYWORD_ISSR_208001258_TOT_LIAB">#REF!</definedName>
    <definedName name="E_KEYWORD_ISSR_208001258_TOT_LIAB_EQ">#REF!</definedName>
    <definedName name="E_KEYWORD_ISSR_208001258_TOT_LT_LIAB">#REF!</definedName>
    <definedName name="E_KEYWORD_ISSR_208001258_TOT_OPS_EXP">#REF!</definedName>
    <definedName name="E_KEYWORD_ISSR_208001258_TOT_OPS_EXP_DDA">#REF!</definedName>
    <definedName name="E_KEYWORD_ISSR_208001258_UNF_PENS">#REF!</definedName>
    <definedName name="E_KEYWORD_ISSR_208001258_UNF_PENS_LIAB_OTH">#REF!</definedName>
    <definedName name="E_KEYWORD_ISSR_208001258_UNF_PENS_OFF">#REF!</definedName>
    <definedName name="E_KEYWORD_ISSR_208001258_WORK_CAP">#REF!</definedName>
    <definedName name="E_KEYWORD_ISSR_208009722_ACC_AMORT">#REF!</definedName>
    <definedName name="E_KEYWORD_ISSR_208009722_ACC_DDA">#REF!</definedName>
    <definedName name="E_KEYWORD_ISSR_208009722_ACC_END_DATE">#REF!</definedName>
    <definedName name="E_KEYWORD_ISSR_208009722_ACC_PAY_GQ">#REF!</definedName>
    <definedName name="E_KEYWORD_ISSR_208009722_ACQ">#REF!</definedName>
    <definedName name="E_KEYWORD_ISSR_208009722_ADJ_UNF_PENS_GOOD">#REF!</definedName>
    <definedName name="E_KEYWORD_ISSR_208009722_ASSOC_JV_ADDBK">#REF!</definedName>
    <definedName name="E_KEYWORD_ISSR_208009722_ASSOCIATE">#REF!</definedName>
    <definedName name="E_KEYWORD_ISSR_208009722_ASSOCIATE_OP">#REF!</definedName>
    <definedName name="E_KEYWORD_ISSR_208009722_BAL_MINO_INT">#REF!</definedName>
    <definedName name="E_KEYWORD_ISSR_208009722_CAP_LEASES">#REF!</definedName>
    <definedName name="E_KEYWORD_ISSR_208009722_CAPEX">#REF!</definedName>
    <definedName name="E_KEYWORD_ISSR_208009722_CAPEX_EXPANSION">#REF!</definedName>
    <definedName name="E_KEYWORD_ISSR_208009722_CAPEX_MAINTENANCE">#REF!</definedName>
    <definedName name="E_KEYWORD_ISSR_208009722_CASH_EQ">#REF!</definedName>
    <definedName name="E_KEYWORD_ISSR_208009722_CASH_INT_EXP">#REF!</definedName>
    <definedName name="E_KEYWORD_ISSR_208009722_CASH_TAX_EXP">#REF!</definedName>
    <definedName name="E_KEYWORD_ISSR_208009722_CF_FIN">#REF!</definedName>
    <definedName name="E_KEYWORD_ISSR_208009722_CF_INC_MINORITY">#REF!</definedName>
    <definedName name="E_KEYWORD_ISSR_208009722_CF_INV">#REF!</definedName>
    <definedName name="E_KEYWORD_ISSR_208009722_CF_OPS">#REF!</definedName>
    <definedName name="E_KEYWORD_ISSR_208009722_CHG_LT_DEBT">#REF!</definedName>
    <definedName name="E_KEYWORD_ISSR_208009722_CO_BOR_MARGIN">#REF!</definedName>
    <definedName name="E_KEYWORD_ISSR_208009722_COST_GD_SD">#REF!</definedName>
    <definedName name="E_KEYWORD_ISSR_208009722_CUR_ASS">#REF!</definedName>
    <definedName name="E_KEYWORD_ISSR_208009722_CURRENCY_ISO">#REF!</definedName>
    <definedName name="E_KEYWORD_ISSR_208009722_DEBTORS">#REF!</definedName>
    <definedName name="E_KEYWORD_ISSR_208009722_DEF_INC_TAX">#REF!</definedName>
    <definedName name="E_KEYWORD_ISSR_208009722_DEPR_AMORT">#REF!</definedName>
    <definedName name="E_KEYWORD_ISSR_208009722_DEPREC">#REF!</definedName>
    <definedName name="E_KEYWORD_ISSR_208009722_DIV_PAID">#REF!</definedName>
    <definedName name="E_KEYWORD_ISSR_208009722_DIVDS_ASSOC_JV">#REF!</definedName>
    <definedName name="E_KEYWORD_ISSR_208009722_DIVDS_PD_MINORITIES">#REF!</definedName>
    <definedName name="E_KEYWORD_ISSR_208009722_DIVEST">#REF!</definedName>
    <definedName name="E_KEYWORD_ISSR_208009722_EBIT">#REF!</definedName>
    <definedName name="E_KEYWORD_ISSR_208009722_EBIT_FIN_SEGMENT">#REF!</definedName>
    <definedName name="E_KEYWORD_ISSR_208009722_EBITDA_CALC">#REF!</definedName>
    <definedName name="E_KEYWORD_ISSR_208009722_EMPLOYEES">#REF!</definedName>
    <definedName name="E_KEYWORD_ISSR_208009722_EQ">#REF!</definedName>
    <definedName name="E_KEYWORD_ISSR_208009722_ESO_PRE_TAX">#REF!</definedName>
    <definedName name="E_KEYWORD_ISSR_208009722_FIX_ASS_INV">#REF!</definedName>
    <definedName name="E_KEYWORD_ISSR_208009722_GCI_INFL">#REF!</definedName>
    <definedName name="E_KEYWORD_ISSR_208009722_GOODWILL_AMORT">#REF!</definedName>
    <definedName name="E_KEYWORD_ISSR_208009722_GR_FIX_ASS">#REF!</definedName>
    <definedName name="E_KEYWORD_ISSR_208009722_GR_INTANG">#REF!</definedName>
    <definedName name="E_KEYWORD_ISSR_208009722_INT_EXP_IND">#REF!</definedName>
    <definedName name="E_KEYWORD_ISSR_208009722_INT_INC_IND">#REF!</definedName>
    <definedName name="E_KEYWORD_ISSR_208009722_INV_SECUR">#REF!</definedName>
    <definedName name="E_KEYWORD_ISSR_208009722_Issuer_Name">#REF!</definedName>
    <definedName name="E_KEYWORD_ISSR_208009722_LEASE_DEEM_DEPR">#REF!</definedName>
    <definedName name="E_KEYWORD_ISSR_208009722_LEASE_DEEM_INT">#REF!</definedName>
    <definedName name="E_KEYWORD_ISSR_208009722_LEASE_PAY">#REF!</definedName>
    <definedName name="E_KEYWORD_ISSR_208009722_LT_DEBT">#REF!</definedName>
    <definedName name="E_KEYWORD_ISSR_208009722_MA_PROB">#REF!</definedName>
    <definedName name="E_KEYWORD_ISSR_208009722_MINORITIES">#REF!</definedName>
    <definedName name="E_KEYWORD_ISSR_208009722_MV_ASSOCIATES">#REF!</definedName>
    <definedName name="E_KEYWORD_ISSR_208009722_NET_DEBT">#REF!</definedName>
    <definedName name="E_KEYWORD_ISSR_208009722_NET_DEBT_ADJ">#REF!</definedName>
    <definedName name="E_KEYWORD_ISSR_208009722_NET_FIX_ASS">#REF!</definedName>
    <definedName name="E_KEYWORD_ISSR_208009722_NET_INT_CH">#REF!</definedName>
    <definedName name="E_KEYWORD_ISSR_208009722_NET_INT_EXP">#REF!</definedName>
    <definedName name="E_KEYWORD_ISSR_208009722_NET_INTANG">#REF!</definedName>
    <definedName name="E_KEYWORD_ISSR_208009722_NONPPE_CAPEX">#REF!</definedName>
    <definedName name="E_KEYWORD_ISSR_208009722_OP_AUSTRA">#REF!</definedName>
    <definedName name="E_KEYWORD_ISSR_208009722_OP_AUSTRIA">#REF!</definedName>
    <definedName name="E_KEYWORD_ISSR_208009722_OP_BEL">#REF!</definedName>
    <definedName name="E_KEYWORD_ISSR_208009722_OP_BRAZIL">#REF!</definedName>
    <definedName name="E_KEYWORD_ISSR_208009722_OP_CANADA">#REF!</definedName>
    <definedName name="E_KEYWORD_ISSR_208009722_OP_CEE">#REF!</definedName>
    <definedName name="E_KEYWORD_ISSR_208009722_OP_CHINA">#REF!</definedName>
    <definedName name="E_KEYWORD_ISSR_208009722_OP_CONS">#REF!</definedName>
    <definedName name="E_KEYWORD_ISSR_208009722_OP_COST">#REF!</definedName>
    <definedName name="E_KEYWORD_ISSR_208009722_OP_DEN">#REF!</definedName>
    <definedName name="E_KEYWORD_ISSR_208009722_OP_EU_EX_UK">#REF!</definedName>
    <definedName name="E_KEYWORD_ISSR_208009722_OP_FIN">#REF!</definedName>
    <definedName name="E_KEYWORD_ISSR_208009722_OP_FRA">#REF!</definedName>
    <definedName name="E_KEYWORD_ISSR_208009722_OP_GER">#REF!</definedName>
    <definedName name="E_KEYWORD_ISSR_208009722_OP_GOV">#REF!</definedName>
    <definedName name="E_KEYWORD_ISSR_208009722_OP_GRE">#REF!</definedName>
    <definedName name="E_KEYWORD_ISSR_208009722_OP_ICE">#REF!</definedName>
    <definedName name="E_KEYWORD_ISSR_208009722_OP_IND">#REF!</definedName>
    <definedName name="E_KEYWORD_ISSR_208009722_OP_INDIA">#REF!</definedName>
    <definedName name="E_KEYWORD_ISSR_208009722_OP_IRE">#REF!</definedName>
    <definedName name="E_KEYWORD_ISSR_208009722_OP_ITA">#REF!</definedName>
    <definedName name="E_KEYWORD_ISSR_208009722_OP_JAPAN">#REF!</definedName>
    <definedName name="E_KEYWORD_ISSR_208009722_OP_ME">#REF!</definedName>
    <definedName name="E_KEYWORD_ISSR_208009722_OP_NETH">#REF!</definedName>
    <definedName name="E_KEYWORD_ISSR_208009722_OP_NOR">#REF!</definedName>
    <definedName name="E_KEYWORD_ISSR_208009722_OP_NZ">#REF!</definedName>
    <definedName name="E_KEYWORD_ISSR_208009722_OP_OTH_AEJ">#REF!</definedName>
    <definedName name="E_KEYWORD_ISSR_208009722_OP_OTH_AM">#REF!</definedName>
    <definedName name="E_KEYWORD_ISSR_208009722_OP_OTH_EMEA">#REF!</definedName>
    <definedName name="E_KEYWORD_ISSR_208009722_OP_OTHER">#REF!</definedName>
    <definedName name="E_KEYWORD_ISSR_208009722_OP_POR">#REF!</definedName>
    <definedName name="E_KEYWORD_ISSR_208009722_OP_RUSSIA">#REF!</definedName>
    <definedName name="E_KEYWORD_ISSR_208009722_OP_SK">#REF!</definedName>
    <definedName name="E_KEYWORD_ISSR_208009722_OP_SPA">#REF!</definedName>
    <definedName name="E_KEYWORD_ISSR_208009722_OP_SWE">#REF!</definedName>
    <definedName name="E_KEYWORD_ISSR_208009722_OP_SWIT">#REF!</definedName>
    <definedName name="E_KEYWORD_ISSR_208009722_OP_TOT_AM">#REF!</definedName>
    <definedName name="E_KEYWORD_ISSR_208009722_OP_TOT_ASIA">#REF!</definedName>
    <definedName name="E_KEYWORD_ISSR_208009722_OP_TOT_EMEA">#REF!</definedName>
    <definedName name="E_KEYWORD_ISSR_208009722_OP_UK">#REF!</definedName>
    <definedName name="E_KEYWORD_ISSR_208009722_OP_US">#REF!</definedName>
    <definedName name="E_KEYWORD_ISSR_208009722_ORD_SH_FUND">#REF!</definedName>
    <definedName name="E_KEYWORD_ISSR_208009722_ORG_REV_GRTH">#REF!</definedName>
    <definedName name="E_KEYWORD_ISSR_208009722_OTH_COST_INC">#REF!</definedName>
    <definedName name="E_KEYWORD_ISSR_208009722_OTH_CUR_ASS">#REF!</definedName>
    <definedName name="E_KEYWORD_ISSR_208009722_OTH_CUR_LIABS">#REF!</definedName>
    <definedName name="E_KEYWORD_ISSR_208009722_OTH_DACF_ADJ">#REF!</definedName>
    <definedName name="E_KEYWORD_ISSR_208009722_OTH_FIN_CF">#REF!</definedName>
    <definedName name="E_KEYWORD_ISSR_208009722_OTH_GCI_ADJ">#REF!</definedName>
    <definedName name="E_KEYWORD_ISSR_208009722_OTH_INV_CF">#REF!</definedName>
    <definedName name="E_KEYWORD_ISSR_208009722_OTH_LT_ASS">#REF!</definedName>
    <definedName name="E_KEYWORD_ISSR_208009722_OTH_LT_CRED_GQ">#REF!</definedName>
    <definedName name="E_KEYWORD_ISSR_208009722_OTH_NONCASH_ADJ">#REF!</definedName>
    <definedName name="E_KEYWORD_ISSR_208009722_OTH_OP_CF">#REF!</definedName>
    <definedName name="E_KEYWORD_ISSR_208009722_OTH_OP_INC_EXP">#REF!</definedName>
    <definedName name="E_KEYWORD_ISSR_208009722_PERIOD_MILESTONE">#REF!</definedName>
    <definedName name="E_KEYWORD_ISSR_208009722_PL_SALE_ASSETS">#REF!</definedName>
    <definedName name="E_KEYWORD_ISSR_208009722_PREF_SH">#REF!</definedName>
    <definedName name="E_KEYWORD_ISSR_208009722_PROFIT_ON_DISP">#REF!</definedName>
    <definedName name="E_KEYWORD_ISSR_208009722_PT_PROF">#REF!</definedName>
    <definedName name="E_KEYWORD_ISSR_208009722_RD_EXP">#REF!</definedName>
    <definedName name="E_KEYWORD_ISSR_208009722_REV_FIN_SEGMENT">#REF!</definedName>
    <definedName name="E_KEYWORD_ISSR_208009722_SALES">#REF!</definedName>
    <definedName name="E_KEYWORD_ISSR_208009722_SALES_AUSTRA">#REF!</definedName>
    <definedName name="E_KEYWORD_ISSR_208009722_SALES_AUSTRIA">#REF!</definedName>
    <definedName name="E_KEYWORD_ISSR_208009722_SALES_BEL">#REF!</definedName>
    <definedName name="E_KEYWORD_ISSR_208009722_SALES_BRAZIL">#REF!</definedName>
    <definedName name="E_KEYWORD_ISSR_208009722_SALES_CANADA">#REF!</definedName>
    <definedName name="E_KEYWORD_ISSR_208009722_SALES_CEE">#REF!</definedName>
    <definedName name="E_KEYWORD_ISSR_208009722_SALES_CHINA">#REF!</definedName>
    <definedName name="E_KEYWORD_ISSR_208009722_SALES_CONS">#REF!</definedName>
    <definedName name="E_KEYWORD_ISSR_208009722_SALES_DEN">#REF!</definedName>
    <definedName name="E_KEYWORD_ISSR_208009722_SALES_EU_EX_UK">#REF!</definedName>
    <definedName name="E_KEYWORD_ISSR_208009722_SALES_FIN">#REF!</definedName>
    <definedName name="E_KEYWORD_ISSR_208009722_SALES_FINAN">#REF!</definedName>
    <definedName name="E_KEYWORD_ISSR_208009722_SALES_FRA">#REF!</definedName>
    <definedName name="E_KEYWORD_ISSR_208009722_SALES_GER">#REF!</definedName>
    <definedName name="E_KEYWORD_ISSR_208009722_SALES_GOV">#REF!</definedName>
    <definedName name="E_KEYWORD_ISSR_208009722_SALES_GRE">#REF!</definedName>
    <definedName name="E_KEYWORD_ISSR_208009722_SALES_ICE">#REF!</definedName>
    <definedName name="E_KEYWORD_ISSR_208009722_SALES_IND">#REF!</definedName>
    <definedName name="E_KEYWORD_ISSR_208009722_SALES_INDIA">#REF!</definedName>
    <definedName name="E_KEYWORD_ISSR_208009722_SALES_IRE">#REF!</definedName>
    <definedName name="E_KEYWORD_ISSR_208009722_SALES_ITA">#REF!</definedName>
    <definedName name="E_KEYWORD_ISSR_208009722_SALES_JAPAN">#REF!</definedName>
    <definedName name="E_KEYWORD_ISSR_208009722_SALES_ME">#REF!</definedName>
    <definedName name="E_KEYWORD_ISSR_208009722_SALES_NETH">#REF!</definedName>
    <definedName name="E_KEYWORD_ISSR_208009722_SALES_NOR">#REF!</definedName>
    <definedName name="E_KEYWORD_ISSR_208009722_SALES_NZ">#REF!</definedName>
    <definedName name="E_KEYWORD_ISSR_208009722_SALES_OTH_AEJ">#REF!</definedName>
    <definedName name="E_KEYWORD_ISSR_208009722_SALES_OTH_AM">#REF!</definedName>
    <definedName name="E_KEYWORD_ISSR_208009722_SALES_OTH_EMEA">#REF!</definedName>
    <definedName name="E_KEYWORD_ISSR_208009722_SALES_OTHER">#REF!</definedName>
    <definedName name="E_KEYWORD_ISSR_208009722_SALES_POR">#REF!</definedName>
    <definedName name="E_KEYWORD_ISSR_208009722_SALES_RUSSIA">#REF!</definedName>
    <definedName name="E_KEYWORD_ISSR_208009722_SALES_SK">#REF!</definedName>
    <definedName name="E_KEYWORD_ISSR_208009722_SALES_SMB">#REF!</definedName>
    <definedName name="E_KEYWORD_ISSR_208009722_SALES_SPA">#REF!</definedName>
    <definedName name="E_KEYWORD_ISSR_208009722_SALES_SWE">#REF!</definedName>
    <definedName name="E_KEYWORD_ISSR_208009722_SALES_SWIT">#REF!</definedName>
    <definedName name="E_KEYWORD_ISSR_208009722_SALES_TOT_AM">#REF!</definedName>
    <definedName name="E_KEYWORD_ISSR_208009722_SALES_TOT_ASIA">#REF!</definedName>
    <definedName name="E_KEYWORD_ISSR_208009722_SALES_TOT_EMEA">#REF!</definedName>
    <definedName name="E_KEYWORD_ISSR_208009722_SALES_UK">#REF!</definedName>
    <definedName name="E_KEYWORD_ISSR_208009722_SALES_US">#REF!</definedName>
    <definedName name="E_KEYWORD_ISSR_208009722_SEL_GL_AD">#REF!</definedName>
    <definedName name="E_KEYWORD_ISSR_208009722_SH_REPUR">#REF!</definedName>
    <definedName name="E_KEYWORD_ISSR_208009722_SHORT_T_DEBT">#REF!</definedName>
    <definedName name="E_KEYWORD_ISSR_208009722_SHORT_TERM_LIABS">#REF!</definedName>
    <definedName name="E_KEYWORD_ISSR_208009722_STOCKS">#REF!</definedName>
    <definedName name="E_KEYWORD_ISSR_208009722_TOT_ASSET">#REF!</definedName>
    <definedName name="E_KEYWORD_ISSR_208009722_TOT_CF">#REF!</definedName>
    <definedName name="E_KEYWORD_ISSR_208009722_TOT_LIAB">#REF!</definedName>
    <definedName name="E_KEYWORD_ISSR_208009722_TOT_LIAB_EQ">#REF!</definedName>
    <definedName name="E_KEYWORD_ISSR_208009722_TOT_LT_LIAB">#REF!</definedName>
    <definedName name="E_KEYWORD_ISSR_208009722_TOT_OPS_EXP">#REF!</definedName>
    <definedName name="E_KEYWORD_ISSR_208009722_TOT_OPS_EXP_DDA">#REF!</definedName>
    <definedName name="E_KEYWORD_ISSR_208009722_UNF_PENS">#REF!</definedName>
    <definedName name="E_KEYWORD_ISSR_208009722_UNF_PENS_LIAB_OTH">#REF!</definedName>
    <definedName name="E_KEYWORD_ISSR_208009722_UNF_PENS_OFF">#REF!</definedName>
    <definedName name="E_KEYWORD_ISSR_208009722_WORK_CAP">#REF!</definedName>
    <definedName name="E_KEYWORD_ISSR_208011556_ACC_AMORT">#REF!</definedName>
    <definedName name="E_KEYWORD_ISSR_208011556_ACC_DDA">#REF!</definedName>
    <definedName name="E_KEYWORD_ISSR_208011556_ACC_END_DATE">#REF!</definedName>
    <definedName name="E_KEYWORD_ISSR_208011556_ACC_PAY_GQ">#REF!</definedName>
    <definedName name="E_KEYWORD_ISSR_208011556_ACQ">#REF!</definedName>
    <definedName name="E_KEYWORD_ISSR_208011556_ADJ_UNF_PENS_GOOD">#REF!</definedName>
    <definedName name="E_KEYWORD_ISSR_208011556_ASSOC_JV_ADDBK">#REF!</definedName>
    <definedName name="E_KEYWORD_ISSR_208011556_ASSOCIATE">#REF!</definedName>
    <definedName name="E_KEYWORD_ISSR_208011556_ASSOCIATE_OP">#REF!</definedName>
    <definedName name="E_KEYWORD_ISSR_208011556_BAL_MINO_INT">#REF!</definedName>
    <definedName name="E_KEYWORD_ISSR_208011556_CAP_LEASES">#REF!</definedName>
    <definedName name="E_KEYWORD_ISSR_208011556_CAPEX">#REF!</definedName>
    <definedName name="E_KEYWORD_ISSR_208011556_CAPEX_EXPANSION">#REF!</definedName>
    <definedName name="E_KEYWORD_ISSR_208011556_CAPEX_MAINTENANCE">#REF!</definedName>
    <definedName name="E_KEYWORD_ISSR_208011556_CASH_EQ">#REF!</definedName>
    <definedName name="E_KEYWORD_ISSR_208011556_CASH_INT_EXP">#REF!</definedName>
    <definedName name="E_KEYWORD_ISSR_208011556_CASH_PCT_OS_US">#REF!</definedName>
    <definedName name="E_KEYWORD_ISSR_208011556_CASH_TAX_EXP">#REF!</definedName>
    <definedName name="E_KEYWORD_ISSR_208011556_CF_FIN">#REF!</definedName>
    <definedName name="E_KEYWORD_ISSR_208011556_CF_INC_MINORITY">#REF!</definedName>
    <definedName name="E_KEYWORD_ISSR_208011556_CF_INV">#REF!</definedName>
    <definedName name="E_KEYWORD_ISSR_208011556_CF_OPS">#REF!</definedName>
    <definedName name="E_KEYWORD_ISSR_208011556_CHG_LT_DEBT">#REF!</definedName>
    <definedName name="E_KEYWORD_ISSR_208011556_CO_BOR_MARGIN">#REF!</definedName>
    <definedName name="E_KEYWORD_ISSR_208011556_CONTRIB_MARGIN_RATIO">#REF!</definedName>
    <definedName name="E_KEYWORD_ISSR_208011556_COST_GD_SD">#REF!</definedName>
    <definedName name="E_KEYWORD_ISSR_208011556_CUR_ASS">#REF!</definedName>
    <definedName name="E_KEYWORD_ISSR_208011556_CURRENCY_ISO">#REF!</definedName>
    <definedName name="E_KEYWORD_ISSR_208011556_DEBTORS">#REF!</definedName>
    <definedName name="E_KEYWORD_ISSR_208011556_DEF_INC_TAX">#REF!</definedName>
    <definedName name="E_KEYWORD_ISSR_208011556_DEPR_AMORT">#REF!</definedName>
    <definedName name="E_KEYWORD_ISSR_208011556_DEPREC">#REF!</definedName>
    <definedName name="E_KEYWORD_ISSR_208011556_DIV_PAID">#REF!</definedName>
    <definedName name="E_KEYWORD_ISSR_208011556_DIVDS_ASSOC_JV">#REF!</definedName>
    <definedName name="E_KEYWORD_ISSR_208011556_DIVDS_PD_MINORITIES">#REF!</definedName>
    <definedName name="E_KEYWORD_ISSR_208011556_DIVEST">#REF!</definedName>
    <definedName name="E_KEYWORD_ISSR_208011556_EBIT">#REF!</definedName>
    <definedName name="E_KEYWORD_ISSR_208011556_EBIT_FIN_SEGMENT">#REF!</definedName>
    <definedName name="E_KEYWORD_ISSR_208011556_EBITDA_CALC">#REF!</definedName>
    <definedName name="E_KEYWORD_ISSR_208011556_EMPLOYEES">#REF!</definedName>
    <definedName name="E_KEYWORD_ISSR_208011556_EQ">#REF!</definedName>
    <definedName name="E_KEYWORD_ISSR_208011556_ESO_PRE_TAX">#REF!</definedName>
    <definedName name="E_KEYWORD_ISSR_208011556_EXP_ALUMINIUM">#REF!</definedName>
    <definedName name="E_KEYWORD_ISSR_208011556_EXP_COPPER">#REF!</definedName>
    <definedName name="E_KEYWORD_ISSR_208011556_EXP_GLASS">#REF!</definedName>
    <definedName name="E_KEYWORD_ISSR_208011556_EXP_GOLD">#REF!</definedName>
    <definedName name="E_KEYWORD_ISSR_208011556_EXP_NICKEL">#REF!</definedName>
    <definedName name="E_KEYWORD_ISSR_208011556_EXP_OIL_DERIV_NGLS_PLASTICS">#REF!</definedName>
    <definedName name="E_KEYWORD_ISSR_208011556_EXP_OIL_PETRO_FUEL">#REF!</definedName>
    <definedName name="E_KEYWORD_ISSR_208011556_EXP_OTH_COMMODITY">#REF!</definedName>
    <definedName name="E_KEYWORD_ISSR_208011556_EXP_OTH_COST">#REF!</definedName>
    <definedName name="E_KEYWORD_ISSR_208011556_EXP_PALLADIUM">#REF!</definedName>
    <definedName name="E_KEYWORD_ISSR_208011556_EXP_PAPER_PULP">#REF!</definedName>
    <definedName name="E_KEYWORD_ISSR_208011556_EXP_PLATINUM">#REF!</definedName>
    <definedName name="E_KEYWORD_ISSR_208011556_EXP_SILVER">#REF!</definedName>
    <definedName name="E_KEYWORD_ISSR_208011556_EXP_WATER">#REF!</definedName>
    <definedName name="E_KEYWORD_ISSR_208011556_EXP_ZINC">#REF!</definedName>
    <definedName name="E_KEYWORD_ISSR_208011556_FIX_ASS_INV">#REF!</definedName>
    <definedName name="E_KEYWORD_ISSR_208011556_GCI_INFL">#REF!</definedName>
    <definedName name="E_KEYWORD_ISSR_208011556_GOODWILL_AMORT">#REF!</definedName>
    <definedName name="E_KEYWORD_ISSR_208011556_GR_FIX_ASS">#REF!</definedName>
    <definedName name="E_KEYWORD_ISSR_208011556_GR_INTANG">#REF!</definedName>
    <definedName name="E_KEYWORD_ISSR_208011556_INT_EXP_IND">#REF!</definedName>
    <definedName name="E_KEYWORD_ISSR_208011556_INT_INC_IND">#REF!</definedName>
    <definedName name="E_KEYWORD_ISSR_208011556_INV_SECUR">#REF!</definedName>
    <definedName name="E_KEYWORD_ISSR_208011556_Issuer_Name">#REF!</definedName>
    <definedName name="E_KEYWORD_ISSR_208011556_LEASE_DEEM_DEPR">#REF!</definedName>
    <definedName name="E_KEYWORD_ISSR_208011556_LEASE_DEEM_INT">#REF!</definedName>
    <definedName name="E_KEYWORD_ISSR_208011556_LEASE_PAY">#REF!</definedName>
    <definedName name="E_KEYWORD_ISSR_208011556_LT_DEBT">#REF!</definedName>
    <definedName name="E_KEYWORD_ISSR_208011556_MA_PROB">#REF!</definedName>
    <definedName name="E_KEYWORD_ISSR_208011556_MINORITIES">#REF!</definedName>
    <definedName name="E_KEYWORD_ISSR_208011556_MV_ASSOCIATES">#REF!</definedName>
    <definedName name="E_KEYWORD_ISSR_208011556_NET_DEBT">#REF!</definedName>
    <definedName name="E_KEYWORD_ISSR_208011556_NET_DEBT_ADJ">#REF!</definedName>
    <definedName name="E_KEYWORD_ISSR_208011556_NET_FIX_ASS">#REF!</definedName>
    <definedName name="E_KEYWORD_ISSR_208011556_NET_INT_CH">#REF!</definedName>
    <definedName name="E_KEYWORD_ISSR_208011556_NET_INT_EXP">#REF!</definedName>
    <definedName name="E_KEYWORD_ISSR_208011556_NET_INTANG">#REF!</definedName>
    <definedName name="E_KEYWORD_ISSR_208011556_NONPPE_CAPEX">#REF!</definedName>
    <definedName name="E_KEYWORD_ISSR_208011556_OP_COST">#REF!</definedName>
    <definedName name="E_KEYWORD_ISSR_208011556_ORD_SH_FUND">#REF!</definedName>
    <definedName name="E_KEYWORD_ISSR_208011556_OTH_COST_INC">#REF!</definedName>
    <definedName name="E_KEYWORD_ISSR_208011556_OTH_CUR_ASS">#REF!</definedName>
    <definedName name="E_KEYWORD_ISSR_208011556_OTH_CUR_LIABS">#REF!</definedName>
    <definedName name="E_KEYWORD_ISSR_208011556_OTH_DACF_ADJ">#REF!</definedName>
    <definedName name="E_KEYWORD_ISSR_208011556_OTH_FIN_CF">#REF!</definedName>
    <definedName name="E_KEYWORD_ISSR_208011556_OTH_GCI_ADJ">#REF!</definedName>
    <definedName name="E_KEYWORD_ISSR_208011556_OTH_INV_CF">#REF!</definedName>
    <definedName name="E_KEYWORD_ISSR_208011556_OTH_LT_ASS">#REF!</definedName>
    <definedName name="E_KEYWORD_ISSR_208011556_OTH_LT_CRED_GQ">#REF!</definedName>
    <definedName name="E_KEYWORD_ISSR_208011556_OTH_NONCASH_ADJ">#REF!</definedName>
    <definedName name="E_KEYWORD_ISSR_208011556_OTH_OP_CF">#REF!</definedName>
    <definedName name="E_KEYWORD_ISSR_208011556_OTH_OP_INC_EXP">#REF!</definedName>
    <definedName name="E_KEYWORD_ISSR_208011556_PERIOD_MILESTONE">#REF!</definedName>
    <definedName name="E_KEYWORD_ISSR_208011556_PL_SALE_ASSETS">#REF!</definedName>
    <definedName name="E_KEYWORD_ISSR_208011556_PREF_SH">#REF!</definedName>
    <definedName name="E_KEYWORD_ISSR_208011556_PROFIT_ON_DISP">#REF!</definedName>
    <definedName name="E_KEYWORD_ISSR_208011556_PT_PROF">#REF!</definedName>
    <definedName name="E_KEYWORD_ISSR_208011556_RD_EXP">#REF!</definedName>
    <definedName name="E_KEYWORD_ISSR_208011556_REV_FIN_SEGMENT">#REF!</definedName>
    <definedName name="E_KEYWORD_ISSR_208011556_SALES">#REF!</definedName>
    <definedName name="E_KEYWORD_ISSR_208011556_SALES_ARGENTINA">#REF!</definedName>
    <definedName name="E_KEYWORD_ISSR_208011556_SALES_BRAZIL">#REF!</definedName>
    <definedName name="E_KEYWORD_ISSR_208011556_SALES_CANADA">#REF!</definedName>
    <definedName name="E_KEYWORD_ISSR_208011556_SALES_CEE">#REF!</definedName>
    <definedName name="E_KEYWORD_ISSR_208011556_SALES_CHILE">#REF!</definedName>
    <definedName name="E_KEYWORD_ISSR_208011556_SALES_CHINA">#REF!</definedName>
    <definedName name="E_KEYWORD_ISSR_208011556_SALES_COLOMBIA">#REF!</definedName>
    <definedName name="E_KEYWORD_ISSR_208011556_SALES_CONS">#REF!</definedName>
    <definedName name="E_KEYWORD_ISSR_208011556_SALES_EU_EX_UK">#REF!</definedName>
    <definedName name="E_KEYWORD_ISSR_208011556_SALES_FINAN">#REF!</definedName>
    <definedName name="E_KEYWORD_ISSR_208011556_SALES_FX_ARS">#REF!</definedName>
    <definedName name="E_KEYWORD_ISSR_208011556_SALES_FX_BRL">#REF!</definedName>
    <definedName name="E_KEYWORD_ISSR_208011556_SALES_FX_CAD">#REF!</definedName>
    <definedName name="E_KEYWORD_ISSR_208011556_SALES_FX_CLP">#REF!</definedName>
    <definedName name="E_KEYWORD_ISSR_208011556_SALES_FX_CNY">#REF!</definedName>
    <definedName name="E_KEYWORD_ISSR_208011556_SALES_FX_COP">#REF!</definedName>
    <definedName name="E_KEYWORD_ISSR_208011556_SALES_FX_EUR">#REF!</definedName>
    <definedName name="E_KEYWORD_ISSR_208011556_SALES_FX_GPB">#REF!</definedName>
    <definedName name="E_KEYWORD_ISSR_208011556_SALES_FX_INR">#REF!</definedName>
    <definedName name="E_KEYWORD_ISSR_208011556_SALES_FX_MXN">#REF!</definedName>
    <definedName name="E_KEYWORD_ISSR_208011556_SALES_FX_OTH">#REF!</definedName>
    <definedName name="E_KEYWORD_ISSR_208011556_SALES_FX_RUB">#REF!</definedName>
    <definedName name="E_KEYWORD_ISSR_208011556_SALES_FX_USD">#REF!</definedName>
    <definedName name="E_KEYWORD_ISSR_208011556_SALES_FX_VEF">#REF!</definedName>
    <definedName name="E_KEYWORD_ISSR_208011556_SALES_FX_YEN">#REF!</definedName>
    <definedName name="E_KEYWORD_ISSR_208011556_SALES_GOV">#REF!</definedName>
    <definedName name="E_KEYWORD_ISSR_208011556_SALES_IND">#REF!</definedName>
    <definedName name="E_KEYWORD_ISSR_208011556_SALES_INDIA">#REF!</definedName>
    <definedName name="E_KEYWORD_ISSR_208011556_SALES_JAPAN">#REF!</definedName>
    <definedName name="E_KEYWORD_ISSR_208011556_SALES_ME">#REF!</definedName>
    <definedName name="E_KEYWORD_ISSR_208011556_SALES_MEXICO">#REF!</definedName>
    <definedName name="E_KEYWORD_ISSR_208011556_SALES_OTH_AEJ">#REF!</definedName>
    <definedName name="E_KEYWORD_ISSR_208011556_SALES_OTH_AM">#REF!</definedName>
    <definedName name="E_KEYWORD_ISSR_208011556_SALES_OTH_EMEA">#REF!</definedName>
    <definedName name="E_KEYWORD_ISSR_208011556_SALES_OTHER">#REF!</definedName>
    <definedName name="E_KEYWORD_ISSR_208011556_SALES_RUSSIA">#REF!</definedName>
    <definedName name="E_KEYWORD_ISSR_208011556_SALES_SMB">#REF!</definedName>
    <definedName name="E_KEYWORD_ISSR_208011556_SALES_TOT_AFRICA">#REF!</definedName>
    <definedName name="E_KEYWORD_ISSR_208011556_SALES_TOT_AM">#REF!</definedName>
    <definedName name="E_KEYWORD_ISSR_208011556_SALES_TOT_ASIA">#REF!</definedName>
    <definedName name="E_KEYWORD_ISSR_208011556_SALES_TOT_EMEA">#REF!</definedName>
    <definedName name="E_KEYWORD_ISSR_208011556_SALES_UK">#REF!</definedName>
    <definedName name="E_KEYWORD_ISSR_208011556_SALES_US">#REF!</definedName>
    <definedName name="E_KEYWORD_ISSR_208011556_SALES_VENEZUELA">#REF!</definedName>
    <definedName name="E_KEYWORD_ISSR_208011556_SEL_GL_AD">#REF!</definedName>
    <definedName name="E_KEYWORD_ISSR_208011556_SH_REPUR">#REF!</definedName>
    <definedName name="E_KEYWORD_ISSR_208011556_SHORT_T_DEBT">#REF!</definedName>
    <definedName name="E_KEYWORD_ISSR_208011556_SHORT_TERM_LIABS">#REF!</definedName>
    <definedName name="E_KEYWORD_ISSR_208011556_STOCKS">#REF!</definedName>
    <definedName name="E_KEYWORD_ISSR_208011556_TOT_ASSET">#REF!</definedName>
    <definedName name="E_KEYWORD_ISSR_208011556_TOT_CF">#REF!</definedName>
    <definedName name="E_KEYWORD_ISSR_208011556_TOT_LIAB">#REF!</definedName>
    <definedName name="E_KEYWORD_ISSR_208011556_TOT_LIAB_EQ">#REF!</definedName>
    <definedName name="E_KEYWORD_ISSR_208011556_TOT_LT_LIAB">#REF!</definedName>
    <definedName name="E_KEYWORD_ISSR_208011556_TOT_OPS_EXP">#REF!</definedName>
    <definedName name="E_KEYWORD_ISSR_208011556_TOT_OPS_EXP_DDA">#REF!</definedName>
    <definedName name="E_KEYWORD_ISSR_208011556_UNF_PENS">#REF!</definedName>
    <definedName name="E_KEYWORD_ISSR_208011556_UNF_PENS_LIAB_OTH">#REF!</definedName>
    <definedName name="E_KEYWORD_ISSR_208011556_UNF_PENS_OFF">#REF!</definedName>
    <definedName name="E_KEYWORD_ISSR_208011556_WORK_CAP">#REF!</definedName>
    <definedName name="E_LIVEDATA_EQTY_200001646">#REF!</definedName>
    <definedName name="E_LIVEDATA_EQTY_200002831">#REF!</definedName>
    <definedName name="E_LIVEDATA_EQTY_200004419">#REF!</definedName>
    <definedName name="E_LIVEDATA_EQTY_200012762">#REF!</definedName>
    <definedName name="E_LIVEDATA_EQTY_200014750">#REF!</definedName>
    <definedName name="E_LIVEDATA_ISSR_208000603">#REF!</definedName>
    <definedName name="E_LIVEDATA_ISSR_208000976">#REF!</definedName>
    <definedName name="E_LIVEDATA_ISSR_208001258">#REF!</definedName>
    <definedName name="E_LIVEDATA_ISSR_208009722">#REF!</definedName>
    <definedName name="E_LIVEDATA_ISSR_208011556">#REF!</definedName>
    <definedName name="E_OCF_2001">#REF!</definedName>
    <definedName name="E_OCF_2002">#REF!</definedName>
    <definedName name="E_OCF_2003">#REF!</definedName>
    <definedName name="E_OCF_2004">#REF!</definedName>
    <definedName name="E_PERIOD_2002">#REF!</definedName>
    <definedName name="E_PERIOD_2003">#REF!</definedName>
    <definedName name="E_PERIOD_2003_Q1">#REF!</definedName>
    <definedName name="E_PERIOD_2003_Q2">#REF!</definedName>
    <definedName name="E_PERIOD_2003_Q3">#REF!</definedName>
    <definedName name="E_PERIOD_2003_Q4">#REF!</definedName>
    <definedName name="E_PERIOD_2004">#REF!</definedName>
    <definedName name="E_PERIOD_2004_Q1">#REF!</definedName>
    <definedName name="E_PERIOD_2004_Q2">#REF!</definedName>
    <definedName name="E_PERIOD_2004_Q3">#REF!</definedName>
    <definedName name="E_PERIOD_2004_Q4">#REF!</definedName>
    <definedName name="E_PERIOD_2005">#REF!</definedName>
    <definedName name="E_PERIOD_2005_Q1">#REF!</definedName>
    <definedName name="E_PERIOD_2005_Q2">#REF!</definedName>
    <definedName name="E_PERIOD_2005_Q3">#REF!</definedName>
    <definedName name="E_PERIOD_2005_Q4">#REF!</definedName>
    <definedName name="E_PERIOD_2006_Q1">#REF!</definedName>
    <definedName name="E_PERIOD_2006_Q2">#REF!</definedName>
    <definedName name="E_PERIOD_2006_Q3">#REF!</definedName>
    <definedName name="E_PERIOD_2006_Q4">#REF!</definedName>
    <definedName name="E_Rev_2000">#REF!</definedName>
    <definedName name="E_Rev_2002">#REF!</definedName>
    <definedName name="E_SECTION_EQTY_200001646_1314">#REF!</definedName>
    <definedName name="E_SECTION_EQTY_200001646_1319">#REF!</definedName>
    <definedName name="E_SECTION_EQTY_200001646_131E">#REF!</definedName>
    <definedName name="E_SECTION_EQTY_200001646_131O">#REF!</definedName>
    <definedName name="E_SECTION_EQTY_200001646_131P">#REF!</definedName>
    <definedName name="E_SECTION_EQTY_200001646_13A">#REF!</definedName>
    <definedName name="E_SECTION_EQTY_200001646_13K">#REF!</definedName>
    <definedName name="E_SECTION_EQTY_200001646_13U">#REF!</definedName>
    <definedName name="E_SECTION_EQTY_200001646_13V">#REF!</definedName>
    <definedName name="E_SECTION_EQTY_200001646_13W">#REF!</definedName>
    <definedName name="E_SECTION_EQTY_200001646_Reference_Data">#REF!</definedName>
    <definedName name="E_SECTION_EQTY_200002831_1314">#REF!</definedName>
    <definedName name="E_SECTION_EQTY_200002831_1319">#REF!</definedName>
    <definedName name="E_SECTION_EQTY_200002831_131E">#REF!</definedName>
    <definedName name="E_SECTION_EQTY_200002831_131O">#REF!</definedName>
    <definedName name="E_SECTION_EQTY_200002831_13A">#REF!</definedName>
    <definedName name="E_SECTION_EQTY_200002831_13K">#REF!</definedName>
    <definedName name="E_SECTION_EQTY_200002831_13U">#REF!</definedName>
    <definedName name="E_SECTION_EQTY_200002831_13V">#REF!</definedName>
    <definedName name="E_SECTION_EQTY_200002831_13W">#REF!</definedName>
    <definedName name="E_SECTION_EQTY_200002831_Reference_Data">#REF!</definedName>
    <definedName name="E_SECTION_EQTY_200004419_1314">#REF!</definedName>
    <definedName name="E_SECTION_EQTY_200004419_1319">#REF!</definedName>
    <definedName name="E_SECTION_EQTY_200004419_131E">#REF!</definedName>
    <definedName name="E_SECTION_EQTY_200004419_131O">#REF!</definedName>
    <definedName name="E_SECTION_EQTY_200004419_13A">#REF!</definedName>
    <definedName name="E_SECTION_EQTY_200004419_13K">#REF!</definedName>
    <definedName name="E_SECTION_EQTY_200004419_13U">#REF!</definedName>
    <definedName name="E_SECTION_EQTY_200004419_13V">#REF!</definedName>
    <definedName name="E_SECTION_EQTY_200004419_13W">#REF!</definedName>
    <definedName name="E_SECTION_EQTY_200004419_Reference_Data">#REF!</definedName>
    <definedName name="E_SECTION_EQTY_200012762_1314">#REF!</definedName>
    <definedName name="E_SECTION_EQTY_200012762_1319">#REF!</definedName>
    <definedName name="E_SECTION_EQTY_200012762_131E">#REF!</definedName>
    <definedName name="E_SECTION_EQTY_200012762_131O">#REF!</definedName>
    <definedName name="E_SECTION_EQTY_200012762_13A">#REF!</definedName>
    <definedName name="E_SECTION_EQTY_200012762_13K">#REF!</definedName>
    <definedName name="E_SECTION_EQTY_200012762_13U">#REF!</definedName>
    <definedName name="E_SECTION_EQTY_200012762_13V">#REF!</definedName>
    <definedName name="E_SECTION_EQTY_200012762_13W">#REF!</definedName>
    <definedName name="E_SECTION_EQTY_200012762_Reference_Data">#REF!</definedName>
    <definedName name="E_SECTION_EQTY_200014750_1314">#REF!</definedName>
    <definedName name="E_SECTION_EQTY_200014750_1319">#REF!</definedName>
    <definedName name="E_SECTION_EQTY_200014750_131E">#REF!</definedName>
    <definedName name="E_SECTION_EQTY_200014750_131O">#REF!</definedName>
    <definedName name="E_SECTION_EQTY_200014750_13A">#REF!</definedName>
    <definedName name="E_SECTION_EQTY_200014750_13K">#REF!</definedName>
    <definedName name="E_SECTION_EQTY_200014750_13U">#REF!</definedName>
    <definedName name="E_SECTION_EQTY_200014750_13V">#REF!</definedName>
    <definedName name="E_SECTION_EQTY_200014750_13W">#REF!</definedName>
    <definedName name="E_SECTION_EQTY_200014750_Reference_Data">#REF!</definedName>
    <definedName name="E_SECTION_ISSR_208000603_1314">#REF!</definedName>
    <definedName name="E_SECTION_ISSR_208000603_13168">#REF!</definedName>
    <definedName name="E_SECTION_ISSR_208000603_1319">#REF!</definedName>
    <definedName name="E_SECTION_ISSR_208000603_131E">#REF!</definedName>
    <definedName name="E_SECTION_ISSR_208000603_131J">#REF!</definedName>
    <definedName name="E_SECTION_ISSR_208000603_131O">#REF!</definedName>
    <definedName name="E_SECTION_ISSR_208000603_131P">#REF!</definedName>
    <definedName name="E_SECTION_ISSR_208000603_13A">#REF!</definedName>
    <definedName name="E_SECTION_ISSR_208000603_13U">#REF!</definedName>
    <definedName name="E_SECTION_ISSR_208000603_13V">#REF!</definedName>
    <definedName name="E_SECTION_ISSR_208000603_Reference_Data">#REF!</definedName>
    <definedName name="E_SECTION_ISSR_208000976_1314">#REF!</definedName>
    <definedName name="E_SECTION_ISSR_208000976_13168">#REF!</definedName>
    <definedName name="E_SECTION_ISSR_208000976_1316T">#REF!</definedName>
    <definedName name="E_SECTION_ISSR_208000976_1316U">#REF!</definedName>
    <definedName name="E_SECTION_ISSR_208000976_1319">#REF!</definedName>
    <definedName name="E_SECTION_ISSR_208000976_131E">#REF!</definedName>
    <definedName name="E_SECTION_ISSR_208000976_131J">#REF!</definedName>
    <definedName name="E_SECTION_ISSR_208000976_131O">#REF!</definedName>
    <definedName name="E_SECTION_ISSR_208000976_13A">#REF!</definedName>
    <definedName name="E_SECTION_ISSR_208000976_13U">#REF!</definedName>
    <definedName name="E_SECTION_ISSR_208000976_13V">#REF!</definedName>
    <definedName name="E_SECTION_ISSR_208000976_Reference_Data">#REF!</definedName>
    <definedName name="E_SECTION_ISSR_208001258_1314">#REF!</definedName>
    <definedName name="E_SECTION_ISSR_208001258_13168">#REF!</definedName>
    <definedName name="E_SECTION_ISSR_208001258_1316T">#REF!</definedName>
    <definedName name="E_SECTION_ISSR_208001258_1316U">#REF!</definedName>
    <definedName name="E_SECTION_ISSR_208001258_1319">#REF!</definedName>
    <definedName name="E_SECTION_ISSR_208001258_131E">#REF!</definedName>
    <definedName name="E_SECTION_ISSR_208001258_131J">#REF!</definedName>
    <definedName name="E_SECTION_ISSR_208001258_131O">#REF!</definedName>
    <definedName name="E_SECTION_ISSR_208001258_13A">#REF!</definedName>
    <definedName name="E_SECTION_ISSR_208001258_13U">#REF!</definedName>
    <definedName name="E_SECTION_ISSR_208001258_13V">#REF!</definedName>
    <definedName name="E_SECTION_ISSR_208001258_Reference_Data">#REF!</definedName>
    <definedName name="E_SECTION_ISSR_208009722_1314">#REF!</definedName>
    <definedName name="E_SECTION_ISSR_208009722_13168">#REF!</definedName>
    <definedName name="E_SECTION_ISSR_208009722_1319">#REF!</definedName>
    <definedName name="E_SECTION_ISSR_208009722_131E">#REF!</definedName>
    <definedName name="E_SECTION_ISSR_208009722_131J">#REF!</definedName>
    <definedName name="E_SECTION_ISSR_208009722_131O">#REF!</definedName>
    <definedName name="E_SECTION_ISSR_208009722_13A">#REF!</definedName>
    <definedName name="E_SECTION_ISSR_208009722_13U">#REF!</definedName>
    <definedName name="E_SECTION_ISSR_208009722_13V">#REF!</definedName>
    <definedName name="E_SECTION_ISSR_208009722_Reference_Data">#REF!</definedName>
    <definedName name="E_SECTION_ISSR_208011556_1314">#REF!</definedName>
    <definedName name="E_SECTION_ISSR_208011556_13168">#REF!</definedName>
    <definedName name="E_SECTION_ISSR_208011556_1316T">#REF!</definedName>
    <definedName name="E_SECTION_ISSR_208011556_1316U">#REF!</definedName>
    <definedName name="E_SECTION_ISSR_208011556_1319">#REF!</definedName>
    <definedName name="E_SECTION_ISSR_208011556_131E">#REF!</definedName>
    <definedName name="E_SECTION_ISSR_208011556_131J">#REF!</definedName>
    <definedName name="E_SECTION_ISSR_208011556_131O">#REF!</definedName>
    <definedName name="E_SECTION_ISSR_208011556_13A">#REF!</definedName>
    <definedName name="E_SECTION_ISSR_208011556_13U">#REF!</definedName>
    <definedName name="E_SECTION_ISSR_208011556_13V">#REF!</definedName>
    <definedName name="E_SECTION_ISSR_208011556_Reference_Data">#REF!</definedName>
    <definedName name="earn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easternprice">#REF!</definedName>
    <definedName name="easternshares">#REF!</definedName>
    <definedName name="EBIT">#REF!</definedName>
    <definedName name="EBIT_fore">#REF!</definedName>
    <definedName name="EBIT_growth">#REF!</definedName>
    <definedName name="EBIT_Lit03">#REF!</definedName>
    <definedName name="EBIT_margin">#REF!</definedName>
    <definedName name="EBIT_margin_fore">#REF!</definedName>
    <definedName name="ebit_pretelstra">#REF!</definedName>
    <definedName name="EBIT00">#REF!</definedName>
    <definedName name="EBIT01">#REF!</definedName>
    <definedName name="EBIT02">#REF!</definedName>
    <definedName name="EBIT03">#REF!</definedName>
    <definedName name="EBIT04">#REF!</definedName>
    <definedName name="EBIT1997">#REF!</definedName>
    <definedName name="EBIT1998">#REF!</definedName>
    <definedName name="EBIT1999">#REF!</definedName>
    <definedName name="EBIT2000">#REF!</definedName>
    <definedName name="EBIT2001">#REF!</definedName>
    <definedName name="EBIT95">#REF!</definedName>
    <definedName name="EBIT96">#REF!</definedName>
    <definedName name="EBIT97">#REF!</definedName>
    <definedName name="EBIT98">#REF!</definedName>
    <definedName name="EBIT99">#REF!</definedName>
    <definedName name="EBITA">#REF!</definedName>
    <definedName name="EBITA_fore">#REF!</definedName>
    <definedName name="EBITDA">#REF!</definedName>
    <definedName name="EBITDA_DCF">#REF!</definedName>
    <definedName name="EBITDA_fore">#REF!</definedName>
    <definedName name="EBITDA_growth">#REF!</definedName>
    <definedName name="EBITDA_growth_avg">#REF!</definedName>
    <definedName name="EBITDA_margin">#REF!</definedName>
    <definedName name="EBITDA_margin_fore">#REF!</definedName>
    <definedName name="ebitda_pretelstra">#REF!</definedName>
    <definedName name="EBITDA_Share">#REF!</definedName>
    <definedName name="ebitda00">#REF!</definedName>
    <definedName name="EBITDA01">#REF!</definedName>
    <definedName name="EBITDA02">#REF!</definedName>
    <definedName name="EBITDA1997">#REF!</definedName>
    <definedName name="EBITDA1998">#REF!</definedName>
    <definedName name="EBITDA1999">#REF!</definedName>
    <definedName name="EBITDA2000">#REF!</definedName>
    <definedName name="EBITDA2001">#REF!</definedName>
    <definedName name="EBITDA2002">#REF!</definedName>
    <definedName name="EBITDA2003">#REF!</definedName>
    <definedName name="EBITDA2004">#REF!</definedName>
    <definedName name="ebitda96">#REF!</definedName>
    <definedName name="ebitda97">#REF!</definedName>
    <definedName name="ebitda98">#REF!</definedName>
    <definedName name="ebitda99">#REF!</definedName>
    <definedName name="EBITDAAAPR1997">#REF!</definedName>
    <definedName name="EBITDAAAPR1998">#REF!</definedName>
    <definedName name="EBITDAAAPR1999">#REF!</definedName>
    <definedName name="EBITDAAAPR2000">#REF!</definedName>
    <definedName name="EBITDAAAPR2001">#REF!</definedName>
    <definedName name="EBITDALit03">#REF!</definedName>
    <definedName name="EBITDALit04">#REF!</definedName>
    <definedName name="ebitdaps00">#REF!</definedName>
    <definedName name="ebitdaps98">#REF!</definedName>
    <definedName name="ebitdaps99">#REF!</definedName>
    <definedName name="EBITSENS">#REF!</definedName>
    <definedName name="ecilcurr">#REF!</definedName>
    <definedName name="ecilcurrffq">#REF!</definedName>
    <definedName name="ecilpegrelavg">#REF!</definedName>
    <definedName name="ecilpegrelcurr">#REF!</definedName>
    <definedName name="ecilpegrowthavg">#REF!</definedName>
    <definedName name="ecilpegrowthcurr">#REF!</definedName>
    <definedName name="Economic_profit">#REF!</definedName>
    <definedName name="Economic_profit_dcf">#REF!</definedName>
    <definedName name="Economic_profit_DCF_2">#REF!</definedName>
    <definedName name="Economic_profit2">#REF!</definedName>
    <definedName name="effective_tax">#REF!</definedName>
    <definedName name="Effective_tax_rate">#REF!</definedName>
    <definedName name="effodd" hidden="1">{"'Standalone List Price Trends'!$A$1:$X$56"}</definedName>
    <definedName name="EG_DPS">#REF!</definedName>
    <definedName name="EG_Net_Profit">#REF!</definedName>
    <definedName name="ElDato">#REF!</definedName>
    <definedName name="elim_perc">#REF!</definedName>
    <definedName name="elxis">#REF!</definedName>
    <definedName name="EMC">#REF!</definedName>
    <definedName name="employee">#REF!</definedName>
    <definedName name="Employees">#REF!</definedName>
    <definedName name="EndDate">#REF!</definedName>
    <definedName name="EndYear">#REF!</definedName>
    <definedName name="ENI_Pivot_SMCD">#REF!</definedName>
    <definedName name="ENI_Pivot_SMR">#REF!</definedName>
    <definedName name="ent">#REF!</definedName>
    <definedName name="enterprise">#REF!</definedName>
    <definedName name="ENTERPRISEASP">#REF!</definedName>
    <definedName name="ENTERPRISEREV">#REF!</definedName>
    <definedName name="ENTERPRISESHIP.">#REF!</definedName>
    <definedName name="EPIC">#REF!</definedName>
    <definedName name="EPS">#REF!</definedName>
    <definedName name="EPS_Curr_Qtr">#REF!</definedName>
    <definedName name="EPS_Curr_Yr">#REF!</definedName>
    <definedName name="EPS_ex_exceptionals_pretelstra">#REF!</definedName>
    <definedName name="eps_fiscal_yr_change_comment">#REF!</definedName>
    <definedName name="eps_growth">#REF!</definedName>
    <definedName name="EPS_growth_avg">#REF!</definedName>
    <definedName name="EPS_Growth_Rate">#REF!</definedName>
    <definedName name="eps_grwth97">#REF!</definedName>
    <definedName name="EPS_grwth98">#REF!</definedName>
    <definedName name="EPS_lastactual98">#REF!</definedName>
    <definedName name="EPS_Lit03">#REF!</definedName>
    <definedName name="EPS_Lit04">#REF!</definedName>
    <definedName name="EPS_Lst_Yr">#REF!</definedName>
    <definedName name="EPS_Next_Yr">#REF!</definedName>
    <definedName name="EPS_Qtr_Date">#REF!</definedName>
    <definedName name="eps_row1">#REF!</definedName>
    <definedName name="eps_row2">#REF!</definedName>
    <definedName name="eps_row3">#REF!</definedName>
    <definedName name="EPS00">#REF!</definedName>
    <definedName name="EPSCY00">#REF!</definedName>
    <definedName name="EPSCY01">#REF!</definedName>
    <definedName name="EPSCY02">#REF!</definedName>
    <definedName name="EPSCY03">#REF!</definedName>
    <definedName name="EPSCY99">#REF!</definedName>
    <definedName name="EPSEuro01">#REF!</definedName>
    <definedName name="EPSEuro02">#REF!</definedName>
    <definedName name="epsffq">#REF!</definedName>
    <definedName name="epsffqch">#REF!</definedName>
    <definedName name="epsffqgr">#REF!</definedName>
    <definedName name="EPSFY0">#REF!</definedName>
    <definedName name="EPSFY1">#REF!</definedName>
    <definedName name="EPSNTM">#REF!</definedName>
    <definedName name="EPSNTM3">#REF!</definedName>
    <definedName name="Epson">#REF!</definedName>
    <definedName name="EPSQ195">#REF!</definedName>
    <definedName name="EPSQ196">#REF!</definedName>
    <definedName name="EPSQ197">#REF!</definedName>
    <definedName name="EPSQ295">#REF!</definedName>
    <definedName name="EPSQ296">#REF!</definedName>
    <definedName name="EPSQ297">#REF!</definedName>
    <definedName name="EPSQ395">#REF!</definedName>
    <definedName name="EPSQ396">#REF!</definedName>
    <definedName name="EPSQ397">#REF!</definedName>
    <definedName name="EPSQ495">#REF!</definedName>
    <definedName name="EPSQ496">#REF!</definedName>
    <definedName name="EPSQ497">#REF!</definedName>
    <definedName name="EPSTable">#REF!</definedName>
    <definedName name="EqtyConsolAssets">#REF!</definedName>
    <definedName name="Equipment">#REF!</definedName>
    <definedName name="equity">#REF!</definedName>
    <definedName name="equity_cons">#REF!</definedName>
    <definedName name="Equity_Equivalents">#REF!</definedName>
    <definedName name="Equity_In_Affiliates">#REF!</definedName>
    <definedName name="Equity_risk_premium">#REF!</definedName>
    <definedName name="Equity_Ticker">#REF!</definedName>
    <definedName name="eqv">#REF!</definedName>
    <definedName name="eqv_ord">#REF!</definedName>
    <definedName name="eqv_sav">#REF!</definedName>
    <definedName name="ericycurr">#REF!</definedName>
    <definedName name="ericycurrffq">#REF!</definedName>
    <definedName name="ericypegrelavg">#REF!</definedName>
    <definedName name="ericypegrelcurr">#REF!</definedName>
    <definedName name="ericypegrowthavg">#REF!</definedName>
    <definedName name="ericypegrowthcurr">#REF!</definedName>
    <definedName name="ERP">#REF!</definedName>
    <definedName name="Errorline">#REF!</definedName>
    <definedName name="ESG">#REF!</definedName>
    <definedName name="ESO_MARGINAL_TAX_RATE">#REF!</definedName>
    <definedName name="ESO_TAX_RATE">#REF!</definedName>
    <definedName name="ESO_TAX_RATE_old">#REF!</definedName>
    <definedName name="EstRef">#REF!</definedName>
    <definedName name="etekcurr">#REF!</definedName>
    <definedName name="etekdown">#REF!</definedName>
    <definedName name="etekdownsup">#REF!</definedName>
    <definedName name="etekeps99">#REF!</definedName>
    <definedName name="etekfy1cons">#REF!</definedName>
    <definedName name="etekfy2cons">#REF!</definedName>
    <definedName name="etekhi">#REF!</definedName>
    <definedName name="etekhilo">#REF!</definedName>
    <definedName name="eteklow">#REF!</definedName>
    <definedName name="etekmktcap">#REF!</definedName>
    <definedName name="etekpegrowthavg">#REF!</definedName>
    <definedName name="etekpegrowthcurr">#REF!</definedName>
    <definedName name="etekpegrowthhi">#REF!</definedName>
    <definedName name="etekpegrowthlow">#REF!</definedName>
    <definedName name="etekprice">#REF!</definedName>
    <definedName name="etekrpe">#REF!</definedName>
    <definedName name="etekshares">#REF!</definedName>
    <definedName name="etektprice">#REF!</definedName>
    <definedName name="etekttmavg">#REF!</definedName>
    <definedName name="etekttmcurr">#REF!</definedName>
    <definedName name="etekttmhi">#REF!</definedName>
    <definedName name="etekttmlow">#REF!</definedName>
    <definedName name="etekttmrelavg">#REF!</definedName>
    <definedName name="etekttmrelcurr">#REF!</definedName>
    <definedName name="etekttmrelhi">#REF!</definedName>
    <definedName name="etekttmrellow">#REF!</definedName>
    <definedName name="etekup">#REF!</definedName>
    <definedName name="etekupsup">#REF!</definedName>
    <definedName name="etekvol">#REF!</definedName>
    <definedName name="etekyield">#REF!</definedName>
    <definedName name="euro">#REF!</definedName>
    <definedName name="EURO_AdjustedEV">#REF!</definedName>
    <definedName name="EURO_AssociatesMinorities">#REF!</definedName>
    <definedName name="EURO_Find">#REF!</definedName>
    <definedName name="EURO_UnleveredFCF">#REF!</definedName>
    <definedName name="European_Revenues">#REF!</definedName>
    <definedName name="europta">#REF!</definedName>
    <definedName name="ev">#REF!</definedName>
    <definedName name="ev.Calculation" hidden="1">-4105</definedName>
    <definedName name="ev.Initialized" hidden="1">FALSE</definedName>
    <definedName name="ev_euro">#REF!</definedName>
    <definedName name="EVCE" hidden="1">{#N/A,#N/A,FALSE,"Output";#N/A,#N/A,FALSE,"Cover Sheet";#N/A,#N/A,FALSE,"Current Mkt. Projections"}</definedName>
    <definedName name="Event_Type">#REF!</definedName>
    <definedName name="Ever">#REF!</definedName>
    <definedName name="eveuro">#REF!</definedName>
    <definedName name="EVs" hidden="1">{#N/A,#N/A,FALSE,"Output";#N/A,#N/A,FALSE,"Cover Sheet";#N/A,#N/A,FALSE,"Current Mkt. Projections"}</definedName>
    <definedName name="EVtoSvROCE" hidden="1">{#N/A,#N/A,FALSE,"Output";#N/A,#N/A,FALSE,"Cover Sheet";#N/A,#N/A,FALSE,"Current Mkt. Projections"}</definedName>
    <definedName name="EXACT">#REF!</definedName>
    <definedName name="ExcelPath">#N/A</definedName>
    <definedName name="Exceptionals">#REF!</definedName>
    <definedName name="Excess_cash">#REF!</definedName>
    <definedName name="exch">#REF!</definedName>
    <definedName name="Exchange">#REF!</definedName>
    <definedName name="exchange_code">#REF!</definedName>
    <definedName name="exchK">#REF!</definedName>
    <definedName name="exchQ">#REF!</definedName>
    <definedName name="exchQ1">#REF!</definedName>
    <definedName name="EXERCISE_WEIGHTING">#REF!</definedName>
    <definedName name="Expected_Life">#REF!</definedName>
    <definedName name="Expected_Volatility">#REF!</definedName>
    <definedName name="Expl_forecast_10th_yr">#REF!</definedName>
    <definedName name="Expl_forecast_1st_yr">#REF!</definedName>
    <definedName name="Expl_forecast_2nd_yr">#REF!</definedName>
    <definedName name="Expl_forecast_3rd_yr">#REF!</definedName>
    <definedName name="Expl_forecast_4th_yr">#REF!</definedName>
    <definedName name="Expl_forecast_5th_yr">#REF!</definedName>
    <definedName name="Expl_forecast_6th_yr">#REF!</definedName>
    <definedName name="Expl_forecast_7th_yr">#REF!</definedName>
    <definedName name="Expl_forecast_8th_yr">#REF!</definedName>
    <definedName name="Expl_forecast_9th_yr">#REF!</definedName>
    <definedName name="export">#REF!</definedName>
    <definedName name="export1">#REF!</definedName>
    <definedName name="export2">#REF!</definedName>
    <definedName name="export3">#REF!</definedName>
    <definedName name="exrate">#REF!</definedName>
    <definedName name="External_Storage">#REF!</definedName>
    <definedName name="ExternalNotes.REV">#REF!</definedName>
    <definedName name="Extraordinary_Or_Unusual_Items">#REF!</definedName>
    <definedName name="extras">#REF!</definedName>
    <definedName name="extravg">#REF!</definedName>
    <definedName name="extravgffq">#REF!</definedName>
    <definedName name="extrchg">#REF!</definedName>
    <definedName name="extrcurr">#REF!</definedName>
    <definedName name="extrcurrffq">#REF!</definedName>
    <definedName name="extrpegrelavg">#REF!</definedName>
    <definedName name="extrpegrelcurr">#REF!</definedName>
    <definedName name="extrpegrowthavg">#REF!</definedName>
    <definedName name="extrpegrowthcurr">#REF!</definedName>
    <definedName name="f" hidden="1">{"IS",#N/A,FALSE,"IS";"RPTIS",#N/A,FALSE,"RPTIS";"STATS",#N/A,FALSE,"STATS";"CELL",#N/A,FALSE,"CELL";"BS",#N/A,FALSE,"BS"}</definedName>
    <definedName name="F.1990.01">#REF!</definedName>
    <definedName name="F.1991.01">#REF!</definedName>
    <definedName name="F.1992.01">#REF!</definedName>
    <definedName name="F.1993.01">#REF!</definedName>
    <definedName name="F.1994.01">#REF!</definedName>
    <definedName name="F.1995.01">#REF!</definedName>
    <definedName name="F.1996.01">#REF!</definedName>
    <definedName name="F.1997.01">#REF!</definedName>
    <definedName name="F.1998.01">#REF!</definedName>
    <definedName name="F.1999.01">#REF!</definedName>
    <definedName name="F.2000.01">#REF!</definedName>
    <definedName name="F.2001.01">#REF!</definedName>
    <definedName name="F.2002.01">#REF!</definedName>
    <definedName name="F.2003.01">#REF!</definedName>
    <definedName name="F.2004.01">#REF!</definedName>
    <definedName name="F.2005.01">#REF!</definedName>
    <definedName name="F.2006.01">#REF!</definedName>
    <definedName name="F.2007.01">#REF!</definedName>
    <definedName name="F.2007.12">#REF!</definedName>
    <definedName name="F.2008.07">#REF!</definedName>
    <definedName name="F.2008.09">#REF!</definedName>
    <definedName name="F.2008.11">#REF!</definedName>
    <definedName name="F.2008.12">#REF!</definedName>
    <definedName name="F.2009.01">#REF!</definedName>
    <definedName name="F.2009.03">#REF!</definedName>
    <definedName name="F.2009.05">#REF!</definedName>
    <definedName name="F.2009.06">#REF!</definedName>
    <definedName name="F.2009.07">#REF!</definedName>
    <definedName name="F.2009.09">#REF!</definedName>
    <definedName name="F.2009.11">#REF!</definedName>
    <definedName name="F.2009.12">#REF!</definedName>
    <definedName name="F.2010.01">#REF!</definedName>
    <definedName name="F.2010.05">#REF!</definedName>
    <definedName name="F.2010.06">#REF!</definedName>
    <definedName name="F.2010.09">#REF!</definedName>
    <definedName name="F.2010.10">#REF!</definedName>
    <definedName name="F.2010.11">#REF!</definedName>
    <definedName name="F.2010.12">#REF!</definedName>
    <definedName name="F.2011.01">#REF!</definedName>
    <definedName name="F.2011.05">#REF!</definedName>
    <definedName name="F.2011.06">#REF!</definedName>
    <definedName name="F.2011.10">#REF!</definedName>
    <definedName name="F.2011.11">#REF!</definedName>
    <definedName name="F.2011.12">#REF!</definedName>
    <definedName name="F.2012.01">#REF!</definedName>
    <definedName name="F.2012.05">#REF!</definedName>
    <definedName name="F.2012.06">#REF!</definedName>
    <definedName name="F.2012.10">#REF!</definedName>
    <definedName name="F.2012.11">#REF!</definedName>
    <definedName name="F.2012.12">#REF!</definedName>
    <definedName name="F.2013.01">#REF!</definedName>
    <definedName name="F.2013.05">#REF!</definedName>
    <definedName name="F.2013.06">#REF!</definedName>
    <definedName name="F.2013.10">#REF!</definedName>
    <definedName name="F.2013.11">#REF!</definedName>
    <definedName name="F.2013.12">#REF!</definedName>
    <definedName name="F.2014.01">#REF!</definedName>
    <definedName name="F.2014.05">#REF!</definedName>
    <definedName name="F.2014.06">#REF!</definedName>
    <definedName name="F.2014.10">#REF!</definedName>
    <definedName name="F.2014.11">#REF!</definedName>
    <definedName name="F_AFLCFM1">#REF!</definedName>
    <definedName name="F_AFLCFM2">#REF!</definedName>
    <definedName name="F_AFLPEM3">#REF!</definedName>
    <definedName name="F_AFLPEM4">#REF!</definedName>
    <definedName name="F_AFLPEMb">#REF!</definedName>
    <definedName name="F_AFLSD1">#REF!</definedName>
    <definedName name="F_AFLSD2">#REF!</definedName>
    <definedName name="F_Book_value_per_share">#REF!</definedName>
    <definedName name="FAMERange1MonthPC16">#REF!</definedName>
    <definedName name="FAMERangeDJ_BALAL28">#REF!</definedName>
    <definedName name="FAMERangeDJ_BALAM28">#REF!</definedName>
    <definedName name="FAMERangeDJ_BALAN28">#REF!</definedName>
    <definedName name="FAMERangeEPSB54">#REF!</definedName>
    <definedName name="FAMERangeGCI_BALD62">#REF!</definedName>
    <definedName name="FAMERangeGCI_BALD63">#REF!</definedName>
    <definedName name="FAMERangeGCI_ISD88">#REF!</definedName>
    <definedName name="FAMERangeKRI_BALAL99">#REF!</definedName>
    <definedName name="FAMERangeKRI_BALAM99">#REF!</definedName>
    <definedName name="FAMERangeKRI_BALAN99">#REF!</definedName>
    <definedName name="FAMERangeMonthly_DownloadB5">#REF!</definedName>
    <definedName name="FAMERangeMonthly_DownloadD5">#REF!</definedName>
    <definedName name="FAMERangeraw_dataB36">#REF!</definedName>
    <definedName name="FAMERangeraw_dataB37">#REF!</definedName>
    <definedName name="FAMERangeraw_dataB38">#REF!</definedName>
    <definedName name="FAMERangeraw_dataB39">#REF!</definedName>
    <definedName name="FAMERangeraw_dataB40">#REF!</definedName>
    <definedName name="FAMERangeraw_dataB45">#REF!</definedName>
    <definedName name="FAMERangeraw_dataB51">#REF!</definedName>
    <definedName name="FAMERangeraw_dataB52">#REF!</definedName>
    <definedName name="FAMERangeraw_dataB54">#REF!</definedName>
    <definedName name="FAMERangeraw_dataB55">#REF!</definedName>
    <definedName name="FAMERangeraw_dataB57">#REF!</definedName>
    <definedName name="FAMERangeraw_dataB58">#REF!</definedName>
    <definedName name="FAMERangeraw_dataB59">#REF!</definedName>
    <definedName name="FAMERangeraw_dataB60">#REF!</definedName>
    <definedName name="FAMERangeraw_dataB62">#REF!</definedName>
    <definedName name="FAMERangeraw_dataB63">#REF!</definedName>
    <definedName name="FAMERangeraw_dataB64">#REF!</definedName>
    <definedName name="FAMERangeraw_dataB65">#REF!</definedName>
    <definedName name="FAMERangeraw_dataB68">#REF!</definedName>
    <definedName name="FAMERangeraw_dataC34">#REF!</definedName>
    <definedName name="FAMERangeraw_dataC44">#REF!</definedName>
    <definedName name="FAMERangeraw_dataC45">#REF!</definedName>
    <definedName name="FAMERangeraw_dataC51">#REF!</definedName>
    <definedName name="FAMERangeraw_dataC52">#REF!</definedName>
    <definedName name="FAMERangeraw_dataC54">#REF!</definedName>
    <definedName name="FAMERangeraw_dataC55">#REF!</definedName>
    <definedName name="FAMERangeraw_dataC57">#REF!</definedName>
    <definedName name="FAMERangeraw_dataC58">#REF!</definedName>
    <definedName name="FAMERangeraw_dataC59">#REF!</definedName>
    <definedName name="FAMERangeraw_dataC60">#REF!</definedName>
    <definedName name="FAMERangeraw_dataC62">#REF!</definedName>
    <definedName name="FAMERangeraw_dataC63">#REF!</definedName>
    <definedName name="FAMERangeraw_dataC71">#REF!</definedName>
    <definedName name="FAMERangeraw_dataD34">#REF!</definedName>
    <definedName name="FAMERangeraw_dataD44">#REF!</definedName>
    <definedName name="FAMERangeraw_dataD45">#REF!</definedName>
    <definedName name="FAMERangeraw_dataD62">#REF!</definedName>
    <definedName name="FAMERangeraw_dataD71">#REF!</definedName>
    <definedName name="FAMERangeraw_dataE44">#REF!</definedName>
    <definedName name="FAMERangeraw_dataE45">#REF!</definedName>
    <definedName name="FAMERangeraw_dataE63">#REF!</definedName>
    <definedName name="FAMERangeraw_dataE64">#REF!</definedName>
    <definedName name="FAMERangeraw_dataE65">#REF!</definedName>
    <definedName name="FAMERangeraw_dataE71">#REF!</definedName>
    <definedName name="FAMERangeraw_dataG40">#REF!</definedName>
    <definedName name="FAMERangeraw_dataG41">#REF!</definedName>
    <definedName name="FAMERangeraw_dataH40">#REF!</definedName>
    <definedName name="FAMERangeraw_dataH41">#REF!</definedName>
    <definedName name="FAMERangeraw_dataI40">#REF!</definedName>
    <definedName name="FAMERangeROEBVEPSC4">#REF!</definedName>
    <definedName name="FAMERangeSheet2B2">#REF!</definedName>
    <definedName name="FAMERangeSheet2C2">#REF!</definedName>
    <definedName name="FAMERangeSheet2D2">#REF!</definedName>
    <definedName name="FAMERangeValuationC8">#REF!</definedName>
    <definedName name="FAMERangeValuationO13">#REF!</definedName>
    <definedName name="FAMERangeValuationS13">#REF!</definedName>
    <definedName name="FAMERangeYTD_PriceD16">#REF!</definedName>
    <definedName name="Fax">#REF!</definedName>
    <definedName name="fcc00">#REF!</definedName>
    <definedName name="FCCY01">#REF!</definedName>
    <definedName name="FCCY02">#REF!</definedName>
    <definedName name="FCCY03">#REF!</definedName>
    <definedName name="FCF">#REF!</definedName>
    <definedName name="fcfps00">#REF!</definedName>
    <definedName name="fcfps96">#REF!</definedName>
    <definedName name="fcfps97">#REF!</definedName>
    <definedName name="fcfps98">#REF!</definedName>
    <definedName name="fcfps99">#REF!</definedName>
    <definedName name="FCHBA">#REF!</definedName>
    <definedName name="FCHBA_Mode">#REF!</definedName>
    <definedName name="fd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fdryavg">#REF!</definedName>
    <definedName name="fdryavgffq">#REF!</definedName>
    <definedName name="fdrychg">#REF!</definedName>
    <definedName name="fdrycurr">#REF!</definedName>
    <definedName name="fdrycurrffq">#REF!</definedName>
    <definedName name="fdrypegrelavg">#REF!</definedName>
    <definedName name="fdrypegrelcurr">#REF!</definedName>
    <definedName name="fdrypegrowthavg">#REF!</definedName>
    <definedName name="fdrypegrowthcurr">#REF!</definedName>
    <definedName name="fdryshares">#REF!</definedName>
    <definedName name="fdsa" hidden="1">{"'Standalone List Price Trends'!$A$1:$X$56"}</definedName>
    <definedName name="fdso">#REF!</definedName>
    <definedName name="fee_rev_06">#REF!</definedName>
    <definedName name="fffffffffff" hidden="1">{"'Standalone List Price Trends'!$A$1:$X$56"}</definedName>
    <definedName name="fiber_upgrade">#REF!</definedName>
    <definedName name="field_headings">#REF!</definedName>
    <definedName name="figures">#REF!</definedName>
    <definedName name="FileLocation">#REF!</definedName>
    <definedName name="FilingPriceIncrement">#REF!</definedName>
    <definedName name="Fin_Const_Costs">#REF!</definedName>
    <definedName name="financial_data">#REF!</definedName>
    <definedName name="financial_data2">#REF!</definedName>
    <definedName name="financial_data3">#REF!</definedName>
    <definedName name="financial_data4">#REF!</definedName>
    <definedName name="FinancialData">#REF!</definedName>
    <definedName name="FINCopyDirection">1</definedName>
    <definedName name="FINCriteriaRange">#REF!</definedName>
    <definedName name="FINCriteriaType">1</definedName>
    <definedName name="FINExtractRange">#REF!</definedName>
    <definedName name="Finish">#REF!</definedName>
    <definedName name="FINOptions">"0,0,1,1,1,0,0,-1,0,0,2,0,"</definedName>
    <definedName name="FirstCall">#REF!</definedName>
    <definedName name="FirstSummaryQuarter">#REF!</definedName>
    <definedName name="FirstYear">#REF!</definedName>
    <definedName name="five_year_growth">#REF!</definedName>
    <definedName name="fixed">#REF!</definedName>
    <definedName name="Fixed_asset_turns">#REF!</definedName>
    <definedName name="Fixed_asset_turns_DCF">#REF!</definedName>
    <definedName name="Fixed_asset_turns_fore">#REF!</definedName>
    <definedName name="Fixed_assets">#REF!</definedName>
    <definedName name="Fixed_assets_DCF">#REF!</definedName>
    <definedName name="flexchg">#REF!</definedName>
    <definedName name="flexcrpe">#REF!</definedName>
    <definedName name="flexcurr">#REF!</definedName>
    <definedName name="flexdate">#REF!</definedName>
    <definedName name="flexdown">#REF!</definedName>
    <definedName name="flexdownsup">#REF!</definedName>
    <definedName name="flexeps99">#REF!</definedName>
    <definedName name="flexfy1cons">#REF!</definedName>
    <definedName name="flexfy2cons">#REF!</definedName>
    <definedName name="flexhi">#REF!</definedName>
    <definedName name="flexhilo">#REF!</definedName>
    <definedName name="flexlow">#REF!</definedName>
    <definedName name="flexmax">#REF!</definedName>
    <definedName name="flexmin">#REF!</definedName>
    <definedName name="flexmktcap">#REF!</definedName>
    <definedName name="flexpegrowthavg">#REF!</definedName>
    <definedName name="flexpegrowthcurr">#REF!</definedName>
    <definedName name="flexpegrowthhi">#REF!</definedName>
    <definedName name="flexpegrowthlow">#REF!</definedName>
    <definedName name="flexprice">#REF!</definedName>
    <definedName name="flexrpe">#REF!</definedName>
    <definedName name="flexshares">#REF!</definedName>
    <definedName name="flextprice">#REF!</definedName>
    <definedName name="flexttmavg">#REF!</definedName>
    <definedName name="flexttmcurr">#REF!</definedName>
    <definedName name="flexttmhi">#REF!</definedName>
    <definedName name="flexttmlow">#REF!</definedName>
    <definedName name="flexttmrelavg">#REF!</definedName>
    <definedName name="flexttmrelcurr">#REF!</definedName>
    <definedName name="flexttmrelhi">#REF!</definedName>
    <definedName name="flexttmrellow">#REF!</definedName>
    <definedName name="flexup">#REF!</definedName>
    <definedName name="flexupsup">#REF!</definedName>
    <definedName name="flexvol">#REF!</definedName>
    <definedName name="flexyield">#REF!</definedName>
    <definedName name="flows">#REF!</definedName>
    <definedName name="footnote">#REF!</definedName>
    <definedName name="ForcePrice">#REF!</definedName>
    <definedName name="Forecast__IT_Services_with_Currency_Converter__2013_2019__Millions_of_U.S._Dollars">#REF!</definedName>
    <definedName name="Forex_Adjustment">#REF!</definedName>
    <definedName name="FQE_range">#REF!</definedName>
    <definedName name="fratios">#REF!</definedName>
    <definedName name="frcfnetinc">#REF!</definedName>
    <definedName name="free">#REF!</definedName>
    <definedName name="Free_Cash_Flow">#REF!</definedName>
    <definedName name="FRF_X">#REF!</definedName>
    <definedName name="Fujitsu">#REF!</definedName>
    <definedName name="fwd2axe">#REF!</definedName>
    <definedName name="fwd2bwc">#REF!</definedName>
    <definedName name="fwd2cdt">#REF!</definedName>
    <definedName name="fwd2cien">#REF!</definedName>
    <definedName name="fwd2cls">#REF!</definedName>
    <definedName name="fwd2etek">#REF!</definedName>
    <definedName name="fwd2glw">#REF!</definedName>
    <definedName name="fwd2jds">#REF!</definedName>
    <definedName name="fwd2jdsu">#REF!</definedName>
    <definedName name="fwd2knt">#REF!</definedName>
    <definedName name="fwd2molx">#REF!</definedName>
    <definedName name="fwd2oak">#REF!</definedName>
    <definedName name="fwd2sanm">#REF!</definedName>
    <definedName name="fwd2scmr">#REF!</definedName>
    <definedName name="fwd2sdli">#REF!</definedName>
    <definedName name="fwd2unph">#REF!</definedName>
    <definedName name="fwd2vsh">#REF!</definedName>
    <definedName name="fwdebitda">#REF!</definedName>
    <definedName name="fwdebitdagr">#REF!</definedName>
    <definedName name="fwdebitdaps">#REF!</definedName>
    <definedName name="fwdfrcf">#REF!</definedName>
    <definedName name="fwdfrcfch">#REF!</definedName>
    <definedName name="fwdfrcfmktcap">#REF!</definedName>
    <definedName name="fwdfrcfpct">#REF!</definedName>
    <definedName name="fwdfrcfps">#REF!</definedName>
    <definedName name="fx">120</definedName>
    <definedName name="FX_Gains">#REF!</definedName>
    <definedName name="FXRate">#REF!</definedName>
    <definedName name="fy.00">#REF!</definedName>
    <definedName name="fy.01">#REF!</definedName>
    <definedName name="fy.02">#REF!</definedName>
    <definedName name="fy.95">#REF!</definedName>
    <definedName name="fy.96">#REF!</definedName>
    <definedName name="fy.97">#REF!</definedName>
    <definedName name="fy.98">#REF!</definedName>
    <definedName name="fy.99">#REF!</definedName>
    <definedName name="fy_00">#REF!</definedName>
    <definedName name="fy_01">#REF!</definedName>
    <definedName name="fy_02">#REF!</definedName>
    <definedName name="FY_03">#REF!</definedName>
    <definedName name="FY_1GrossMargin">#REF!</definedName>
    <definedName name="FY_1NetIncome">#REF!</definedName>
    <definedName name="FY_1OpsIncome">#REF!</definedName>
    <definedName name="FY_1OpsMargin">#REF!</definedName>
    <definedName name="FY_1Rev">#REF!</definedName>
    <definedName name="FY_2GrossMargin">#REF!</definedName>
    <definedName name="FY_2NetIncome">#REF!</definedName>
    <definedName name="FY_2OpsIncome">#REF!</definedName>
    <definedName name="FY_2OpsMargin">#REF!</definedName>
    <definedName name="FY_2Rev">#REF!</definedName>
    <definedName name="FY_3GrossMargin">#REF!</definedName>
    <definedName name="FY_3NetIncome">#REF!</definedName>
    <definedName name="FY_3OpsIncome">#REF!</definedName>
    <definedName name="FY_3OpsMargin">#REF!</definedName>
    <definedName name="FY_3Rev">#REF!</definedName>
    <definedName name="FY_4GrossMargin">#REF!</definedName>
    <definedName name="FY_4NetIncome">#REF!</definedName>
    <definedName name="FY_4OpsIncome">#REF!</definedName>
    <definedName name="FY_4OpsMargin">#REF!</definedName>
    <definedName name="FY_4Rev">#REF!</definedName>
    <definedName name="FY_87">#REF!</definedName>
    <definedName name="FY_88">#REF!</definedName>
    <definedName name="FY_89">#REF!</definedName>
    <definedName name="FY_90">#REF!</definedName>
    <definedName name="FY_91">#REF!</definedName>
    <definedName name="FY_92">#REF!</definedName>
    <definedName name="FY_93">#REF!</definedName>
    <definedName name="FY_94">#REF!</definedName>
    <definedName name="FY_95">#REF!</definedName>
    <definedName name="FY_96">#REF!</definedName>
    <definedName name="fy_97">#REF!</definedName>
    <definedName name="fy_98">#REF!</definedName>
    <definedName name="fy_99">#REF!</definedName>
    <definedName name="fy00_eps">#REF!</definedName>
    <definedName name="fy00_rev">#REF!</definedName>
    <definedName name="FY0GrossMargin">#REF!</definedName>
    <definedName name="FY0NetIncome">#REF!</definedName>
    <definedName name="FY0OpsIncome">#REF!</definedName>
    <definedName name="FY0OpsMargin">#REF!</definedName>
    <definedName name="FY0Rev">#REF!</definedName>
    <definedName name="FY1GrossMargin">#REF!</definedName>
    <definedName name="FY1NetIncome">#REF!</definedName>
    <definedName name="FY1OpsIncome">#REF!</definedName>
    <definedName name="FY1OpsMargin">#REF!</definedName>
    <definedName name="FY1Rev">#REF!</definedName>
    <definedName name="FY2GrossMargin">#REF!</definedName>
    <definedName name="FY2NetIncome">#REF!</definedName>
    <definedName name="FY2OpsIncome">#REF!</definedName>
    <definedName name="FY2OpsMargin">#REF!</definedName>
    <definedName name="FY2Rev">#REF!</definedName>
    <definedName name="FY3GrossMargin">#REF!</definedName>
    <definedName name="FY3NetIncome">#REF!</definedName>
    <definedName name="FY3OpsIncome">#REF!</definedName>
    <definedName name="FY3OpsMargin">#REF!</definedName>
    <definedName name="FY3Rev">#REF!</definedName>
    <definedName name="fy95_r">#REF!</definedName>
    <definedName name="fy95_rev">#REF!</definedName>
    <definedName name="fy96_rev">#REF!</definedName>
    <definedName name="fy96_shares">#REF!</definedName>
    <definedName name="fy97_ni">#REF!</definedName>
    <definedName name="fy97_rev">#REF!</definedName>
    <definedName name="fy97_shares">#REF!</definedName>
    <definedName name="fy98_eps">#REF!</definedName>
    <definedName name="fy98_ni">#REF!</definedName>
    <definedName name="fy98_rev">#REF!</definedName>
    <definedName name="fy98_shares">#REF!</definedName>
    <definedName name="fy99_eps">#REF!</definedName>
    <definedName name="fy99_ni">#REF!</definedName>
    <definedName name="fy99_rev">#REF!</definedName>
    <definedName name="fy99_shares">#REF!</definedName>
    <definedName name="FYE">#REF!</definedName>
    <definedName name="fye.00">#REF!</definedName>
    <definedName name="fye.98">#REF!</definedName>
    <definedName name="fye.99">#REF!</definedName>
    <definedName name="FYERef">#REF!</definedName>
    <definedName name="g" hidden="1">{"IS",#N/A,FALSE,"IS";"RPTIS",#N/A,FALSE,"RPTIS";"STATS",#N/A,FALSE,"STATS";"BS",#N/A,FALSE,"BS"}</definedName>
    <definedName name="GA_Expense">#REF!</definedName>
    <definedName name="GAAP">#REF!</definedName>
    <definedName name="gains">#REF!</definedName>
    <definedName name="GalliumArsenide">#REF!</definedName>
    <definedName name="gallon">#REF!</definedName>
    <definedName name="gallprice">#REF!</definedName>
    <definedName name="GBL_Depreciation">#REF!</definedName>
    <definedName name="GBL_EBIT">#REF!</definedName>
    <definedName name="GBL_Increase_Net_Debt">#REF!</definedName>
    <definedName name="GBL_Minority_Interests_Balance_Sheet">#REF!</definedName>
    <definedName name="GBL_Operating_Cash_Flow">#REF!</definedName>
    <definedName name="GBL_Other_Operating">#REF!</definedName>
    <definedName name="GBL_Working_Capital_Increase">#REF!</definedName>
    <definedName name="GBP_X">#REF!</definedName>
    <definedName name="gcnavg">#REF!</definedName>
    <definedName name="gcnchg">#REF!</definedName>
    <definedName name="gcncrpe">#REF!</definedName>
    <definedName name="gcncurr">#REF!</definedName>
    <definedName name="gcndate">#REF!</definedName>
    <definedName name="gcndown">#REF!</definedName>
    <definedName name="gcndownsup">#REF!</definedName>
    <definedName name="gcneps98">#REF!</definedName>
    <definedName name="gcneps99">#REF!</definedName>
    <definedName name="gcnfy1cons">#REF!</definedName>
    <definedName name="gcnfy2cons">#REF!</definedName>
    <definedName name="gcnhi">#REF!</definedName>
    <definedName name="gcnhilo">#REF!</definedName>
    <definedName name="gcnlow">#REF!</definedName>
    <definedName name="gcnmktcap">#REF!</definedName>
    <definedName name="gcnpegrowthavg">#REF!</definedName>
    <definedName name="gcnpegrowthcurr">#REF!</definedName>
    <definedName name="gcnpegrowthhi">#REF!</definedName>
    <definedName name="gcnpegrowthlow">#REF!</definedName>
    <definedName name="gcnprice">#REF!</definedName>
    <definedName name="gcnrpe">#REF!</definedName>
    <definedName name="gcnshares">#REF!</definedName>
    <definedName name="gcntprice">#REF!</definedName>
    <definedName name="gcnttmavg">#REF!</definedName>
    <definedName name="gcnttmcurr">#REF!</definedName>
    <definedName name="gcnttmhi">#REF!</definedName>
    <definedName name="gcnttmlow">#REF!</definedName>
    <definedName name="gcnttmrelavg">#REF!</definedName>
    <definedName name="gcnttmrelcurr">#REF!</definedName>
    <definedName name="gcnttmrelhi">#REF!</definedName>
    <definedName name="gcnttmrellow">#REF!</definedName>
    <definedName name="gcnup">#REF!</definedName>
    <definedName name="gcnupsup">#REF!</definedName>
    <definedName name="gcnvol">#REF!</definedName>
    <definedName name="gcnyield">#REF!</definedName>
    <definedName name="GD">#REF!</definedName>
    <definedName name="GDP">#REF!</definedName>
    <definedName name="gdp00">#REF!</definedName>
    <definedName name="gdpgr00">#REF!</definedName>
    <definedName name="gdpgr01">#REF!</definedName>
    <definedName name="gdpgr02">#REF!</definedName>
    <definedName name="gdpgr03">#REF!</definedName>
    <definedName name="gdpgr96">#REF!</definedName>
    <definedName name="gdpgr97">#REF!</definedName>
    <definedName name="gdpgr98">#REF!</definedName>
    <definedName name="gdpgr99">#REF!</definedName>
    <definedName name="GDRM_Ctry_1">#REF!</definedName>
    <definedName name="GDRM_Ctry_10">#REF!</definedName>
    <definedName name="GDRM_Ctry_11">#REF!</definedName>
    <definedName name="GDRM_Ctry_12">#REF!</definedName>
    <definedName name="GDRM_Ctry_13">#REF!</definedName>
    <definedName name="GDRM_Ctry_14">#REF!</definedName>
    <definedName name="GDRM_Ctry_15">#REF!</definedName>
    <definedName name="GDRM_Ctry_16">#REF!</definedName>
    <definedName name="GDRM_Ctry_17">#REF!</definedName>
    <definedName name="GDRM_Ctry_2">#REF!</definedName>
    <definedName name="GDRM_Ctry_3">#REF!</definedName>
    <definedName name="GDRM_Ctry_4">#REF!</definedName>
    <definedName name="GDRM_Ctry_5">#REF!</definedName>
    <definedName name="GDRM_Ctry_6">#REF!</definedName>
    <definedName name="GDRM_Ctry_7">#REF!</definedName>
    <definedName name="GDRM_Ctry_8">#REF!</definedName>
    <definedName name="GDRM_Ctry_9">#REF!</definedName>
    <definedName name="GDRV_Ctry_1">#REF!</definedName>
    <definedName name="GDRV_Ctry_10">#REF!</definedName>
    <definedName name="GDRV_Ctry_11">#REF!</definedName>
    <definedName name="GDRV_Ctry_12">#REF!</definedName>
    <definedName name="GDRV_Ctry_13">#REF!</definedName>
    <definedName name="GDRV_Ctry_14">#REF!</definedName>
    <definedName name="GDRV_Ctry_15">#REF!</definedName>
    <definedName name="GDRV_Ctry_16">#REF!</definedName>
    <definedName name="GDRV_Ctry_17">#REF!</definedName>
    <definedName name="GDRV_Ctry_2">#REF!</definedName>
    <definedName name="GDRV_Ctry_3">#REF!</definedName>
    <definedName name="GDRV_Ctry_4">#REF!</definedName>
    <definedName name="GDRV_Ctry_5">#REF!</definedName>
    <definedName name="GDRV_Ctry_6">#REF!</definedName>
    <definedName name="GDRV_Ctry_7">#REF!</definedName>
    <definedName name="GDRV_Ctry_8">#REF!</definedName>
    <definedName name="GDRV_Ctry_9">#REF!</definedName>
    <definedName name="GEAC">#REF!</definedName>
    <definedName name="gemsavg">#REF!</definedName>
    <definedName name="gemsavgffq">#REF!</definedName>
    <definedName name="gemschg">#REF!</definedName>
    <definedName name="gemscurr">#REF!</definedName>
    <definedName name="gemscurrffq">#REF!</definedName>
    <definedName name="gemspegrelavg">#REF!</definedName>
    <definedName name="gemspegrelcurr">#REF!</definedName>
    <definedName name="gemspegrowthavg">#REF!</definedName>
    <definedName name="gemspegrowthcurr">#REF!</definedName>
    <definedName name="GeneralCompanyName">#REF!</definedName>
    <definedName name="Geographical">#REF!</definedName>
    <definedName name="Geography">#REF!</definedName>
    <definedName name="ghj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gicfy1cons">#REF!</definedName>
    <definedName name="gicfy2cons">#REF!</definedName>
    <definedName name="gichi">#REF!</definedName>
    <definedName name="giclow">#REF!</definedName>
    <definedName name="gicpegrowthavg">#REF!</definedName>
    <definedName name="gicpegrowthcurr">#REF!</definedName>
    <definedName name="gicpegrowthhi">#REF!</definedName>
    <definedName name="gicpegrowthlow">#REF!</definedName>
    <definedName name="gicprice">#REF!</definedName>
    <definedName name="gicshares">#REF!</definedName>
    <definedName name="gicttmavg">#REF!</definedName>
    <definedName name="gicttmcurr">#REF!</definedName>
    <definedName name="gicttmhi">#REF!</definedName>
    <definedName name="gicttmlow">#REF!</definedName>
    <definedName name="gicttmrelavg">#REF!</definedName>
    <definedName name="gicttmrelcurr">#REF!</definedName>
    <definedName name="gicttmrelhi">#REF!</definedName>
    <definedName name="gicttmrellow">#REF!</definedName>
    <definedName name="gig_conversion">#REF!</definedName>
    <definedName name="Global_Sector">#REF!</definedName>
    <definedName name="gls_ACT_EST_ROW" hidden="1">#REF!</definedName>
    <definedName name="gls_ACT_FORM_OFFSET" hidden="1">#REF!</definedName>
    <definedName name="gls_ALLOW_PARENT_OR_CONSOLIDATED" hidden="1">#REF!</definedName>
    <definedName name="gls_ALLOW_PUBLISH" hidden="1">#REF!</definedName>
    <definedName name="gls_AnalystEmpNoHeading" hidden="1">#REF!</definedName>
    <definedName name="gls_AnalystNameHeading" hidden="1">#REF!</definedName>
    <definedName name="gls_CF_BEGINS" hidden="1">#REF!</definedName>
    <definedName name="gls_CFD_CHANGEACT" hidden="1">#REF!</definedName>
    <definedName name="gls_CFD_CHANGEEST" hidden="1">#REF!</definedName>
    <definedName name="gls_CFD_FIRSTAVAIL" hidden="1">#REF!</definedName>
    <definedName name="gls_CFD_LISTAVAIL" hidden="1">#REF!</definedName>
    <definedName name="gls_CFD_SELECTED" hidden="1">#REF!</definedName>
    <definedName name="gls_CHANGED_NAMES" hidden="1">#REF!</definedName>
    <definedName name="gls_CHG_KEY_USER" hidden="1">#REF!</definedName>
    <definedName name="gls_CHG_SEL_ONLY" hidden="1">#REF!</definedName>
    <definedName name="gls_COMPANY_WORKBOOK_ID" hidden="1">#REF!</definedName>
    <definedName name="gls_ctrlShareholders" hidden="1">#REF!</definedName>
    <definedName name="gls_DELETED_PERIODS" hidden="1">#REF!</definedName>
    <definedName name="gls_EST_FORM_OFFSET" hidden="1">#REF!</definedName>
    <definedName name="gls_EXC_NOT_EXT" hidden="1">#REF!</definedName>
    <definedName name="gls_EXISTING_PERIODS" hidden="1">#REF!</definedName>
    <definedName name="gls_EXT_BELOW_PBT" hidden="1">#REF!</definedName>
    <definedName name="gls_FIRST_ITEM" hidden="1">#REF!</definedName>
    <definedName name="gls_FIRST_PK" hidden="1">#REF!</definedName>
    <definedName name="gls_FIRST_ROWMULT" hidden="1">#REF!</definedName>
    <definedName name="gls_FIRST_UNITS" hidden="1">#REF!</definedName>
    <definedName name="gls_FIXED_NAMES" hidden="1">#REF!</definedName>
    <definedName name="gls_FONT_STATUS" hidden="1">#REF!</definedName>
    <definedName name="gls_GenAccountingConvention" hidden="1">#REF!</definedName>
    <definedName name="gls_GenAdditionalInfo" hidden="1">#REF!</definedName>
    <definedName name="gls_GenComments" hidden="1">#REF!</definedName>
    <definedName name="gls_GenCompany" hidden="1">#REF!</definedName>
    <definedName name="gls_GenCompanyInfo" hidden="1">#REF!</definedName>
    <definedName name="gls_GenCountry" hidden="1">#REF!</definedName>
    <definedName name="gls_GenCurrency" hidden="1">#REF!</definedName>
    <definedName name="gls_GenCurrencyMultiplier" hidden="1">#REF!</definedName>
    <definedName name="gls_GenEnterCompInfo" hidden="1">#REF!</definedName>
    <definedName name="gls_GenEPSComment" hidden="1">#REF!</definedName>
    <definedName name="gls_GenHomeRegion" hidden="1">#REF!</definedName>
    <definedName name="gls_GenLastPublished" hidden="1">#REF!</definedName>
    <definedName name="gls_GenLastRecRevised" hidden="1">#REF!</definedName>
    <definedName name="gls_GenMainInfo" hidden="1">#REF!</definedName>
    <definedName name="gls_GenNoteComment" hidden="1">#REF!</definedName>
    <definedName name="gls_GenProfile" hidden="1">#REF!</definedName>
    <definedName name="gls_GenRecComment" hidden="1">#REF!</definedName>
    <definedName name="gls_GenSaleslineInfo" hidden="1">#REF!</definedName>
    <definedName name="gls_GenSalesSplitByRegion" hidden="1">#REF!</definedName>
    <definedName name="gls_GenSalesSplitHeading" hidden="1">#REF!</definedName>
    <definedName name="gls_GenSheetVersion" hidden="1">#REF!</definedName>
    <definedName name="gls_genStockCore" hidden="1">#REF!</definedName>
    <definedName name="gls_genStockRec" hidden="1">#REF!</definedName>
    <definedName name="gls_GLOSS_MONTHS" hidden="1">#REF!</definedName>
    <definedName name="gls_GW_IN" hidden="1">#REF!</definedName>
    <definedName name="gls_IIAA_IN" hidden="1">#REF!</definedName>
    <definedName name="gls_InterimValue" hidden="1">#REF!</definedName>
    <definedName name="gls_IssuedStockClassHeading" hidden="1">#REF!</definedName>
    <definedName name="gls_IssuedStockCodeHeading" hidden="1">#REF!</definedName>
    <definedName name="gls_IssuedStockFreeFloatHeading" hidden="1">#REF!</definedName>
    <definedName name="gls_KEY_DATA" hidden="1">#REF!</definedName>
    <definedName name="gls_KEY_VALUE" hidden="1">#REF!</definedName>
    <definedName name="gls_LANGUAGE" hidden="1">#REF!</definedName>
    <definedName name="gls_NEXT_PK" hidden="1">#REF!</definedName>
    <definedName name="gls_PERIOD_CODE" hidden="1">#REF!</definedName>
    <definedName name="gls_PERIOD_INDICATOR" hidden="1">#REF!</definedName>
    <definedName name="gls_PERIOD_PARENT_OR_CONSOL" hidden="1">#REF!</definedName>
    <definedName name="gls_PERIOD_TOTAL" hidden="1">#REF!</definedName>
    <definedName name="gls_PERIOD_TYPE" hidden="1">#REF!</definedName>
    <definedName name="gls_PrincipalStockClass" hidden="1">#REF!</definedName>
    <definedName name="gls_PROFILE_NAME" hidden="1">#REF!</definedName>
    <definedName name="gls_Recommendations" hidden="1">#REF!</definedName>
    <definedName name="gls_SASS5HistEPSGrowth" hidden="1">#REF!</definedName>
    <definedName name="gls_SASS5ProjEPSGrowth" hidden="1">#REF!</definedName>
    <definedName name="gls_SASSDirectorHoldings" hidden="1">#REF!</definedName>
    <definedName name="gls_SASSEPS45AGR" hidden="1">#REF!</definedName>
    <definedName name="gls_SASSIsInterimLastAnnounce" hidden="1">#REF!</definedName>
    <definedName name="gls_SASSLastAnnounce" hidden="1">#REF!</definedName>
    <definedName name="gls_SASSNETDIV45AGR" hidden="1">#REF!</definedName>
    <definedName name="gls_SaveBeforePublish" hidden="1">#REF!</definedName>
    <definedName name="gls_SaveWkbForNewPeriodCodes" hidden="1">#REF!</definedName>
    <definedName name="gls_ShareholderClassHeading" hidden="1">#REF!</definedName>
    <definedName name="gls_ShareholderHolding" hidden="1">#REF!</definedName>
    <definedName name="gls_ShareholderHoldingHeading" hidden="1">#REF!</definedName>
    <definedName name="gls_ShareholderName" hidden="1">#REF!</definedName>
    <definedName name="gls_ShareholderNameHeading" hidden="1">#REF!</definedName>
    <definedName name="gls_ShareholdingName" hidden="1">#REF!</definedName>
    <definedName name="gls_SHOW_CONTROL_VALUE" hidden="1">#REF!</definedName>
    <definedName name="gls_SHOW_KEY_VAL_COLUMN" hidden="1">#REF!</definedName>
    <definedName name="gls_SHOW_KEY_VALUES" hidden="1">#REF!</definedName>
    <definedName name="gls_SHOW_LINKED_ITEMS" hidden="1">#REF!</definedName>
    <definedName name="gls_SHOW_LOCAL_NAMES" hidden="1">#REF!</definedName>
    <definedName name="gls_SHOW_MULTIPLIERS" hidden="1">#REF!</definedName>
    <definedName name="gls_SHOW_PK_COLUMN" hidden="1">#REF!</definedName>
    <definedName name="gls_SHOW_STATUS_INFORMATION" hidden="1">#REF!</definedName>
    <definedName name="gls_SHOW_UNITS" hidden="1">#REF!</definedName>
    <definedName name="gls_SPARE_YEARS" hidden="1">#REF!</definedName>
    <definedName name="gls_SPECIAL_DIALOG" hidden="1">#REF!</definedName>
    <definedName name="gls_START_FORMULA_OVERRIDEABLE" hidden="1">#REF!</definedName>
    <definedName name="gls_START_LOCAL_NAMES" hidden="1">#REF!</definedName>
    <definedName name="gls_START_PERIOD_CURRENCY" hidden="1">#REF!</definedName>
    <definedName name="gls_START_STATUS" hidden="1">#REF!</definedName>
    <definedName name="gls_START_USER_REQ" hidden="1">#REF!</definedName>
    <definedName name="gls_START_USER_STATUS" hidden="1">#REF!</definedName>
    <definedName name="gls_START_VALIDATION" hidden="1">#REF!</definedName>
    <definedName name="gls_START_WHAT" hidden="1">#REF!</definedName>
    <definedName name="gls_START_YEAR" hidden="1">#REF!</definedName>
    <definedName name="gls_StockTicker" hidden="1">#REF!</definedName>
    <definedName name="gls_TEMP_PERIOD_CODE" hidden="1">#REF!</definedName>
    <definedName name="gls_THISWORKBOOK_NAME" hidden="1">#REF!</definedName>
    <definedName name="gls_UNUSUAL_POS" hidden="1">#REF!</definedName>
    <definedName name="gls_USING_CONSOLIDATED" hidden="1">#REF!</definedName>
    <definedName name="gls_YEAR_AE_CONTROL" hidden="1">#REF!</definedName>
    <definedName name="gls_YEAR_END_ROW" hidden="1">#REF!</definedName>
    <definedName name="gls_YetToRunStartupWizard" hidden="1">#REF!</definedName>
    <definedName name="glwavg">#REF!</definedName>
    <definedName name="glwchg">#REF!</definedName>
    <definedName name="glwcrpe">#REF!</definedName>
    <definedName name="glwcurr">#REF!</definedName>
    <definedName name="glwdate">#REF!</definedName>
    <definedName name="glwdown">#REF!</definedName>
    <definedName name="glwdownsup">#REF!</definedName>
    <definedName name="glwevebitda">#REF!</definedName>
    <definedName name="glwffqpeavg">#REF!</definedName>
    <definedName name="glwffqpecurr">#REF!</definedName>
    <definedName name="glwFY1cons">#REF!</definedName>
    <definedName name="glwFY2cons">#REF!</definedName>
    <definedName name="glwhi">#REF!</definedName>
    <definedName name="glwhilo">#REF!</definedName>
    <definedName name="glwlo">#REF!</definedName>
    <definedName name="glwmktcap">#REF!</definedName>
    <definedName name="glwpe1">#REF!</definedName>
    <definedName name="glwpe2">#REF!</definedName>
    <definedName name="glwpegrowthavg">#REF!</definedName>
    <definedName name="glwpegrowthcurr">#REF!</definedName>
    <definedName name="glwpegrowthmax">#REF!</definedName>
    <definedName name="glwpegrowthmin">#REF!</definedName>
    <definedName name="glwperelavg">#REF!</definedName>
    <definedName name="glwperelcurr">#REF!</definedName>
    <definedName name="glwprice">#REF!</definedName>
    <definedName name="glwqv">#REF!</definedName>
    <definedName name="glwrating">#REF!</definedName>
    <definedName name="glwrpe">#REF!</definedName>
    <definedName name="glwshares">#REF!</definedName>
    <definedName name="glwtech">#REF!</definedName>
    <definedName name="glwtprice">#REF!</definedName>
    <definedName name="glwttmavg">#REF!</definedName>
    <definedName name="glwttmcurr">#REF!</definedName>
    <definedName name="glwttmhi">#REF!</definedName>
    <definedName name="glwttmlo">#REF!</definedName>
    <definedName name="glwttmrelavg">#REF!</definedName>
    <definedName name="glwttmrelcurr">#REF!</definedName>
    <definedName name="glwttmrelhi">#REF!</definedName>
    <definedName name="glwttmrello">#REF!</definedName>
    <definedName name="glwup">#REF!</definedName>
    <definedName name="glwupsup">#REF!</definedName>
    <definedName name="glwvol">#REF!</definedName>
    <definedName name="glwyield">#REF!</definedName>
    <definedName name="GM">#REF!</definedName>
    <definedName name="Goodwill">#REF!</definedName>
    <definedName name="Goodwill_Amort">#REF!</definedName>
    <definedName name="Goodwill_growth_fore">#REF!</definedName>
    <definedName name="Goodwill1998">#REF!</definedName>
    <definedName name="Goodwill1999">#REF!</definedName>
    <definedName name="Goodwill2000">#REF!</definedName>
    <definedName name="Goodwill2001">#REF!</definedName>
    <definedName name="GotoMenu">#REF!</definedName>
    <definedName name="GotoTab">#REF!</definedName>
    <definedName name="GQ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grm00">#REF!</definedName>
    <definedName name="gross.marg">#N/A</definedName>
    <definedName name="Gross_inc_growth">#REF!</definedName>
    <definedName name="Gross_income">#REF!</definedName>
    <definedName name="Gross_income_fore">#REF!</definedName>
    <definedName name="Gross_income_growth_avg">#REF!</definedName>
    <definedName name="Gross_Margin">#REF!</definedName>
    <definedName name="Gross_margin_fore">#REF!</definedName>
    <definedName name="GrossMargin">#REF!</definedName>
    <definedName name="Group1">#REF!</definedName>
    <definedName name="Growth">#REF!</definedName>
    <definedName name="Growth_97">#REF!</definedName>
    <definedName name="Growth_98">#REF!</definedName>
    <definedName name="Growth_99">#REF!</definedName>
    <definedName name="h" hidden="1">{"'Standalone List Price Trends'!$A$1:$X$56"}</definedName>
    <definedName name="HANDHELDS">#REF!</definedName>
    <definedName name="HannStar">#REF!</definedName>
    <definedName name="HB_email">"hbellini@isigrp.com"</definedName>
    <definedName name="HB_phone">"(XXX) XXX-XXXX"</definedName>
    <definedName name="HBAASP">#REF!</definedName>
    <definedName name="HBAinfo">#REF!</definedName>
    <definedName name="Headcount">#REF!</definedName>
    <definedName name="HeadlineCell">#REF!</definedName>
    <definedName name="HEASP">#REF!</definedName>
    <definedName name="hello">#REF!</definedName>
    <definedName name="HelpCaption">#REF!</definedName>
    <definedName name="HERAID">#REF!</definedName>
    <definedName name="HERELSHARE">#REF!</definedName>
    <definedName name="HESeq.">#REF!</definedName>
    <definedName name="HETBSeq.">#REF!</definedName>
    <definedName name="HETBShipped">#REF!</definedName>
    <definedName name="HETBYoY">#REF!</definedName>
    <definedName name="HEYoY">#REF!</definedName>
    <definedName name="Hicks_Convert">#REF!</definedName>
    <definedName name="hide">#REF!</definedName>
    <definedName name="hidebs">#REF!</definedName>
    <definedName name="HighestAllowedPE">#REF!</definedName>
    <definedName name="hist3atsn">#REF!</definedName>
    <definedName name="hist3avx">#REF!</definedName>
    <definedName name="hist3axe">#REF!</definedName>
    <definedName name="hist3bwc">#REF!</definedName>
    <definedName name="hist3cdt">#REF!</definedName>
    <definedName name="hist3cien">#REF!</definedName>
    <definedName name="hist3cls">#REF!</definedName>
    <definedName name="hist3etek">#REF!</definedName>
    <definedName name="hist3glw">#REF!</definedName>
    <definedName name="hist3jds">#REF!</definedName>
    <definedName name="hist3jdsu">#REF!</definedName>
    <definedName name="hist3knt">#REF!</definedName>
    <definedName name="hist3molx">#REF!</definedName>
    <definedName name="hist3oak">#REF!</definedName>
    <definedName name="hist3sanm">#REF!</definedName>
    <definedName name="hist3sci">#REF!</definedName>
    <definedName name="hist3scmr">#REF!</definedName>
    <definedName name="hist3sdli">#REF!</definedName>
    <definedName name="hist3unph">#REF!</definedName>
    <definedName name="hist3vsh">#REF!</definedName>
    <definedName name="historic_prices">#REF!</definedName>
    <definedName name="historic_prices_new">#REF!</definedName>
    <definedName name="historical_date_Range">#REF!</definedName>
    <definedName name="Historical_Incremental_ROIC">#REF!</definedName>
    <definedName name="Hitachi">#REF!</definedName>
    <definedName name="hlitavg">#REF!</definedName>
    <definedName name="hlitchg">#REF!</definedName>
    <definedName name="hlitcurr">#REF!</definedName>
    <definedName name="hlitfy1cons">#REF!</definedName>
    <definedName name="hlitfy2cons">#REF!</definedName>
    <definedName name="hlithi">#REF!</definedName>
    <definedName name="hlitlow">#REF!</definedName>
    <definedName name="hlitpegrowthavg">#REF!</definedName>
    <definedName name="hlitpegrowthcurr">#REF!</definedName>
    <definedName name="hlitpegrowthhi">#REF!</definedName>
    <definedName name="hlitpegrowthlow">#REF!</definedName>
    <definedName name="hlitprice">#REF!</definedName>
    <definedName name="hlitshares">#REF!</definedName>
    <definedName name="hlitttmavg">#REF!</definedName>
    <definedName name="hlitttmcurr">#REF!</definedName>
    <definedName name="hlitttmhi">#REF!</definedName>
    <definedName name="hlitttmlow">#REF!</definedName>
    <definedName name="hlitttmrelavg">#REF!</definedName>
    <definedName name="hlitttmrelcurr">#REF!</definedName>
    <definedName name="hlitttmrelhi">#REF!</definedName>
    <definedName name="hlitttmrellow">#REF!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ome_Market_EBIT_Incl_Above">#REF!</definedName>
    <definedName name="Home_Market_Turnover_Incl_Above">#REF!</definedName>
    <definedName name="HOST_DEAL">#REF!</definedName>
    <definedName name="HTML_CodePage" hidden="1">1252</definedName>
    <definedName name="HTML_Control" hidden="1">{"'Standalone List Price Trends'!$A$1:$X$56"}</definedName>
    <definedName name="HTML_Description" hidden="1">""</definedName>
    <definedName name="HTML_Email" hidden="1">""</definedName>
    <definedName name="HTML_Header" hidden="1">"Standalone List Price Trends"</definedName>
    <definedName name="HTML_LastUpdate" hidden="1">"3/5/98"</definedName>
    <definedName name="HTML_LineAfter" hidden="1">FALSE</definedName>
    <definedName name="HTML_LineBefore" hidden="1">FALSE</definedName>
    <definedName name="HTML_Name" hidden="1">"Kevin Mitchell"</definedName>
    <definedName name="HTML_OBDlg2" hidden="1">TRUE</definedName>
    <definedName name="HTML_OBDlg4" hidden="1">TRUE</definedName>
    <definedName name="HTML_OS" hidden="1">0</definedName>
    <definedName name="HTML_PathFile" hidden="1">"C:\Kevin's Data\SW$\SW$SVC HTML\Strends.htm"</definedName>
    <definedName name="HTML_Title" hidden="1">"Switch Prices 03-98 xl97"</definedName>
    <definedName name="HUh" hidden="1">{"'Standalone List Price Trends'!$A$1:$X$56"}</definedName>
    <definedName name="hw_maint_rev">#REF!</definedName>
    <definedName name="Hw_rev">#REF!</definedName>
    <definedName name="HYSL">#REF!</definedName>
    <definedName name="hysl_pe">#REF!</definedName>
    <definedName name="hysl_price">#REF!</definedName>
    <definedName name="i_an_new_business">#REF!</definedName>
    <definedName name="i_claims_ratio">#REF!</definedName>
    <definedName name="i_combined_ratio">#REF!</definedName>
    <definedName name="i_embedded_value">#REF!</definedName>
    <definedName name="i_expense_ratio">#REF!</definedName>
    <definedName name="i_solvency_ratio">#REF!</definedName>
    <definedName name="Iasp">#REF!</definedName>
    <definedName name="ibesd">#REF!</definedName>
    <definedName name="IBM_softwareRevs">#REF!</definedName>
    <definedName name="IBPEVA">#REF!</definedName>
    <definedName name="IC_1">#REF!</definedName>
    <definedName name="IC_10">#REF!</definedName>
    <definedName name="IC_11">#REF!</definedName>
    <definedName name="IC_12">#REF!</definedName>
    <definedName name="IC_13">#REF!</definedName>
    <definedName name="IC_14">#REF!</definedName>
    <definedName name="IC_2">#REF!</definedName>
    <definedName name="IC_3">#REF!</definedName>
    <definedName name="IC_4">#REF!</definedName>
    <definedName name="IC_5">#REF!</definedName>
    <definedName name="IC_6">#REF!</definedName>
    <definedName name="IC_7">#REF!</definedName>
    <definedName name="IC_8">#REF!</definedName>
    <definedName name="IC_9">#REF!</definedName>
    <definedName name="IC_P">#REF!</definedName>
    <definedName name="IC_P1">#REF!</definedName>
    <definedName name="IC_P2">#REF!</definedName>
    <definedName name="IC_P3">#REF!</definedName>
    <definedName name="IDC">#REF!</definedName>
    <definedName name="IFLX">#REF!</definedName>
    <definedName name="in">#REF!</definedName>
    <definedName name="IN_g">#REF!</definedName>
    <definedName name="IN_is">#REF!</definedName>
    <definedName name="Inc.Mrgn">#REF!</definedName>
    <definedName name="Inc_cap_RnD_fore">#REF!</definedName>
    <definedName name="INcome">#REF!</definedName>
    <definedName name="Income_before_taxes">#REF!</definedName>
    <definedName name="Income_equivalents">#REF!</definedName>
    <definedName name="Income_equivalents_fore">#REF!</definedName>
    <definedName name="Income_form_uncons_subs_fore">#REF!</definedName>
    <definedName name="Income_from_Unconsolidated_Subs">#REF!</definedName>
    <definedName name="Income_Statement">#REF!</definedName>
    <definedName name="Income_tax">#REF!</definedName>
    <definedName name="Income_tax_fore">#REF!</definedName>
    <definedName name="Income_tax_growth_fore">#REF!</definedName>
    <definedName name="Income_tax_rate">#REF!</definedName>
    <definedName name="Income_taxes_payable">#REF!</definedName>
    <definedName name="Income_taxes_payable_growth_fore">#REF!</definedName>
    <definedName name="Increase_cap_RnD_fore">#REF!</definedName>
    <definedName name="Increase_Capitalized_R_D_net">#REF!</definedName>
    <definedName name="Increase_Deferred_Taxes">#REF!</definedName>
    <definedName name="Increase_In_Cash">#REF!</definedName>
    <definedName name="Increase_In_Equity">#REF!</definedName>
    <definedName name="Increase_In_Long_Term_Debt">#REF!</definedName>
    <definedName name="Increase_in_other_liabilities">#REF!</definedName>
    <definedName name="Increase_in_other_reserves">#REF!</definedName>
    <definedName name="Increase_In_Short_Term_Debt">#REF!</definedName>
    <definedName name="Increase_LIFO_Reserve">#REF!</definedName>
    <definedName name="Incremental_investment">#REF!</definedName>
    <definedName name="Incremental_ROIC">#REF!</definedName>
    <definedName name="Incremental_ROIC_DCF">#REF!</definedName>
    <definedName name="IncSt">#REF!</definedName>
    <definedName name="IncStItem">#REF!</definedName>
    <definedName name="IncStQuarter">#REF!</definedName>
    <definedName name="inct">#REF!</definedName>
    <definedName name="InfoNext">#N/A</definedName>
    <definedName name="InfoPrev">#N/A</definedName>
    <definedName name="INFOR">#REF!</definedName>
    <definedName name="initial_fiber_miles">#REF!</definedName>
    <definedName name="initial_trans_rev">#REF!</definedName>
    <definedName name="Innolux">#REF!</definedName>
    <definedName name="INPUT">#REF!</definedName>
    <definedName name="input_data">#REF!</definedName>
    <definedName name="INPUTS">#REF!</definedName>
    <definedName name="Inputs2">#REF!,#REF!,#REF!,#REF!</definedName>
    <definedName name="Institutions">#REF!</definedName>
    <definedName name="int_calc">#REF!</definedName>
    <definedName name="Int_exp_OL">#REF!</definedName>
    <definedName name="int_income">#REF!</definedName>
    <definedName name="intcap">#REF!</definedName>
    <definedName name="Interest_exp_growth_fore">#REF!</definedName>
    <definedName name="Interest_exp_inc_fore">#REF!</definedName>
    <definedName name="Interest_expense_after_taxes">#REF!</definedName>
    <definedName name="Interest_expense_income">#REF!</definedName>
    <definedName name="Interest_expense_oper_leases">#REF!</definedName>
    <definedName name="interest_expense_pretelstra">#REF!</definedName>
    <definedName name="interest_income_pretelstra">#REF!</definedName>
    <definedName name="Interest_oper_lease">#REF!</definedName>
    <definedName name="Interest_Paid">#REF!</definedName>
    <definedName name="interl">#REF!</definedName>
    <definedName name="internl">#REF!</definedName>
    <definedName name="intl">#REF!</definedName>
    <definedName name="Intra_1Q98">#REF!</definedName>
    <definedName name="Inventories">#REF!</definedName>
    <definedName name="Inventory">#REF!</definedName>
    <definedName name="Inventory_growth_fore">#REF!</definedName>
    <definedName name="Inventory_turns">#REF!</definedName>
    <definedName name="Invested_capital">#REF!</definedName>
    <definedName name="Invested_capital_DCF">#REF!</definedName>
    <definedName name="Invested_capital_growth_fore">#REF!</definedName>
    <definedName name="Invested_capital_turns">#REF!</definedName>
    <definedName name="Invested_capital_turns_DCF">#REF!</definedName>
    <definedName name="Invested_capital_turns_fore">#REF!</definedName>
    <definedName name="Investment_In_Affiliates">#REF!</definedName>
    <definedName name="Investments_in_Unconsolidated_Subs">#REF!</definedName>
    <definedName name="Investments_Other_Assets">#REF!</definedName>
    <definedName name="ION">#REF!</definedName>
    <definedName name="IPOTRIG">#REF!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CCOUNT_CHANGE" hidden="1">"c1449"</definedName>
    <definedName name="IQ_ACCOUNTING_FFIEC" hidden="1">"c13054"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FTER_TAX_INCOME_FDIC" hidden="1">"c6583"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_IMPAIRMENT_OTHER_INTANGIBLE_ASSETS_FFIEC" hidden="1">"c13026"</definedName>
    <definedName name="IQ_AMORT_EXPENSE_FDIC" hidden="1">"c6677"</definedName>
    <definedName name="IQ_AMORTIZATION" hidden="1">"c1591"</definedName>
    <definedName name="IQ_AMORTIZED_COST_FDIC" hidden="1">"c6426"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EMAIL" hidden="1">"c13738"</definedName>
    <definedName name="IQ_ANALYST_NAME" hidden="1">"c13736"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HELD_FDIC" hidden="1">"c6305"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REPRICE_ASSETS_TOT_FFIEC" hidden="1">"c13454"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ABLE_FOR_SALE_FDIC" hidden="1">"c6409"</definedName>
    <definedName name="IQ_AVAILABLE_SALE_SEC_FFIEC" hidden="1">"c12791"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BROKER_REC_NO_REUT" hidden="1">"c5315"</definedName>
    <definedName name="IQ_AVG_BROKER_REC_REUT" hidden="1">"c3630"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FC_UNUSED_UNUSED_UNUSED" hidden="1">"c8353"</definedName>
    <definedName name="IQ_BALANCE_GOODS_APR_UNUSED" hidden="1">"c7473"</definedName>
    <definedName name="IQ_BALANCE_GOODS_APR_UNUSED_UNUSED_UNUSED" hidden="1">"c7473"</definedName>
    <definedName name="IQ_BALANCE_GOODS_FC_UNUSED" hidden="1">"c7693"</definedName>
    <definedName name="IQ_BALANCE_GOODS_FC_UNUSED_UNUSED_UNUSED" hidden="1">"c7693"</definedName>
    <definedName name="IQ_BALANCE_GOODS_POP_FC_UNUSED" hidden="1">"c7913"</definedName>
    <definedName name="IQ_BALANCE_GOODS_POP_FC_UNUSED_UNUSED_UNUSED" hidden="1">"c7913"</definedName>
    <definedName name="IQ_BALANCE_GOODS_POP_UNUSED" hidden="1">"c7033"</definedName>
    <definedName name="IQ_BALANCE_GOODS_POP_UNUSED_UNUSED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NUSED_UNUSED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FC_UNUSED_UNUSED_UNUSED" hidden="1">"c8133"</definedName>
    <definedName name="IQ_BALANCE_GOODS_YOY_UNUSED" hidden="1">"c7253"</definedName>
    <definedName name="IQ_BALANCE_GOODS_YOY_UNUSED_UNUSED_UNUSED" hidden="1">"c7253"</definedName>
    <definedName name="IQ_BALANCE_SERV_APR_FC_UNUSED" hidden="1">"c8355"</definedName>
    <definedName name="IQ_BALANCE_SERV_APR_FC_UNUSED_UNUSED_UNUSED" hidden="1">"c8355"</definedName>
    <definedName name="IQ_BALANCE_SERV_APR_UNUSED" hidden="1">"c7475"</definedName>
    <definedName name="IQ_BALANCE_SERV_APR_UNUSED_UNUSED_UNUSED" hidden="1">"c7475"</definedName>
    <definedName name="IQ_BALANCE_SERV_FC_UNUSED" hidden="1">"c7695"</definedName>
    <definedName name="IQ_BALANCE_SERV_FC_UNUSED_UNUSED_UNUSED" hidden="1">"c7695"</definedName>
    <definedName name="IQ_BALANCE_SERV_POP_FC_UNUSED" hidden="1">"c7915"</definedName>
    <definedName name="IQ_BALANCE_SERV_POP_FC_UNUSED_UNUSED_UNUSED" hidden="1">"c7915"</definedName>
    <definedName name="IQ_BALANCE_SERV_POP_UNUSED" hidden="1">"c7035"</definedName>
    <definedName name="IQ_BALANCE_SERV_POP_UNUSED_UNUSED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NUSED_UNUSED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FC_UNUSED_UNUSED_UNUSED" hidden="1">"c8135"</definedName>
    <definedName name="IQ_BALANCE_SERV_YOY_UNUSED" hidden="1">"c7255"</definedName>
    <definedName name="IQ_BALANCE_SERV_YOY_UNUSED_UNUSED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FC_UNUSED_UNUSED_UNUSED" hidden="1">"c8357"</definedName>
    <definedName name="IQ_BALANCE_TRADE_APR_UNUSED" hidden="1">"c7477"</definedName>
    <definedName name="IQ_BALANCE_TRADE_APR_UNUSED_UNUSED_UNUSED" hidden="1">"c7477"</definedName>
    <definedName name="IQ_BALANCE_TRADE_FC_UNUSED" hidden="1">"c7697"</definedName>
    <definedName name="IQ_BALANCE_TRADE_FC_UNUSED_UNUSED_UNUSED" hidden="1">"c7697"</definedName>
    <definedName name="IQ_BALANCE_TRADE_POP_FC_UNUSED" hidden="1">"c7917"</definedName>
    <definedName name="IQ_BALANCE_TRADE_POP_FC_UNUSED_UNUSED_UNUSED" hidden="1">"c7917"</definedName>
    <definedName name="IQ_BALANCE_TRADE_POP_UNUSED" hidden="1">"c7037"</definedName>
    <definedName name="IQ_BALANCE_TRADE_POP_UNUSED_UNUSED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NUSED_UNUSED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FC_UNUSED_UNUSED_UNUSED" hidden="1">"c8137"</definedName>
    <definedName name="IQ_BALANCE_TRADE_YOY_UNUSED" hidden="1">"c7257"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LOAN_LIST" hidden="1">"c13507"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ING_FEES_OPERATING_INC_FFIEC" hidden="1">"c13386"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ID" hidden="1">"c13756"</definedName>
    <definedName name="IQ_BOARD_MEMBER_TITLE" hidden="1">"c97"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" hidden="1">"c8359"</definedName>
    <definedName name="IQ_BUDGET_BALANCE_APR_FC_UNUSED_UNUSED_UNUSED" hidden="1">"c8359"</definedName>
    <definedName name="IQ_BUDGET_BALANCE_APR_UNUSED" hidden="1">"c7479"</definedName>
    <definedName name="IQ_BUDGET_BALANCE_APR_UNUSED_UNUSED_UNUSED" hidden="1">"c7479"</definedName>
    <definedName name="IQ_BUDGET_BALANCE_FC_UNUSED" hidden="1">"c7699"</definedName>
    <definedName name="IQ_BUDGET_BALANCE_FC_UNUSED_UNUSED_UNUSED" hidden="1">"c7699"</definedName>
    <definedName name="IQ_BUDGET_BALANCE_POP_FC_UNUSED" hidden="1">"c7919"</definedName>
    <definedName name="IQ_BUDGET_BALANCE_POP_FC_UNUSED_UNUSED_UNUSED" hidden="1">"c7919"</definedName>
    <definedName name="IQ_BUDGET_BALANCE_POP_UNUSED" hidden="1">"c7039"</definedName>
    <definedName name="IQ_BUDGET_BALANCE_POP_UNUSED_UNUSED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UNUSED_UNUSED_UNUSED" hidden="1">"c6819"</definedName>
    <definedName name="IQ_BUDGET_BALANCE_YOY_FC_UNUSED" hidden="1">"c8139"</definedName>
    <definedName name="IQ_BUDGET_BALANCE_YOY_FC_UNUSED_UNUSED_UNUSED" hidden="1">"c8139"</definedName>
    <definedName name="IQ_BUDGET_BALANCE_YOY_UNUSED" hidden="1">"c7259"</definedName>
    <definedName name="IQ_BUDGET_BALANCE_YOY_UNUSED_UNUSED_UNUSED" hidden="1">"c7259"</definedName>
    <definedName name="IQ_BUDGET_RECEIPTS_APR_FC_UNUSED" hidden="1">"c8361"</definedName>
    <definedName name="IQ_BUDGET_RECEIPTS_APR_FC_UNUSED_UNUSED_UNUSED" hidden="1">"c8361"</definedName>
    <definedName name="IQ_BUDGET_RECEIPTS_APR_UNUSED" hidden="1">"c7481"</definedName>
    <definedName name="IQ_BUDGET_RECEIPTS_APR_UNUSED_UNUSED_UNUSED" hidden="1">"c7481"</definedName>
    <definedName name="IQ_BUDGET_RECEIPTS_FC_UNUSED" hidden="1">"c7701"</definedName>
    <definedName name="IQ_BUDGET_RECEIPTS_FC_UNUSED_UNUSED_UNUSED" hidden="1">"c7701"</definedName>
    <definedName name="IQ_BUDGET_RECEIPTS_POP_FC_UNUSED" hidden="1">"c7921"</definedName>
    <definedName name="IQ_BUDGET_RECEIPTS_POP_FC_UNUSED_UNUSED_UNUSED" hidden="1">"c7921"</definedName>
    <definedName name="IQ_BUDGET_RECEIPTS_POP_UNUSED" hidden="1">"c7041"</definedName>
    <definedName name="IQ_BUDGET_RECEIPTS_POP_UNUSED_UNUSED_UNUSED" hidden="1">"c7041"</definedName>
    <definedName name="IQ_BUDGET_RECEIPTS_UNUSED" hidden="1">"c6821"</definedName>
    <definedName name="IQ_BUDGET_RECEIPTS_UNUSED_UNUSED_UNUSED" hidden="1">"c6821"</definedName>
    <definedName name="IQ_BUDGET_RECEIPTS_YOY_FC_UNUSED" hidden="1">"c8141"</definedName>
    <definedName name="IQ_BUDGET_RECEIPTS_YOY_FC_UNUSED_UNUSED_UNUSED" hidden="1">"c8141"</definedName>
    <definedName name="IQ_BUDGET_RECEIPTS_YOY_UNUSED" hidden="1">"c7261"</definedName>
    <definedName name="IQ_BUDGET_RECEIPTS_YOY_UNUSED_UNUSED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OVER_SHARES" hidden="1">"c1349"</definedName>
    <definedName name="IQ_BV_SHARE" hidden="1">"c100"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Q_EST_REUT" hidden="1">"c6800"</definedName>
    <definedName name="IQ_CAL_Y" hidden="1">"c102"</definedName>
    <definedName name="IQ_CAL_Y_EST" hidden="1">"c6797"</definedName>
    <definedName name="IQ_CAL_Y_EST_CIQ" hidden="1">"c6809"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NAME_AP" hidden="1">"c8926"</definedName>
    <definedName name="IQ_CASH_OPER_NAME_AP_ABS" hidden="1">"c8945"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FC_UNUSED_UNUSED_UNUSED" hidden="1">"c8500"</definedName>
    <definedName name="IQ_CHANGE_INVENT_REAL_APR_UNUSED" hidden="1">"c7620"</definedName>
    <definedName name="IQ_CHANGE_INVENT_REAL_APR_UNUSED_UNUSED_UNUSED" hidden="1">"c7620"</definedName>
    <definedName name="IQ_CHANGE_INVENT_REAL_FC_UNUSED" hidden="1">"c7840"</definedName>
    <definedName name="IQ_CHANGE_INVENT_REAL_FC_UNUSED_UNUSED_UNUSED" hidden="1">"c7840"</definedName>
    <definedName name="IQ_CHANGE_INVENT_REAL_POP_FC_UNUSED" hidden="1">"c8060"</definedName>
    <definedName name="IQ_CHANGE_INVENT_REAL_POP_FC_UNUSED_UNUSED_UNUSED" hidden="1">"c8060"</definedName>
    <definedName name="IQ_CHANGE_INVENT_REAL_POP_UNUSED" hidden="1">"c7180"</definedName>
    <definedName name="IQ_CHANGE_INVENT_REAL_POP_UNUSED_UNUSED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NUSED_UNUSED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FC_UNUSED_UNUSED_UNUSED" hidden="1">"c8280"</definedName>
    <definedName name="IQ_CHANGE_INVENT_REAL_YOY_UNUSED" hidden="1">"c7400"</definedName>
    <definedName name="IQ_CHANGE_INVENT_REAL_YOY_UNUSED_UNUSED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MBS_ISSUED_AVAIL_SALE_FFIEC" hidden="1">"c12800"</definedName>
    <definedName name="IQ_CMBS_ISSUED_FFIEC" hidden="1">"c12786"</definedName>
    <definedName name="IQ_CMO_FDIC" hidden="1">"c6406"</definedName>
    <definedName name="IQ_COGS" hidden="1">"c175"</definedName>
    <definedName name="IQ_COLLATERAL_TYPE" hidden="1">"c8954"</definedName>
    <definedName name="IQ_COLLECTION_DOMESTIC_FDIC" hidden="1">"c6387"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IND_LOANS_TOT_LOANS_FFIEC" hidden="1">"c13874"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ET_FDIC" hidden="1">"c6317"</definedName>
    <definedName name="IQ_COMMERCIAL_INDUSTRIAL_LOANS_NON_ACCRUAL_FFIEC" hidden="1">"c13323"</definedName>
    <definedName name="IQ_COMMERCIAL_INDUSTRIAL_NET_CHARGE_OFFS_FDIC" hidden="1">"c6636"</definedName>
    <definedName name="IQ_COMMERCIAL_INDUSTRIAL_NON_US_CHARGE_OFFS_FFIEC" hidden="1">"c13179"</definedName>
    <definedName name="IQ_COMMERCIAL_INDUSTRIAL_NON_US_RECOV_FFIEC" hidden="1">"c13201"</definedName>
    <definedName name="IQ_COMMERCIAL_INDUSTRIAL_RECOVERIES_FDIC" hidden="1">"c6617"</definedName>
    <definedName name="IQ_COMMERCIAL_INDUSTRIAL_RISK_BASED_FFIEC" hidden="1">"c13431"</definedName>
    <definedName name="IQ_COMMERCIAL_INDUSTRIAL_TOTAL_LOANS_FOREIGN_FDIC" hidden="1">"c6451"</definedName>
    <definedName name="IQ_COMMERCIAL_INDUSTRIAL_TRADING_DOM_FFIEC" hidden="1">"c12932"</definedName>
    <definedName name="IQ_COMMERCIAL_INDUSTRIAL_US_CHARGE_OFFS_FFIEC" hidden="1">"c13178"</definedName>
    <definedName name="IQ_COMMERCIAL_INDUSTRIAL_US_RECOV_FFIEC" hidden="1">"c13200"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CONSTRUCTION_LAND_DEV_FDIC" hidden="1">"c6526"</definedName>
    <definedName name="IQ_COMMERCIAL_RE_GROSS_LOANS_FFIEC" hidden="1">"c13400"</definedName>
    <definedName name="IQ_COMMERCIAL_RE_LOANS_FDIC" hidden="1">"c6312"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ITMENTS_SELL_SEC_OTHER_OFF_BS_FFIEC" hidden="1">"c13129"</definedName>
    <definedName name="IQ_COMMODITY_EXPOSURE_FFIEC" hidden="1">"c13061"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ACTS_OTHER_COMMODITIES_EQUITIES._FDIC" hidden="1">"c6522"</definedName>
    <definedName name="IQ_CONTRACTS_OTHER_COMMODITIES_EQUITIES_FDIC" hidden="1">"c6522"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P_GOODS_PRICE_INDEX_APR_FC_UNUSED" hidden="1">"c8381"</definedName>
    <definedName name="IQ_CORP_GOODS_PRICE_INDEX_APR_FC_UNUSED_UNUSED_UNUSED" hidden="1">"c8381"</definedName>
    <definedName name="IQ_CORP_GOODS_PRICE_INDEX_APR_UNUSED" hidden="1">"c7501"</definedName>
    <definedName name="IQ_CORP_GOODS_PRICE_INDEX_APR_UNUSED_UNUSED_UNUSED" hidden="1">"c7501"</definedName>
    <definedName name="IQ_CORP_GOODS_PRICE_INDEX_FC_UNUSED" hidden="1">"c7721"</definedName>
    <definedName name="IQ_CORP_GOODS_PRICE_INDEX_FC_UNUSED_UNUSED_UNUSED" hidden="1">"c7721"</definedName>
    <definedName name="IQ_CORP_GOODS_PRICE_INDEX_POP_FC_UNUSED" hidden="1">"c7941"</definedName>
    <definedName name="IQ_CORP_GOODS_PRICE_INDEX_POP_FC_UNUSED_UNUSED_UNUSED" hidden="1">"c7941"</definedName>
    <definedName name="IQ_CORP_GOODS_PRICE_INDEX_POP_UNUSED" hidden="1">"c7061"</definedName>
    <definedName name="IQ_CORP_GOODS_PRICE_INDEX_POP_UNUSED_UNUSED_UNUSED" hidden="1">"c7061"</definedName>
    <definedName name="IQ_CORP_GOODS_PRICE_INDEX_UNUSED" hidden="1">"c6841"</definedName>
    <definedName name="IQ_CORP_GOODS_PRICE_INDEX_UNUSED_UNUSED_UNUSED" hidden="1">"c6841"</definedName>
    <definedName name="IQ_CORP_GOODS_PRICE_INDEX_YOY_FC_UNUSED" hidden="1">"c8161"</definedName>
    <definedName name="IQ_CORP_GOODS_PRICE_INDEX_YOY_FC_UNUSED_UNUSED_UNUSED" hidden="1">"c8161"</definedName>
    <definedName name="IQ_CORP_GOODS_PRICE_INDEX_YOY_UNUSED" hidden="1">"c7281"</definedName>
    <definedName name="IQ_CORP_GOODS_PRICE_INDEX_YOY_UNUSED_UNUSED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_PURCHASED_FFIEC" hidden="1">"c13491"</definedName>
    <definedName name="IQ_COST_INT_DEPOSITS_FFIEC" hidden="1">"c13489"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FDIC" hidden="1">"c6525"</definedName>
    <definedName name="IQ_CREDIT_CARD_LINES_UNUSED_FFIEC" hidden="1">"c13242"</definedName>
    <definedName name="IQ_CREDIT_CARD_LOANS_CHARGE_OFFS_FFIEC" hidden="1">"c13180"</definedName>
    <definedName name="IQ_CREDIT_CARD_LOANS_DUE_30_89_FFIEC" hidden="1">"c13272"</definedName>
    <definedName name="IQ_CREDIT_CARD_LOANS_DUE_90_FFIEC" hidden="1">"c13298"</definedName>
    <definedName name="IQ_CREDIT_CARD_LOANS_FDIC" hidden="1">"c6319"</definedName>
    <definedName name="IQ_CREDIT_CARD_LOANS_NON_ACCRUAL_FFIEC" hidden="1">"c13324"</definedName>
    <definedName name="IQ_CREDIT_CARD_LOANS_RECOV_FFIEC" hidden="1">"c13202"</definedName>
    <definedName name="IQ_CREDIT_CARD_NET_CHARGE_OFFS_FDIC" hidden="1">"c6654"</definedName>
    <definedName name="IQ_CREDIT_CARD_RECOVERIES_FDIC" hidden="1">"c6653"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_PROVISION_NET_CHARGE_OFFS_FDIC" hidden="1">"c6734"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FC_UNUSED_UNUSED_UNUSED" hidden="1">"c8387"</definedName>
    <definedName name="IQ_CURR_ACCT_BALANCE_APR_UNUSED" hidden="1">"c7507"</definedName>
    <definedName name="IQ_CURR_ACCT_BALANCE_APR_UNUSED_UNUSED_UNUSED" hidden="1">"c7507"</definedName>
    <definedName name="IQ_CURR_ACCT_BALANCE_FC_UNUSED" hidden="1">"c7727"</definedName>
    <definedName name="IQ_CURR_ACCT_BALANCE_FC_UNUSED_UNUSED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FC_UNUSED_UNUSED_UNUSED" hidden="1">"c7947"</definedName>
    <definedName name="IQ_CURR_ACCT_BALANCE_POP_UNUSED" hidden="1">"c7067"</definedName>
    <definedName name="IQ_CURR_ACCT_BALANCE_POP_UNUSED_UNUSED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NUSED_UNUSED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FC_UNUSED_UNUSED_UNUSED" hidden="1">"c8167"</definedName>
    <definedName name="IQ_CURR_ACCT_BALANCE_YOY_UNUSED" hidden="1">"c7287"</definedName>
    <definedName name="IQ_CURR_ACCT_BALANCE_YOY_UNUSED_UNUSED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TOMER_LIAB_ACCEPTANCES_OUT_FFIEC" hidden="1">"c12835"</definedName>
    <definedName name="IQ_CY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A_PROCESSING_EXP_FFIEC" hidden="1">"c13047"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ES" hidden="1">"c1356"</definedName>
    <definedName name="IQ_DEMAND_DEP" hidden="1">"c320"</definedName>
    <definedName name="IQ_DEMAND_DEPOSITS_COMMERCIAL_BANK_SUBS_FFIEC" hidden="1">"c12945"</definedName>
    <definedName name="IQ_DEMAND_DEPOSITS_FDIC" hidden="1">"c6489"</definedName>
    <definedName name="IQ_DEMAND_DEPOSITS_TOT_DEPOSITS_FFIEC" hidden="1">"c13902"</definedName>
    <definedName name="IQ_DEPOSIT_ACCOUNTS_LESS_THAN_100K_FDIC" hidden="1">"c6494"</definedName>
    <definedName name="IQ_DEPOSIT_ACCOUNTS_MORE_THAN_100K_FDIC" hidden="1">"c6492"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FFIEC" hidden="1">"c12853"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100K_COMMERCIAL_BANK_SUBS_FFIEC" hidden="1">"c12948"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EST_CIQ" hidden="1">"c4802"</definedName>
    <definedName name="IQ_DISTRIBUTABLE_CASH_HIGH_EST_CIQ" hidden="1">"c4805"</definedName>
    <definedName name="IQ_DISTRIBUTABLE_CASH_LOW_EST_CIQ" hidden="1">"c4806"</definedName>
    <definedName name="IQ_DISTRIBUTABLE_CASH_MEDIAN_EST_CIQ" hidden="1">"c4807"</definedName>
    <definedName name="IQ_DISTRIBUTABLE_CASH_NUM_EST_CIQ" hidden="1">"c4808"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EST_CIQ" hidden="1">"c4810"</definedName>
    <definedName name="IQ_DISTRIBUTABLE_CASH_SHARE_HIGH_EST_CIQ" hidden="1">"c4813"</definedName>
    <definedName name="IQ_DISTRIBUTABLE_CASH_SHARE_LOW_EST_CIQ" hidden="1">"c4814"</definedName>
    <definedName name="IQ_DISTRIBUTABLE_CASH_SHARE_MEDIAN_EST_CIQ" hidden="1">"c4815"</definedName>
    <definedName name="IQ_DISTRIBUTABLE_CASH_SHARE_NUM_EST_CIQ" hidden="1">"c4816"</definedName>
    <definedName name="IQ_DISTRIBUTABLE_CASH_SHARE_STDDEV_EST_CIQ" hidden="1">"c4817"</definedName>
    <definedName name="IQ_DISTRIBUTABLE_CASH_STDDEV_EST_CIQ" hidden="1">"c4819"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COMMON_FFIEC" hidden="1">"c12969"</definedName>
    <definedName name="IQ_DIVIDENDS_DECLARED_PREFERRED_FDIC" hidden="1">"c6658"</definedName>
    <definedName name="IQ_DIVIDENDS_DECLARED_PREFERRED_FFIEC" hidden="1">"c12968"</definedName>
    <definedName name="IQ_DIVIDENDS_FDIC" hidden="1">"c6660"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AVG_ASSETS_FFIEC" hidden="1">"c13354"</definedName>
    <definedName name="IQ_EARNING_ASSETS_FDIC" hidden="1">"c6360"</definedName>
    <definedName name="IQ_EARNING_ASSETS_QUARTERLY_AVG_FFIEC" hidden="1">"c13086"</definedName>
    <definedName name="IQ_EARNING_ASSETS_REPRICE_ASSETS_TOT_FFIEC" hidden="1">"c13451"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ANNOUNCE_DATE_REUT" hidden="1">"c5314"</definedName>
    <definedName name="IQ_EARNINGS_CO_FFIEC" hidden="1">"c13032"</definedName>
    <definedName name="IQ_EARNINGS_COVERAGE_LOSSES_FFIEC" hidden="1">"c13351"</definedName>
    <definedName name="IQ_EARNINGS_COVERAGE_NET_CHARGE_OFFS_FDIC" hidden="1">"c6735"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EQ_INC" hidden="1">"c3498"</definedName>
    <definedName name="IQ_EBIT_EQ_INC_EXCL_SBC" hidden="1">"c3502"</definedName>
    <definedName name="IQ_EBIT_EST" hidden="1">"c1681"</definedName>
    <definedName name="IQ_EBIT_EXCL_SBC" hidden="1">"c3082"</definedName>
    <definedName name="IQ_EBIT_GW_ACT_OR_EST" hidden="1">"c4306"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GW_ACT_OR_EST" hidden="1">"c4320"</definedName>
    <definedName name="IQ_EBIT_SBC_GW_ACT_OR_EST_CIQ" hidden="1">"c4845"</definedName>
    <definedName name="IQ_EBIT_STDDEV_EST" hidden="1">"c1686"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ST_REUT" hidden="1">"c3640"</definedName>
    <definedName name="IQ_EBITDA_EXCL_SBC" hidden="1">"c3081"</definedName>
    <definedName name="IQ_EBITDA_HIGH_EST" hidden="1">"c370"</definedName>
    <definedName name="IQ_EBITDA_HIGH_EST_CIQ" hidden="1">"c3624"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CIQ" hidden="1">"c3625"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MEDIAN_EST_REUT" hidden="1">"c3641"</definedName>
    <definedName name="IQ_EBITDA_NUM_EST" hidden="1">"c374"</definedName>
    <definedName name="IQ_EBITDA_NUM_EST_CIQ" hidden="1">"c3626"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TDDEV_EST" hidden="1">"c375"</definedName>
    <definedName name="IQ_EBITDA_STDDEV_EST_CIQ" hidden="1">"c3627"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GW_ACT_OR_EST" hidden="1">"c4354"</definedName>
    <definedName name="IQ_EBT_SBC_GW_ACT_OR_EST_CIQ" hidden="1">"c4879"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25_UNUSED_UNUSED_UNUSED" hidden="1">"c6825"</definedName>
    <definedName name="IQ_ECO_METRIC_6839_UNUSED" hidden="1">"c6839"</definedName>
    <definedName name="IQ_ECO_METRIC_6839_UNUSED_UNUSED_UNUSED" hidden="1">"c6839"</definedName>
    <definedName name="IQ_ECO_METRIC_6896_UNUSED" hidden="1">"c6896"</definedName>
    <definedName name="IQ_ECO_METRIC_6896_UNUSED_UNUSED_UNUSED" hidden="1">"c6896"</definedName>
    <definedName name="IQ_ECO_METRIC_6897_UNUSED" hidden="1">"c6897"</definedName>
    <definedName name="IQ_ECO_METRIC_6897_UNUSED_UNUSED_UNUSED" hidden="1">"c6897"</definedName>
    <definedName name="IQ_ECO_METRIC_6927" hidden="1">"c6927"</definedName>
    <definedName name="IQ_ECO_METRIC_6988_UNUSED" hidden="1">"c6988"</definedName>
    <definedName name="IQ_ECO_METRIC_6988_UNUSED_UNUSED_UNUSED" hidden="1">"c6988"</definedName>
    <definedName name="IQ_ECO_METRIC_7045_UNUSED" hidden="1">"c7045"</definedName>
    <definedName name="IQ_ECO_METRIC_7045_UNUSED_UNUSED_UNUSED" hidden="1">"c7045"</definedName>
    <definedName name="IQ_ECO_METRIC_7059_UNUSED" hidden="1">"c7059"</definedName>
    <definedName name="IQ_ECO_METRIC_7059_UNUSED_UNUSED_UNUSED" hidden="1">"c7059"</definedName>
    <definedName name="IQ_ECO_METRIC_7116_UNUSED" hidden="1">"c7116"</definedName>
    <definedName name="IQ_ECO_METRIC_7116_UNUSED_UNUSED_UNUSED" hidden="1">"c7116"</definedName>
    <definedName name="IQ_ECO_METRIC_7117_UNUSED" hidden="1">"c7117"</definedName>
    <definedName name="IQ_ECO_METRIC_7117_UNUSED_UNUSED_UNUSED" hidden="1">"c7117"</definedName>
    <definedName name="IQ_ECO_METRIC_7147" hidden="1">"c7147"</definedName>
    <definedName name="IQ_ECO_METRIC_7208_UNUSED" hidden="1">"c7208"</definedName>
    <definedName name="IQ_ECO_METRIC_7208_UNUSED_UNUSED_UNUSED" hidden="1">"c7208"</definedName>
    <definedName name="IQ_ECO_METRIC_7265_UNUSED" hidden="1">"c7265"</definedName>
    <definedName name="IQ_ECO_METRIC_7265_UNUSED_UNUSED_UNUSED" hidden="1">"c7265"</definedName>
    <definedName name="IQ_ECO_METRIC_7279_UNUSED" hidden="1">"c7279"</definedName>
    <definedName name="IQ_ECO_METRIC_7279_UNUSED_UNUSED_UNUSED" hidden="1">"c7279"</definedName>
    <definedName name="IQ_ECO_METRIC_7336_UNUSED" hidden="1">"c7336"</definedName>
    <definedName name="IQ_ECO_METRIC_7336_UNUSED_UNUSED_UNUSED" hidden="1">"c7336"</definedName>
    <definedName name="IQ_ECO_METRIC_7337_UNUSED" hidden="1">"c7337"</definedName>
    <definedName name="IQ_ECO_METRIC_7337_UNUSED_UNUSED_UNUSED" hidden="1">"c7337"</definedName>
    <definedName name="IQ_ECO_METRIC_7367" hidden="1">"c7367"</definedName>
    <definedName name="IQ_ECO_METRIC_7428_UNUSED" hidden="1">"c7428"</definedName>
    <definedName name="IQ_ECO_METRIC_7428_UNUSED_UNUSED_UNUSED" hidden="1">"c7428"</definedName>
    <definedName name="IQ_ECO_METRIC_7556_UNUSED" hidden="1">"c7556"</definedName>
    <definedName name="IQ_ECO_METRIC_7556_UNUSED_UNUSED_UNUSED" hidden="1">"c7556"</definedName>
    <definedName name="IQ_ECO_METRIC_7557_UNUSED" hidden="1">"c7557"</definedName>
    <definedName name="IQ_ECO_METRIC_7557_UNUSED_UNUSED_UNUSED" hidden="1">"c7557"</definedName>
    <definedName name="IQ_ECO_METRIC_7587" hidden="1">"c7587"</definedName>
    <definedName name="IQ_ECO_METRIC_7648_UNUSED" hidden="1">"c7648"</definedName>
    <definedName name="IQ_ECO_METRIC_7648_UNUSED_UNUSED_UNUSED" hidden="1">"c7648"</definedName>
    <definedName name="IQ_ECO_METRIC_7704" hidden="1">"c7704"</definedName>
    <definedName name="IQ_ECO_METRIC_7705_UNUSED" hidden="1">"c7705"</definedName>
    <definedName name="IQ_ECO_METRIC_7705_UNUSED_UNUSED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19_UNUSED_UNUSED_UNUSED" hidden="1">"c7719"</definedName>
    <definedName name="IQ_ECO_METRIC_7776_UNUSED" hidden="1">"c7776"</definedName>
    <definedName name="IQ_ECO_METRIC_7776_UNUSED_UNUSED_UNUSED" hidden="1">"c7776"</definedName>
    <definedName name="IQ_ECO_METRIC_7777_UNUSED" hidden="1">"c7777"</definedName>
    <definedName name="IQ_ECO_METRIC_7777_UNUSED_UNUSED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68_UNUSED_UNUSED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5_UNUSED_UNUSED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39_UNUSED_UNUSED_UNUSED" hidden="1">"c7939"</definedName>
    <definedName name="IQ_ECO_METRIC_7996_UNUSED" hidden="1">"c7996"</definedName>
    <definedName name="IQ_ECO_METRIC_7996_UNUSED_UNUSED_UNUSED" hidden="1">"c7996"</definedName>
    <definedName name="IQ_ECO_METRIC_7997_UNUSED" hidden="1">"c7997"</definedName>
    <definedName name="IQ_ECO_METRIC_7997_UNUSED_UNUSED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88_UNUSED_UNUSED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5_UNUSED_UNUSED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159_UNUSED_UNUSED_UNUSED" hidden="1">"c8159"</definedName>
    <definedName name="IQ_ECO_METRIC_8216_UNUSED" hidden="1">"c8216"</definedName>
    <definedName name="IQ_ECO_METRIC_8216_UNUSED_UNUSED_UNUSED" hidden="1">"c8216"</definedName>
    <definedName name="IQ_ECO_METRIC_8217_UNUSED" hidden="1">"c8217"</definedName>
    <definedName name="IQ_ECO_METRIC_8217_UNUSED_UNUSED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08_UNUSED_UNUSED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6_UNUSED_UNUSED_UNUSED" hidden="1">"c8436"</definedName>
    <definedName name="IQ_ECO_METRIC_8437_UNUSED" hidden="1">"c8437"</definedName>
    <definedName name="IQ_ECO_METRIC_8437_UNUSED_UNUSED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28_UNUSED_UNUSED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FFICIENCY_RATIO_FDIC" hidden="1">"c6736"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P" hidden="1">"c8880"</definedName>
    <definedName name="IQ_EPS_AP_ABS" hidden="1">"c8899"</definedName>
    <definedName name="IQ_EPS_EST" hidden="1">"c399"</definedName>
    <definedName name="IQ_EPS_EST_BOTTOM_UP_CIQ" hidden="1">"c12026"</definedName>
    <definedName name="IQ_EPS_EST_CIQ" hidden="1">"c4994"</definedName>
    <definedName name="IQ_EPS_EST_REUT" hidden="1">"c5453"</definedName>
    <definedName name="IQ_EPS_GW_ACT_OR_EST" hidden="1">"c2223"</definedName>
    <definedName name="IQ_EPS_GW_ACT_OR_EST_CIQ" hidden="1">"c5066"</definedName>
    <definedName name="IQ_EPS_GW_EST" hidden="1">"c1737"</definedName>
    <definedName name="IQ_EPS_GW_EST_BOTTOM_UP_CIQ" hidden="1">"c12028"</definedName>
    <definedName name="IQ_EPS_GW_EST_CIQ" hidden="1">"c4723"</definedName>
    <definedName name="IQ_EPS_GW_EST_REUT" hidden="1">"c5389"</definedName>
    <definedName name="IQ_EPS_GW_HIGH_EST" hidden="1">"c1739"</definedName>
    <definedName name="IQ_EPS_GW_HIGH_EST_CIQ" hidden="1">"c4725"</definedName>
    <definedName name="IQ_EPS_GW_HIGH_EST_REUT" hidden="1">"c5391"</definedName>
    <definedName name="IQ_EPS_GW_LOW_EST" hidden="1">"c1740"</definedName>
    <definedName name="IQ_EPS_GW_LOW_EST_CIQ" hidden="1">"c4726"</definedName>
    <definedName name="IQ_EPS_GW_LOW_EST_REUT" hidden="1">"c5392"</definedName>
    <definedName name="IQ_EPS_GW_MEDIAN_EST" hidden="1">"c1738"</definedName>
    <definedName name="IQ_EPS_GW_MEDIAN_EST_CIQ" hidden="1">"c4724"</definedName>
    <definedName name="IQ_EPS_GW_MEDIAN_EST_REUT" hidden="1">"c5390"</definedName>
    <definedName name="IQ_EPS_GW_NUM_EST" hidden="1">"c1741"</definedName>
    <definedName name="IQ_EPS_GW_NUM_EST_CIQ" hidden="1">"c4727"</definedName>
    <definedName name="IQ_EPS_GW_NUM_EST_REUT" hidden="1">"c5393"</definedName>
    <definedName name="IQ_EPS_GW_STDDEV_EST" hidden="1">"c1742"</definedName>
    <definedName name="IQ_EPS_GW_STDDEV_EST_CIQ" hidden="1">"c4728"</definedName>
    <definedName name="IQ_EPS_GW_STDDEV_EST_REUT" hidden="1">"c5394"</definedName>
    <definedName name="IQ_EPS_HIGH_EST" hidden="1">"c400"</definedName>
    <definedName name="IQ_EPS_HIGH_EST_CIQ" hidden="1">"c4995"</definedName>
    <definedName name="IQ_EPS_HIGH_EST_REUT" hidden="1">"c5454"</definedName>
    <definedName name="IQ_EPS_LOW_EST" hidden="1">"c401"</definedName>
    <definedName name="IQ_EPS_LOW_EST_CIQ" hidden="1">"c4996"</definedName>
    <definedName name="IQ_EPS_LOW_EST_REUT" hidden="1">"c5455"</definedName>
    <definedName name="IQ_EPS_MEDIAN_EST" hidden="1">"c1661"</definedName>
    <definedName name="IQ_EPS_MEDIAN_EST_CIQ" hidden="1">"c4997"</definedName>
    <definedName name="IQ_EPS_MEDIAN_EST_REUT" hidden="1">"c5456"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BOTTOM_UP_CIQ" hidden="1">"c12027"</definedName>
    <definedName name="IQ_EPS_NORM_EST_CIQ" hidden="1">"c4667"</definedName>
    <definedName name="IQ_EPS_NORM_EST_REUT" hidden="1">"c5326"</definedName>
    <definedName name="IQ_EPS_NORM_HIGH_EST" hidden="1">"c2228"</definedName>
    <definedName name="IQ_EPS_NORM_HIGH_EST_CIQ" hidden="1">"c4669"</definedName>
    <definedName name="IQ_EPS_NORM_HIGH_EST_REUT" hidden="1">"c5328"</definedName>
    <definedName name="IQ_EPS_NORM_LOW_EST" hidden="1">"c2229"</definedName>
    <definedName name="IQ_EPS_NORM_LOW_EST_CIQ" hidden="1">"c4670"</definedName>
    <definedName name="IQ_EPS_NORM_LOW_EST_REUT" hidden="1">"c5329"</definedName>
    <definedName name="IQ_EPS_NORM_MEDIAN_EST" hidden="1">"c2227"</definedName>
    <definedName name="IQ_EPS_NORM_MEDIAN_EST_CIQ" hidden="1">"c4668"</definedName>
    <definedName name="IQ_EPS_NORM_MEDIAN_EST_REUT" hidden="1">"c5327"</definedName>
    <definedName name="IQ_EPS_NORM_NUM_EST" hidden="1">"c2230"</definedName>
    <definedName name="IQ_EPS_NORM_NUM_EST_CIQ" hidden="1">"c4671"</definedName>
    <definedName name="IQ_EPS_NORM_NUM_EST_REUT" hidden="1">"c5330"</definedName>
    <definedName name="IQ_EPS_NORM_STDDEV_EST" hidden="1">"c2231"</definedName>
    <definedName name="IQ_EPS_NORM_STDDEV_EST_CIQ" hidden="1">"c4672"</definedName>
    <definedName name="IQ_EPS_NORM_STDDEV_EST_REUT" hidden="1">"c5331"</definedName>
    <definedName name="IQ_EPS_NUM_EST" hidden="1">"c402"</definedName>
    <definedName name="IQ_EPS_NUM_EST_CIQ" hidden="1">"c4992"</definedName>
    <definedName name="IQ_EPS_NUM_EST_REUT" hidden="1">"c5451"</definedName>
    <definedName name="IQ_EPS_REPORT_ACT_OR_EST" hidden="1">"c2224"</definedName>
    <definedName name="IQ_EPS_REPORT_ACT_OR_EST_CIQ" hidden="1">"c5067"</definedName>
    <definedName name="IQ_EPS_REPORTED_EST" hidden="1">"c1744"</definedName>
    <definedName name="IQ_EPS_REPORTED_EST_BOTTOM_UP_CIQ" hidden="1">"c12029"</definedName>
    <definedName name="IQ_EPS_REPORTED_EST_CIQ" hidden="1">"c4730"</definedName>
    <definedName name="IQ_EPS_REPORTED_EST_REUT" hidden="1">"c5396"</definedName>
    <definedName name="IQ_EPS_REPORTED_HIGH_EST" hidden="1">"c1746"</definedName>
    <definedName name="IQ_EPS_REPORTED_HIGH_EST_CIQ" hidden="1">"c4732"</definedName>
    <definedName name="IQ_EPS_REPORTED_HIGH_EST_REUT" hidden="1">"c5398"</definedName>
    <definedName name="IQ_EPS_REPORTED_LOW_EST" hidden="1">"c1747"</definedName>
    <definedName name="IQ_EPS_REPORTED_LOW_EST_CIQ" hidden="1">"c4733"</definedName>
    <definedName name="IQ_EPS_REPORTED_LOW_EST_REUT" hidden="1">"c5399"</definedName>
    <definedName name="IQ_EPS_REPORTED_MEDIAN_EST" hidden="1">"c1745"</definedName>
    <definedName name="IQ_EPS_REPORTED_MEDIAN_EST_CIQ" hidden="1">"c4731"</definedName>
    <definedName name="IQ_EPS_REPORTED_MEDIAN_EST_REUT" hidden="1">"c5397"</definedName>
    <definedName name="IQ_EPS_REPORTED_NUM_EST" hidden="1">"c1748"</definedName>
    <definedName name="IQ_EPS_REPORTED_NUM_EST_CIQ" hidden="1">"c4734"</definedName>
    <definedName name="IQ_EPS_REPORTED_NUM_EST_REUT" hidden="1">"c5400"</definedName>
    <definedName name="IQ_EPS_REPORTED_STDDEV_EST" hidden="1">"c1749"</definedName>
    <definedName name="IQ_EPS_REPORTED_STDDEV_EST_CIQ" hidden="1">"c4735"</definedName>
    <definedName name="IQ_EPS_REPORTED_STDDEV_EST_REUT" hidden="1">"c5401"</definedName>
    <definedName name="IQ_EPS_SBC_ACT_OR_EST" hidden="1">"c4376"</definedName>
    <definedName name="IQ_EPS_SBC_ACT_OR_EST_CIQ" hidden="1">"c4901"</definedName>
    <definedName name="IQ_EPS_SBC_GW_ACT_OR_EST" hidden="1">"c4380"</definedName>
    <definedName name="IQ_EPS_SBC_GW_ACT_OR_EST_CIQ" hidden="1">"c4905"</definedName>
    <definedName name="IQ_EPS_STDDEV_EST" hidden="1">"c403"</definedName>
    <definedName name="IQ_EPS_STDDEV_EST_CIQ" hidden="1">"c4993"</definedName>
    <definedName name="IQ_EPS_STDDEV_EST_REUT" hidden="1">"c5452"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ASSETS_FDIC" hidden="1">"c6744"</definedName>
    <definedName name="IQ_EQUITY_CAPITAL_QUARTERLY_AVG_FFIEC" hidden="1">"c13092"</definedName>
    <definedName name="IQ_EQUITY_ENDING_FFIEC" hidden="1">"c12973"</definedName>
    <definedName name="IQ_EQUITY_FDIC" hidden="1">"c6353"</definedName>
    <definedName name="IQ_EQUITY_INDEX_EXPOSURE_FFIEC" hidden="1">"c13060"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FDIC" hidden="1">"c6304"</definedName>
    <definedName name="IQ_EQUITY_SECURITIES_WITHOUT_FAIR_VALUES_FFIEC" hidden="1">"c12846"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BITDA_CIQ" hidden="1">"c3667"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GW_REUT" hidden="1">"c5395"</definedName>
    <definedName name="IQ_EST_ACT_EPS_NORM" hidden="1">"c2232"</definedName>
    <definedName name="IQ_EST_ACT_EPS_NORM_CIQ" hidden="1">"c4673"</definedName>
    <definedName name="IQ_EST_ACT_EPS_NORM_REUT" hidden="1">"c5332"</definedName>
    <definedName name="IQ_EST_ACT_EPS_REPORTED" hidden="1">"c1750"</definedName>
    <definedName name="IQ_EST_ACT_EPS_REPORTED_CIQ" hidden="1">"c4736"</definedName>
    <definedName name="IQ_EST_ACT_EPS_REPORTED_REUT" hidden="1">"c5402"</definedName>
    <definedName name="IQ_EST_ACT_FFO" hidden="1">"c1666"</definedName>
    <definedName name="IQ_EST_ACT_FFO_THOM" hidden="1">"c4005"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ACT_REV_CIQ" hidden="1">"c3666"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CURRENCY_CIQ" hidden="1">"c4769"</definedName>
    <definedName name="IQ_EST_CURRENCY_REUT" hidden="1">"c5437"</definedName>
    <definedName name="IQ_EST_DATE" hidden="1">"c1634"</definedName>
    <definedName name="IQ_EST_DATE_CIQ" hidden="1">"c4770"</definedName>
    <definedName name="IQ_EST_DATE_REUT" hidden="1">"c5438"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DIFF_CIQ" hidden="1">"c3719"</definedName>
    <definedName name="IQ_EST_EBITDA_GROWTH_1YR" hidden="1">"c1766"</definedName>
    <definedName name="IQ_EST_EBITDA_GROWTH_1YR_CIQ" hidden="1">"c3695"</definedName>
    <definedName name="IQ_EST_EBITDA_GROWTH_2YR" hidden="1">"c1767"</definedName>
    <definedName name="IQ_EST_EBITDA_GROWTH_2YR_CIQ" hidden="1">"c3696"</definedName>
    <definedName name="IQ_EST_EBITDA_GROWTH_Q_1YR" hidden="1">"c1768"</definedName>
    <definedName name="IQ_EST_EBITDA_GROWTH_Q_1YR_CIQ" hidden="1">"c3697"</definedName>
    <definedName name="IQ_EST_EBITDA_SEQ_GROWTH_Q" hidden="1">"c1769"</definedName>
    <definedName name="IQ_EST_EBITDA_SEQ_GROWTH_Q_CIQ" hidden="1">"c3698"</definedName>
    <definedName name="IQ_EST_EBITDA_SURPRISE_PERCENT" hidden="1">"c1868"</definedName>
    <definedName name="IQ_EST_EBITDA_SURPRISE_PERCENT_CIQ" hidden="1">"c3720"</definedName>
    <definedName name="IQ_EST_EPS_DIFF" hidden="1">"c1864"</definedName>
    <definedName name="IQ_EST_EPS_DIFF_CIQ" hidden="1">"c4999"</definedName>
    <definedName name="IQ_EST_EPS_GROWTH_1YR" hidden="1">"c1636"</definedName>
    <definedName name="IQ_EST_EPS_GROWTH_1YR_CIQ" hidden="1">"c3628"</definedName>
    <definedName name="IQ_EST_EPS_GROWTH_1YR_REUT" hidden="1">"c3646"</definedName>
    <definedName name="IQ_EST_EPS_GROWTH_2YR" hidden="1">"c1637"</definedName>
    <definedName name="IQ_EST_EPS_GROWTH_2YR_CIQ" hidden="1">"c3689"</definedName>
    <definedName name="IQ_EST_EPS_GROWTH_5YR" hidden="1">"c1655"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REUT" hidden="1">"c3633"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ROWTH_Q_1YR_REUT" hidden="1">"c5410"</definedName>
    <definedName name="IQ_EST_EPS_GW_DIFF" hidden="1">"c1891"</definedName>
    <definedName name="IQ_EST_EPS_GW_DIFF_CIQ" hidden="1">"c4761"</definedName>
    <definedName name="IQ_EST_EPS_GW_DIFF_REUT" hidden="1">"c5429"</definedName>
    <definedName name="IQ_EST_EPS_GW_SURPRISE_PERCENT" hidden="1">"c1892"</definedName>
    <definedName name="IQ_EST_EPS_GW_SURPRISE_PERCENT_CIQ" hidden="1">"c4762"</definedName>
    <definedName name="IQ_EST_EPS_GW_SURPRISE_PERCENT_REUT" hidden="1">"c5430"</definedName>
    <definedName name="IQ_EST_EPS_NORM_DIFF" hidden="1">"c2247"</definedName>
    <definedName name="IQ_EST_EPS_NORM_DIFF_CIQ" hidden="1">"c4745"</definedName>
    <definedName name="IQ_EST_EPS_NORM_DIFF_REUT" hidden="1">"c5411"</definedName>
    <definedName name="IQ_EST_EPS_NORM_SURPRISE_PERCENT" hidden="1">"c2248"</definedName>
    <definedName name="IQ_EST_EPS_NORM_SURPRISE_PERCENT_CIQ" hidden="1">"c4746"</definedName>
    <definedName name="IQ_EST_EPS_NORM_SURPRISE_PERCENT_REUT" hidden="1">"c5412"</definedName>
    <definedName name="IQ_EST_EPS_REPORT_DIFF" hidden="1">"c1893"</definedName>
    <definedName name="IQ_EST_EPS_REPORT_DIFF_CIQ" hidden="1">"c4763"</definedName>
    <definedName name="IQ_EST_EPS_REPORT_DIFF_REUT" hidden="1">"c5431"</definedName>
    <definedName name="IQ_EST_EPS_REPORT_SURPRISE_PERCENT" hidden="1">"c1894"</definedName>
    <definedName name="IQ_EST_EPS_REPORT_SURPRISE_PERCENT_CIQ" hidden="1">"c4764"</definedName>
    <definedName name="IQ_EST_EPS_REPORT_SURPRISE_PERCENT_REUT" hidden="1">"c5432"</definedName>
    <definedName name="IQ_EST_EPS_SEQ_GROWTH_Q" hidden="1">"c1764"</definedName>
    <definedName name="IQ_EST_EPS_SEQ_GROWTH_Q_CIQ" hidden="1">"c3690"</definedName>
    <definedName name="IQ_EST_EPS_SURPRISE" hidden="1">"c1635"</definedName>
    <definedName name="IQ_EST_EPS_SURPRISE_PERCENT" hidden="1">"c1635"</definedName>
    <definedName name="IQ_EST_EPS_SURPRISE_PERCENT_CIQ" hidden="1">"c5000"</definedName>
    <definedName name="IQ_EST_FAIR_VALUE_MORT_SERVICING_ASSETS_FFIEC" hidden="1">"c12956"</definedName>
    <definedName name="IQ_EST_FFO_DIFF" hidden="1">"c1869"</definedName>
    <definedName name="IQ_EST_FFO_DIFF_THOM" hidden="1">"c5186"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FFO_SURPRISE_PERCENT_THOM" hidden="1">"c5187"</definedName>
    <definedName name="IQ_EST_FOOTNOTE" hidden="1">"c4540"</definedName>
    <definedName name="IQ_EST_FOOTNOTE_CIQ" hidden="1">"c12022"</definedName>
    <definedName name="IQ_EST_NAV_DIFF" hidden="1">"c1895"</definedName>
    <definedName name="IQ_EST_NAV_SURPRISE_PERCENT" hidden="1">"c1896"</definedName>
    <definedName name="IQ_EST_NEXT_EARNINGS_DATE" hidden="1">"c13591"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EST_REC" hidden="1">"c5648"</definedName>
    <definedName name="IQ_EST_NUM_HIGHEST_REC_CIQ" hidden="1">"c3700"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EST_REC" hidden="1">"c5652"</definedName>
    <definedName name="IQ_EST_NUM_LOWEST_REC_CIQ" hidden="1">"c3704"</definedName>
    <definedName name="IQ_EST_NUM_NEUTRAL_REC" hidden="1">"c5650"</definedName>
    <definedName name="IQ_EST_NUM_NEUTRAL_REC_CIQ" hidden="1">"c3702"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DIFF_CIQ" hidden="1">"c3717"</definedName>
    <definedName name="IQ_EST_REV_GROWTH_1YR" hidden="1">"c1638"</definedName>
    <definedName name="IQ_EST_REV_GROWTH_1YR_CIQ" hidden="1">"c3691"</definedName>
    <definedName name="IQ_EST_REV_GROWTH_2YR" hidden="1">"c1639"</definedName>
    <definedName name="IQ_EST_REV_GROWTH_2YR_CIQ" hidden="1">"c3692"</definedName>
    <definedName name="IQ_EST_REV_GROWTH_Q_1YR" hidden="1">"c1640"</definedName>
    <definedName name="IQ_EST_REV_GROWTH_Q_1YR_CIQ" hidden="1">"c3693"</definedName>
    <definedName name="IQ_EST_REV_SEQ_GROWTH_Q" hidden="1">"c1765"</definedName>
    <definedName name="IQ_EST_REV_SEQ_GROWTH_Q_CIQ" hidden="1">"c3694"</definedName>
    <definedName name="IQ_EST_REV_SURPRISE_PERCENT" hidden="1">"c1866"</definedName>
    <definedName name="IQ_EST_REV_SURPRISE_PERCENT_CIQ" hidden="1">"c3718"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DATE" hidden="1">"c13819"</definedName>
    <definedName name="IQ_EVENT_ID" hidden="1">"c13818"</definedName>
    <definedName name="IQ_EVENT_TIME" hidden="1">"c13820"</definedName>
    <definedName name="IQ_EVENT_TYPE" hidden="1">"c13821"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FC_UNUSED_UNUSED_UNUSED" hidden="1">"c8401"</definedName>
    <definedName name="IQ_EXPORTS_APR_UNUSED" hidden="1">"c7521"</definedName>
    <definedName name="IQ_EXPORTS_APR_UNUSED_UNUSED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FC_UNUSED_UNUSED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FC_UNUSED_UNUSED_UNUSED" hidden="1">"c8512"</definedName>
    <definedName name="IQ_EXPORTS_GOODS_REAL_SAAR_APR_UNUSED" hidden="1">"c7632"</definedName>
    <definedName name="IQ_EXPORTS_GOODS_REAL_SAAR_APR_UNUSED_UNUSED_UNUSED" hidden="1">"c7632"</definedName>
    <definedName name="IQ_EXPORTS_GOODS_REAL_SAAR_FC_UNUSED" hidden="1">"c7852"</definedName>
    <definedName name="IQ_EXPORTS_GOODS_REAL_SAAR_FC_UNUSED_UNUSED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FC_UNUSED_UNUSED_UNUSED" hidden="1">"c8072"</definedName>
    <definedName name="IQ_EXPORTS_GOODS_REAL_SAAR_POP_UNUSED" hidden="1">"c7192"</definedName>
    <definedName name="IQ_EXPORTS_GOODS_REAL_SAAR_POP_UNUSED_UNUSED_UNUSED" hidden="1">"c7192"</definedName>
    <definedName name="IQ_EXPORTS_GOODS_REAL_SAAR_UNUSED" hidden="1">"c6972"</definedName>
    <definedName name="IQ_EXPORTS_GOODS_REAL_SAAR_UNUSED_UNUSED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FC_UNUSED_UNUSED_UNUSED" hidden="1">"c8292"</definedName>
    <definedName name="IQ_EXPORTS_GOODS_REAL_SAAR_YOY_UNUSED" hidden="1">"c7412"</definedName>
    <definedName name="IQ_EXPORTS_GOODS_REAL_SAAR_YOY_UNUSED_UNUSED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FC_UNUSED_UNUSED_UNUSED" hidden="1">"c7961"</definedName>
    <definedName name="IQ_EXPORTS_POP_UNUSED" hidden="1">"c7081"</definedName>
    <definedName name="IQ_EXPORTS_POP_UNUSED_UNUSED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FC_UNUSED_UNUSED_UNUSED" hidden="1">"c8516"</definedName>
    <definedName name="IQ_EXPORTS_SERVICES_REAL_SAAR_APR_UNUSED" hidden="1">"c7636"</definedName>
    <definedName name="IQ_EXPORTS_SERVICES_REAL_SAAR_APR_UNUSED_UNUSED_UNUSED" hidden="1">"c7636"</definedName>
    <definedName name="IQ_EXPORTS_SERVICES_REAL_SAAR_FC_UNUSED" hidden="1">"c7856"</definedName>
    <definedName name="IQ_EXPORTS_SERVICES_REAL_SAAR_FC_UNUSED_UNUSED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FC_UNUSED_UNUSED_UNUSED" hidden="1">"c8076"</definedName>
    <definedName name="IQ_EXPORTS_SERVICES_REAL_SAAR_POP_UNUSED" hidden="1">"c7196"</definedName>
    <definedName name="IQ_EXPORTS_SERVICES_REAL_SAAR_POP_UNUSED_UNUSED_UNUSED" hidden="1">"c7196"</definedName>
    <definedName name="IQ_EXPORTS_SERVICES_REAL_SAAR_UNUSED" hidden="1">"c6976"</definedName>
    <definedName name="IQ_EXPORTS_SERVICES_REAL_SAAR_UNUSED_UNUSED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FC_UNUSED_UNUSED_UNUSED" hidden="1">"c8296"</definedName>
    <definedName name="IQ_EXPORTS_SERVICES_REAL_SAAR_YOY_UNUSED" hidden="1">"c7416"</definedName>
    <definedName name="IQ_EXPORTS_SERVICES_REAL_SAAR_YOY_UNUSED_UNUSED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NUSED_UNUSED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FC_UNUSED_UNUSED_UNUSED" hidden="1">"c8181"</definedName>
    <definedName name="IQ_EXPORTS_YOY_UNUSED" hidden="1">"c7301"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ORDINARY_GAINS_FDIC" hidden="1">"c6586"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FDIC" hidden="1">"c6427"</definedName>
    <definedName name="IQ_FARM_LOANS_NET_FDIC" hidden="1">"c6316"</definedName>
    <definedName name="IQ_FARM_LOANS_TOT_LOANS_FFIEC" hidden="1">"c13870"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S_PURCHASED_DOM_FFIEC" hidden="1">"c12856"</definedName>
    <definedName name="IQ_FED_FUNDS_PURCHASED_FDIC" hidden="1">"c6343"</definedName>
    <definedName name="IQ_FED_FUNDS_PURCHASED_QUARTERLY_AVG_FFIEC" hidden="1">"c13090"</definedName>
    <definedName name="IQ_FED_FUNDS_SOLD_DOM_FFIEC" hidden="1">"c12806"</definedName>
    <definedName name="IQ_FED_FUNDS_SOLD_FDIC" hidden="1">"c6307"</definedName>
    <definedName name="IQ_FED_FUNDS_SOLD_QUARTERLY_AVG_FFIEC" hidden="1">"c13080"</definedName>
    <definedName name="IQ_FEDFUNDS_SOLD" hidden="1">"c2256"</definedName>
    <definedName name="IQ_FEES_COMMISSIONS_BROKERAGE_FFIEC" hidden="1">"c13005"</definedName>
    <definedName name="IQ_FFO" hidden="1">"c1574"</definedName>
    <definedName name="IQ_FFO_ACT_OR_EST" hidden="1">"c2216"</definedName>
    <definedName name="IQ_FFO_ADJ_ACT_OR_EST" hidden="1">"c4435"</definedName>
    <definedName name="IQ_FFO_ADJ_ACT_OR_EST_CIQ" hidden="1">"c4960"</definedName>
    <definedName name="IQ_FFO_ADJ_EST_CIQ" hidden="1">"c4959"</definedName>
    <definedName name="IQ_FFO_ADJ_HIGH_EST_CIQ" hidden="1">"c4962"</definedName>
    <definedName name="IQ_FFO_ADJ_LOW_EST_CIQ" hidden="1">"c4963"</definedName>
    <definedName name="IQ_FFO_ADJ_MEDIAN_EST_CIQ" hidden="1">"c4964"</definedName>
    <definedName name="IQ_FFO_ADJ_NUM_EST_CIQ" hidden="1">"c4965"</definedName>
    <definedName name="IQ_FFO_ADJ_STDDEV_EST_CIQ" hidden="1">"c4966"</definedName>
    <definedName name="IQ_FFO_EST" hidden="1">"c418"</definedName>
    <definedName name="IQ_FFO_EST_CIQ" hidden="1">"c4970"</definedName>
    <definedName name="IQ_FFO_EST_THOM" hidden="1">"c3999"</definedName>
    <definedName name="IQ_FFO_HIGH_EST" hidden="1">"c419"</definedName>
    <definedName name="IQ_FFO_HIGH_EST_CIQ" hidden="1">"c4977"</definedName>
    <definedName name="IQ_FFO_HIGH_EST_THOM" hidden="1">"c4001"</definedName>
    <definedName name="IQ_FFO_LOW_EST" hidden="1">"c420"</definedName>
    <definedName name="IQ_FFO_LOW_EST_CIQ" hidden="1">"c4978"</definedName>
    <definedName name="IQ_FFO_LOW_EST_THOM" hidden="1">"c4002"</definedName>
    <definedName name="IQ_FFO_MEDIAN_EST" hidden="1">"c1665"</definedName>
    <definedName name="IQ_FFO_MEDIAN_EST_CIQ" hidden="1">"c4979"</definedName>
    <definedName name="IQ_FFO_MEDIAN_EST_THOM" hidden="1">"c4000"</definedName>
    <definedName name="IQ_FFO_NUM_EST" hidden="1">"c421"</definedName>
    <definedName name="IQ_FFO_NUM_EST_CIQ" hidden="1">"c4980"</definedName>
    <definedName name="IQ_FFO_NUM_EST_THOM" hidden="1">"c4003"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"c4446"</definedName>
    <definedName name="IQ_FFO_SHARE_ACT_OR_EST_CIQ" hidden="1">"c4971"</definedName>
    <definedName name="IQ_FFO_STDDEV_EST" hidden="1">"c422"</definedName>
    <definedName name="IQ_FFO_STDDEV_EST_CIQ" hidden="1">"c4981"</definedName>
    <definedName name="IQ_FFO_STDDEV_EST_THOM" hidden="1">"c4004"</definedName>
    <definedName name="IQ_FH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DUCIARY_INCOME_OPERATING_INC_FFIEC" hidden="1">"c13383"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REUT" hidden="1">"c6798"</definedName>
    <definedName name="IQ_FISCAL_Y" hidden="1">"c441"</definedName>
    <definedName name="IQ_FISCAL_Y_EST" hidden="1">"c6795"</definedName>
    <definedName name="IQ_FISCAL_Y_EST_CIQ" hidden="1">"c6807"</definedName>
    <definedName name="IQ_FISCAL_Y_EST_REUT" hidden="1">"c6799"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FC_UNUSED_UNUSED_UNUSED" hidden="1">"c8410"</definedName>
    <definedName name="IQ_FIXED_INVEST_APR_UNUSED" hidden="1">"c7530"</definedName>
    <definedName name="IQ_FIXED_INVEST_APR_UNUSED_UNUSED_UNUSED" hidden="1">"c7530"</definedName>
    <definedName name="IQ_FIXED_INVEST_FC_UNUSED" hidden="1">"c7750"</definedName>
    <definedName name="IQ_FIXED_INVEST_FC_UNUSED_UNUSED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FC_UNUSED_UNUSED_UNUSED" hidden="1">"c7970"</definedName>
    <definedName name="IQ_FIXED_INVEST_POP_UNUSED" hidden="1">"c7090"</definedName>
    <definedName name="IQ_FIXED_INVEST_POP_UNUSED_UNUSED_UNUSED" hidden="1">"c7090"</definedName>
    <definedName name="IQ_FIXED_INVEST_REAL_APR_FC_UNUSED" hidden="1">"c8518"</definedName>
    <definedName name="IQ_FIXED_INVEST_REAL_APR_FC_UNUSED_UNUSED_UNUSED" hidden="1">"c8518"</definedName>
    <definedName name="IQ_FIXED_INVEST_REAL_APR_UNUSED" hidden="1">"c7638"</definedName>
    <definedName name="IQ_FIXED_INVEST_REAL_APR_UNUSED_UNUSED_UNUSED" hidden="1">"c7638"</definedName>
    <definedName name="IQ_FIXED_INVEST_REAL_FC_UNUSED" hidden="1">"c7858"</definedName>
    <definedName name="IQ_FIXED_INVEST_REAL_FC_UNUSED_UNUSED_UNUSED" hidden="1">"c7858"</definedName>
    <definedName name="IQ_FIXED_INVEST_REAL_POP_FC_UNUSED" hidden="1">"c8078"</definedName>
    <definedName name="IQ_FIXED_INVEST_REAL_POP_FC_UNUSED_UNUSED_UNUSED" hidden="1">"c8078"</definedName>
    <definedName name="IQ_FIXED_INVEST_REAL_POP_UNUSED" hidden="1">"c7198"</definedName>
    <definedName name="IQ_FIXED_INVEST_REAL_POP_UNUSED_UNUSED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NUSED_UNUSED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FC_UNUSED_UNUSED_UNUSED" hidden="1">"c8298"</definedName>
    <definedName name="IQ_FIXED_INVEST_REAL_YOY_UNUSED" hidden="1">"c7418"</definedName>
    <definedName name="IQ_FIXED_INVEST_REAL_YOY_UNUSED_UNUSED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NUSED_UNUSED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FC_UNUSED_UNUSED_UNUSED" hidden="1">"c8190"</definedName>
    <definedName name="IQ_FIXED_INVEST_YOY_UNUSED" hidden="1">"c7310"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DUE_30_89_FFIEC" hidden="1">"c13269"</definedName>
    <definedName name="IQ_FOREIGN_BANKS_DUE_90_FFIEC" hidden="1">"c13295"</definedName>
    <definedName name="IQ_FOREIGN_BANKS_LOAN_CHARG_OFFS_FDIC" hidden="1">"c6645"</definedName>
    <definedName name="IQ_FOREIGN_BANKS_NET_CHARGE_OFFS_FDIC" hidden="1">"c6647"</definedName>
    <definedName name="IQ_FOREIGN_BANKS_NON_ACCRUAL_FFIEC" hidden="1">"c13321"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NONTRANSACTION_ACCOUNTS_FDIC" hidden="1">"c6549"</definedName>
    <definedName name="IQ_FOREIGN_DEPOSITS_TOT_FFIEC" hidden="1">"c13486"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UNDATION_OVER_TOTAL" hidden="1">"c13769"</definedName>
    <definedName name="IQ_FQ">500</definedName>
    <definedName name="IQ_FUEL" hidden="1">"c449"</definedName>
    <definedName name="IQ_FULL_TIME" hidden="1">"c450"</definedName>
    <definedName name="IQ_FULLY_INSURED_DEPOSITS_FDIC" hidden="1">"c6487"</definedName>
    <definedName name="IQ_FUND_FEE_INC_NON_INT_INC_FFIEC" hidden="1">"c13493"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FFIEC" hidden="1">"c13125"</definedName>
    <definedName name="IQ_FX_CONTRACTS_SPOT_FDIC" hidden="1">"c6356"</definedName>
    <definedName name="IQ_FX_EXPOSURE_FFIEC" hidden="1">"c13059"</definedName>
    <definedName name="IQ_FY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ASSETS_FDIC" hidden="1">"c6675"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FFIEC" hidden="1">"c12836"</definedName>
    <definedName name="IQ_GOODWILL_IMPAIRMENT_FDIC" hidden="1">"c6678"</definedName>
    <definedName name="IQ_GOODWILL_IMPAIRMENT_FFIEC" hidden="1">"c13025"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_AVG_LOANS_FFIEC" hidden="1">"c13475"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TARGET_PRICE" hidden="1">"c1651"</definedName>
    <definedName name="IQ_HIGH_TARGET_PRICE_CIQ" hidden="1">"c4659"</definedName>
    <definedName name="IQ_HIGH_TARGET_PRICE_REUT" hidden="1">"c5317"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FC_UNUSED_UNUSED_UNUSED" hidden="1">"c8422"</definedName>
    <definedName name="IQ_HOUSING_COMPLETIONS_SINGLE_FAM_APR_UNUSED" hidden="1">"c7542"</definedName>
    <definedName name="IQ_HOUSING_COMPLETIONS_SINGLE_FAM_APR_UNUSED_UNUSED_UNUSED" hidden="1">"c7542"</definedName>
    <definedName name="IQ_HOUSING_COMPLETIONS_SINGLE_FAM_FC_UNUSED" hidden="1">"c7762"</definedName>
    <definedName name="IQ_HOUSING_COMPLETIONS_SINGLE_FAM_FC_UNUSED_UNUSED_UNUSED" hidden="1">"c7762"</definedName>
    <definedName name="IQ_HOUSING_COMPLETIONS_SINGLE_FAM_POP_FC_UNUSED" hidden="1">"c7982"</definedName>
    <definedName name="IQ_HOUSING_COMPLETIONS_SINGLE_FAM_POP_FC_UNUSED_UNUSED_UNUSED" hidden="1">"c7982"</definedName>
    <definedName name="IQ_HOUSING_COMPLETIONS_SINGLE_FAM_POP_UNUSED" hidden="1">"c7102"</definedName>
    <definedName name="IQ_HOUSING_COMPLETIONS_SINGLE_FAM_POP_UNUSED_UNUSED_UNUSED" hidden="1">"c7102"</definedName>
    <definedName name="IQ_HOUSING_COMPLETIONS_SINGLE_FAM_UNUSED" hidden="1">"c6882"</definedName>
    <definedName name="IQ_HOUSING_COMPLETIONS_SINGLE_FAM_UNUSED_UNUSED_UNUSED" hidden="1">"c6882"</definedName>
    <definedName name="IQ_HOUSING_COMPLETIONS_SINGLE_FAM_YOY_FC_UNUSED" hidden="1">"c8202"</definedName>
    <definedName name="IQ_HOUSING_COMPLETIONS_SINGLE_FAM_YOY_FC_UNUSED_UNUSED_UNUSED" hidden="1">"c8202"</definedName>
    <definedName name="IQ_HOUSING_COMPLETIONS_SINGLE_FAM_YOY_UNUSED" hidden="1">"c7322"</definedName>
    <definedName name="IQ_HOUSING_COMPLETIONS_SINGLE_FAM_YOY_UNUSED_UNUSED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FC_UNUSED_UNUSED_UNUSED" hidden="1">"c8523"</definedName>
    <definedName name="IQ_IMPORTS_GOODS_REAL_SAAR_APR_UNUSED" hidden="1">"c7643"</definedName>
    <definedName name="IQ_IMPORTS_GOODS_REAL_SAAR_APR_UNUSED_UNUSED_UNUSED" hidden="1">"c7643"</definedName>
    <definedName name="IQ_IMPORTS_GOODS_REAL_SAAR_FC_UNUSED" hidden="1">"c7863"</definedName>
    <definedName name="IQ_IMPORTS_GOODS_REAL_SAAR_FC_UNUSED_UNUSED_UNUSED" hidden="1">"c7863"</definedName>
    <definedName name="IQ_IMPORTS_GOODS_REAL_SAAR_POP_FC_UNUSED" hidden="1">"c8083"</definedName>
    <definedName name="IQ_IMPORTS_GOODS_REAL_SAAR_POP_FC_UNUSED_UNUSED_UNUSED" hidden="1">"c8083"</definedName>
    <definedName name="IQ_IMPORTS_GOODS_REAL_SAAR_POP_UNUSED" hidden="1">"c7203"</definedName>
    <definedName name="IQ_IMPORTS_GOODS_REAL_SAAR_POP_UNUSED_UNUSED_UNUSED" hidden="1">"c7203"</definedName>
    <definedName name="IQ_IMPORTS_GOODS_REAL_SAAR_UNUSED" hidden="1">"c6983"</definedName>
    <definedName name="IQ_IMPORTS_GOODS_REAL_SAAR_UNUSED_UNUSED_UNUSED" hidden="1">"c6983"</definedName>
    <definedName name="IQ_IMPORTS_GOODS_REAL_SAAR_YOY_FC_UNUSED" hidden="1">"c8303"</definedName>
    <definedName name="IQ_IMPORTS_GOODS_REAL_SAAR_YOY_FC_UNUSED_UNUSED_UNUSED" hidden="1">"c8303"</definedName>
    <definedName name="IQ_IMPORTS_GOODS_REAL_SAAR_YOY_UNUSED" hidden="1">"c7423"</definedName>
    <definedName name="IQ_IMPORTS_GOODS_REAL_SAAR_YOY_UNUSED_UNUSED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FC_UNUSED_UNUSED_UNUSED" hidden="1">"c8429"</definedName>
    <definedName name="IQ_IMPORTS_GOODS_SERVICES_APR_UNUSED" hidden="1">"c7549"</definedName>
    <definedName name="IQ_IMPORTS_GOODS_SERVICES_APR_UNUSED_UNUSED_UNUSED" hidden="1">"c7549"</definedName>
    <definedName name="IQ_IMPORTS_GOODS_SERVICES_FC_UNUSED" hidden="1">"c7769"</definedName>
    <definedName name="IQ_IMPORTS_GOODS_SERVICES_FC_UNUSED_UNUSED_UNUSED" hidden="1">"c7769"</definedName>
    <definedName name="IQ_IMPORTS_GOODS_SERVICES_POP_FC_UNUSED" hidden="1">"c7989"</definedName>
    <definedName name="IQ_IMPORTS_GOODS_SERVICES_POP_FC_UNUSED_UNUSED_UNUSED" hidden="1">"c7989"</definedName>
    <definedName name="IQ_IMPORTS_GOODS_SERVICES_POP_UNUSED" hidden="1">"c7109"</definedName>
    <definedName name="IQ_IMPORTS_GOODS_SERVICES_POP_UNUSED_UNUSED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FC_UNUSED_UNUSED_UNUSED" hidden="1">"c8524"</definedName>
    <definedName name="IQ_IMPORTS_GOODS_SERVICES_REAL_SAAR_APR_UNUSED" hidden="1">"c7644"</definedName>
    <definedName name="IQ_IMPORTS_GOODS_SERVICES_REAL_SAAR_APR_UNUSED_UNUSED_UNUSED" hidden="1">"c7644"</definedName>
    <definedName name="IQ_IMPORTS_GOODS_SERVICES_REAL_SAAR_FC_UNUSED" hidden="1">"c7864"</definedName>
    <definedName name="IQ_IMPORTS_GOODS_SERVICES_REAL_SAAR_FC_UNUSED_UNUSED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FC_UNUSED_UNUSED_UNUSED" hidden="1">"c8084"</definedName>
    <definedName name="IQ_IMPORTS_GOODS_SERVICES_REAL_SAAR_POP_UNUSED" hidden="1">"c7204"</definedName>
    <definedName name="IQ_IMPORTS_GOODS_SERVICES_REAL_SAAR_POP_UNUSED_UNUSED_UNUSED" hidden="1">"c7204"</definedName>
    <definedName name="IQ_IMPORTS_GOODS_SERVICES_REAL_SAAR_UNUSED" hidden="1">"c6984"</definedName>
    <definedName name="IQ_IMPORTS_GOODS_SERVICES_REAL_SAAR_UNUSED_UNUSED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FC_UNUSED_UNUSED_UNUSED" hidden="1">"c8304"</definedName>
    <definedName name="IQ_IMPORTS_GOODS_SERVICES_REAL_SAAR_YOY_UNUSED" hidden="1">"c7424"</definedName>
    <definedName name="IQ_IMPORTS_GOODS_SERVICES_REAL_SAAR_YOY_UNUSED_UNUSED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NUSED_UNUSED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FC_UNUSED_UNUSED_UNUSED" hidden="1">"c8209"</definedName>
    <definedName name="IQ_IMPORTS_GOODS_SERVICES_YOY_UNUSED" hidden="1">"c7329"</definedName>
    <definedName name="IQ_IMPORTS_GOODS_SERVICES_YOY_UNUSED_UNUSED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CHECKS_FFIEC" hidden="1">"c13040"</definedName>
    <definedName name="IQ_INCOME_EARNED_FDIC" hidden="1">"c6359"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ES_FDIC" hidden="1">"c6582"</definedName>
    <definedName name="IQ_INCOME_TAXES_FFIEC" hidden="1">"c13030"</definedName>
    <definedName name="IQ_INCREASE_INT_INCOME_FFIEC" hidden="1">"c13063"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S_CHARGE_OFFS_FDIC" hidden="1">"c6599"</definedName>
    <definedName name="IQ_INDIVIDUALS_GROSS_LOANS_FFIEC" hidden="1">"c13411"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REINSURANCE_UNDERWRITING_INCOME_FFIEC" hidden="1">"c13008"</definedName>
    <definedName name="IQ_INSURANCE_REV_OPERATING_INC_FFIEC" hidden="1">"c13387"</definedName>
    <definedName name="IQ_INSURANCE_UNDERWRITING_INCOME_FDIC" hidden="1">"c6671"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MAND_NOTES_FDIC" hidden="1">"c6567"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DOMESTIC_DEPOSITS_FDIC" hidden="1">"c6564"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FED_FUNDS_FDIC" hidden="1">"c6566"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SECURED_RE_DOM_FFIEC" hidden="1">"c12977"</definedName>
    <definedName name="IQ_INT_FEE_INCOME_FFIEC" hidden="1">"c12974"</definedName>
    <definedName name="IQ_INT_FOREIGN_DEPOSITS_FDIC" hidden="1">"c6565"</definedName>
    <definedName name="IQ_INT_INC_AVG_ASSETS_FFIEC" hidden="1">"c13356"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DUE_DEPOSITORY_INSTITUTIONS_FFIEC" hidden="1">"c12981"</definedName>
    <definedName name="IQ_INT_INC_EARNING_ASSETS_FFIEC" hidden="1">"c13375"</definedName>
    <definedName name="IQ_INT_INC_FED_FUNDS_FDIC" hidden="1">"c6561"</definedName>
    <definedName name="IQ_INT_INC_FED_FUNDS_SOLD_FFIEC" hidden="1">"c12987"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TRADING_ASSETS_FFIEC" hidden="1">"c12986"</definedName>
    <definedName name="IQ_INT_INC_UTI" hidden="1">"c599"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UB_NOTES_FDIC" hidden="1">"c6568"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ANGIBLES_NET" hidden="1">"c1407"</definedName>
    <definedName name="IQ_INTEREST_BEARING_BALANCES_FDIC" hidden="1">"c6371"</definedName>
    <definedName name="IQ_INTEREST_BEARING_CASH_FOREIGN_FFIEC" hidden="1">"c12776"</definedName>
    <definedName name="IQ_INTEREST_BEARING_CASH_US_FFIEC" hidden="1">"c12775"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BANKING_BROKERAGE_FEES_FFIEC" hidden="1">"c13627"</definedName>
    <definedName name="IQ_INVESTMENT_BANKING_FEES_COMMISSIONS_FFIEC" hidden="1">"c13006"</definedName>
    <definedName name="IQ_INVESTMENT_BANKING_OTHER_FEES_FDIC" hidden="1">"c6666"</definedName>
    <definedName name="IQ_IPRD" hidden="1">"c644"</definedName>
    <definedName name="IQ_IPRD_SUPPLE" hidden="1">"c13813"</definedName>
    <definedName name="IQ_IRA_KEOGH_ACCOUNTS_FDIC" hidden="1">"c6496"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FC_UNUSED_UNUSED_UNUSED" hidden="1">"c8443"</definedName>
    <definedName name="IQ_ISM_SERVICES_APR_UNUSED" hidden="1">"c7563"</definedName>
    <definedName name="IQ_ISM_SERVICES_APR_UNUSED_UNUSED_UNUSED" hidden="1">"c7563"</definedName>
    <definedName name="IQ_ISM_SERVICES_FC_UNUSED" hidden="1">"c7783"</definedName>
    <definedName name="IQ_ISM_SERVICES_FC_UNUSED_UNUSED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FC_UNUSED_UNUSED_UNUSED" hidden="1">"c8003"</definedName>
    <definedName name="IQ_ISM_SERVICES_POP_UNUSED" hidden="1">"c7123"</definedName>
    <definedName name="IQ_ISM_SERVICES_POP_UNUSED_UNUSED_UNUSED" hidden="1">"c7123"</definedName>
    <definedName name="IQ_ISM_SERVICES_UNUSED" hidden="1">"c6903"</definedName>
    <definedName name="IQ_ISM_SERVICES_UNUSED_UNUSED_UNUSED" hidden="1">"c6903"</definedName>
    <definedName name="IQ_ISM_SERVICES_YOY_FC_UNUSED" hidden="1">"c8223"</definedName>
    <definedName name="IQ_ISM_SERVICES_YOY_FC_UNUSED_UNUSED_UNUSED" hidden="1">"c8223"</definedName>
    <definedName name="IQ_ISM_SERVICES_YOY_UNUSED" hidden="1">"c7343"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K" hidden="1">1000</definedName>
    <definedName name="IQ_LATESTQ" hidden="1">500</definedName>
    <definedName name="IQ_LEAD_UNDERWRITER" hidden="1">"c8957"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CHARGE_OFFS_FDIC" hidden="1">"c6602"</definedName>
    <definedName name="IQ_LEASE_FINANCING_RECEIVABLES_DOM_FFIEC" hidden="1">"c12915"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ASE_RECEIVABLES_FOREIGN_FFIEC" hidden="1">"c13483"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"c2123"</definedName>
    <definedName name="IQ_LIFE_EARNED" hidden="1">"c2739"</definedName>
    <definedName name="IQ_LIFE_INSURANCE_ASSETS_FDIC" hidden="1">"c6372"</definedName>
    <definedName name="IQ_LIFE_INSURANCE_ASSETS_FFIEC" hidden="1">"c12847"</definedName>
    <definedName name="IQ_LIFOR" hidden="1">"c655"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_PERF_ASSETS_FFIEC" hidden="1">"c13912"</definedName>
    <definedName name="IQ_LOAN_LOSS_ALLOWANCE_NONCURRENT_LOANS_FDIC" hidden="1">"c6740"</definedName>
    <definedName name="IQ_LOAN_LOSSES_AVERAGE_LOANS_FFIEC" hidden="1">"c13350"</definedName>
    <definedName name="IQ_LOAN_LOSSES_FDIC" hidden="1">"c6580"</definedName>
    <definedName name="IQ_LOAN_SERVICE_REV" hidden="1">"c658"</definedName>
    <definedName name="IQ_LOANS_AGRICULTURAL_PROD_LL_REC_FFIEC" hidden="1">"c12886"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EPOSITORY_INSTITUTIONS_FDIC" hidden="1">"c6382"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HELD_FOREIGN_FDIC" hidden="1">"c6315"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HELD_SALE_FFIEC" hidden="1">"c12808"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FDIC" hidden="1">"c6327"</definedName>
    <definedName name="IQ_LOANS_LEASES_NET_UNEARNED_FDIC" hidden="1">"c6325"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NOT_SECURED_RE_FDIC" hidden="1">"c6381"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BY_RE_CHARGE_OFFS_FDIC" hidden="1">"c6588"</definedName>
    <definedName name="IQ_LOANS_SECURED_BY_RE_RECOVERIES_FDIC" hidden="1">"c6607"</definedName>
    <definedName name="IQ_LOANS_SECURED_CONSTRUCTION_TRADING_DOM_FFIEC" hidden="1">"c12925"</definedName>
    <definedName name="IQ_LOANS_SECURED_FARMLAND_TRADING_DOM_FFIEC" hidden="1">"c12926"</definedName>
    <definedName name="IQ_LOANS_SECURED_NON_US_FDIC" hidden="1">"c6380"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ANS_US_INST_CHARGE_OFFS_FFIEC" hidden="1">"c13175"</definedName>
    <definedName name="IQ_LOANS_US_INST_RECOV_FFIEC" hidden="1">"c13197"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_TARGET_PRICE_REUT" hidden="1">"c5318"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>2000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FC_UNUSED_UNUSED_UNUSED" hidden="1">"c8460"</definedName>
    <definedName name="IQ_MEDIAN_NEW_HOME_SALES_APR_UNUSED" hidden="1">"c7580"</definedName>
    <definedName name="IQ_MEDIAN_NEW_HOME_SALES_APR_UNUSED_UNUSED_UNUSED" hidden="1">"c7580"</definedName>
    <definedName name="IQ_MEDIAN_NEW_HOME_SALES_FC_UNUSED" hidden="1">"c7800"</definedName>
    <definedName name="IQ_MEDIAN_NEW_HOME_SALES_FC_UNUSED_UNUSED_UNUSED" hidden="1">"c7800"</definedName>
    <definedName name="IQ_MEDIAN_NEW_HOME_SALES_POP_FC_UNUSED" hidden="1">"c8020"</definedName>
    <definedName name="IQ_MEDIAN_NEW_HOME_SALES_POP_FC_UNUSED_UNUSED_UNUSED" hidden="1">"c8020"</definedName>
    <definedName name="IQ_MEDIAN_NEW_HOME_SALES_POP_UNUSED" hidden="1">"c7140"</definedName>
    <definedName name="IQ_MEDIAN_NEW_HOME_SALES_POP_UNUSED_UNUSED_UNUSED" hidden="1">"c7140"</definedName>
    <definedName name="IQ_MEDIAN_NEW_HOME_SALES_UNUSED" hidden="1">"c6920"</definedName>
    <definedName name="IQ_MEDIAN_NEW_HOME_SALES_UNUSED_UNUSED_UNUSED" hidden="1">"c6920"</definedName>
    <definedName name="IQ_MEDIAN_NEW_HOME_SALES_YOY_FC_UNUSED" hidden="1">"c8240"</definedName>
    <definedName name="IQ_MEDIAN_NEW_HOME_SALES_YOY_FC_UNUSED_UNUSED_UNUSED" hidden="1">"c8240"</definedName>
    <definedName name="IQ_MEDIAN_NEW_HOME_SALES_YOY_UNUSED" hidden="1">"c7360"</definedName>
    <definedName name="IQ_MEDIAN_NEW_HOME_SALES_YOY_UNUSED_UNUSED_UNUSED" hidden="1">"c7360"</definedName>
    <definedName name="IQ_MEDIAN_TARGET_PRICE" hidden="1">"c1650"</definedName>
    <definedName name="IQ_MEDIAN_TARGET_PRICE_CIQ" hidden="1">"c4658"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KTCAP_TOTAL_REV_FWD_REUT" hidden="1">"c4048"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ARKET_DEPOSIT_ACCOUNTS_FDIC" hidden="1">"c6553"</definedName>
    <definedName name="IQ_MONTH">15000</definedName>
    <definedName name="IQ_MOODYS_ACTION_LT" hidden="1">"c5660"</definedName>
    <definedName name="IQ_MOODYS_ACTION_ST" hidden="1">"c5663"</definedName>
    <definedName name="IQ_MOODYS_BANK_FIN_STRENGTH_ACTION_LT" hidden="1">"c5669"</definedName>
    <definedName name="IQ_MOODYS_BANK_FIN_STRENGTH_DATE_LT" hidden="1">"c5668"</definedName>
    <definedName name="IQ_MOODYS_BANK_FIN_STRENGTH_LT" hidden="1">"c5670"</definedName>
    <definedName name="IQ_MOODYS_CORP_FAMILY_ACTION_LT" hidden="1">"c5666"</definedName>
    <definedName name="IQ_MOODYS_CORP_FAMILY_DATE_LT" hidden="1">"c5665"</definedName>
    <definedName name="IQ_MOODYS_CORP_FAMILY_LT" hidden="1">"c5667"</definedName>
    <definedName name="IQ_MOODYS_DATE_LT" hidden="1">"c5659"</definedName>
    <definedName name="IQ_MOODYS_DATE_ST" hidden="1">"c5662"</definedName>
    <definedName name="IQ_MOODYS_INS_FIN_STRENGTH_ACTION_LT" hidden="1">"c5672"</definedName>
    <definedName name="IQ_MOODYS_INS_FIN_STRENGTH_ACTION_ST" hidden="1">"c5675"</definedName>
    <definedName name="IQ_MOODYS_INS_FIN_STRENGTH_DATE_LT" hidden="1">"c5671"</definedName>
    <definedName name="IQ_MOODYS_INS_FIN_STRENGTH_DATE_ST" hidden="1">"c5674"</definedName>
    <definedName name="IQ_MOODYS_INS_FIN_STRENGTH_LT" hidden="1">"c5673"</definedName>
    <definedName name="IQ_MOODYS_INS_FIN_STRENGTH_ST" hidden="1">"c5676"</definedName>
    <definedName name="IQ_MOODYS_ISSUE_ACTION_LT" hidden="1">"c5683"</definedName>
    <definedName name="IQ_MOODYS_ISSUE_ACTION_ST" hidden="1">"c6784"</definedName>
    <definedName name="IQ_MOODYS_ISSUE_DATE_LT" hidden="1">"c5682"</definedName>
    <definedName name="IQ_MOODYS_ISSUE_DATE_ST" hidden="1">"c6783"</definedName>
    <definedName name="IQ_MOODYS_ISSUE_LT" hidden="1">"c5684"</definedName>
    <definedName name="IQ_MOODYS_ISSUE_ST" hidden="1">"c6785"</definedName>
    <definedName name="IQ_MOODYS_ISSUE_WATCHLIST_DATE" hidden="1">"c5685"</definedName>
    <definedName name="IQ_MOODYS_ISSUE_WATCHLIST_INDICATOR" hidden="1">"c5687"</definedName>
    <definedName name="IQ_MOODYS_ISSUE_WATCHLIST_REASON" hidden="1">"c5686"</definedName>
    <definedName name="IQ_MOODYS_JR_SUB_ACTION_LT" hidden="1">"c13537"</definedName>
    <definedName name="IQ_MOODYS_JR_SUB_DATE_LT" hidden="1">"c13536"</definedName>
    <definedName name="IQ_MOODYS_JR_SUB_LT" hidden="1">"c13535"</definedName>
    <definedName name="IQ_MOODYS_JR_SUB_TYPE_LT" hidden="1">"c13538"</definedName>
    <definedName name="IQ_MOODYS_LATEST_DATE_LT" hidden="1">"c12711"</definedName>
    <definedName name="IQ_MOODYS_LATEST_DATE_ST" hidden="1">"c12715"</definedName>
    <definedName name="IQ_MOODYS_LATEST_LT" hidden="1">"c12710"</definedName>
    <definedName name="IQ_MOODYS_LATEST_ST" hidden="1">"c12714"</definedName>
    <definedName name="IQ_MOODYS_LATEST_TYPE_LT" hidden="1">"c12713"</definedName>
    <definedName name="IQ_MOODYS_LATEST_TYPE_ST" hidden="1">"c12717"</definedName>
    <definedName name="IQ_MOODYS_LT" hidden="1">"c5661"</definedName>
    <definedName name="IQ_MOODYS_OTHER_ACTION_LT" hidden="1">"c13545"</definedName>
    <definedName name="IQ_MOODYS_OTHER_ACTION_ST" hidden="1">"c13569"</definedName>
    <definedName name="IQ_MOODYS_OTHER_DATE_LT" hidden="1">"c13544"</definedName>
    <definedName name="IQ_MOODYS_OTHER_DATE_ST" hidden="1">"c13568"</definedName>
    <definedName name="IQ_MOODYS_OTHER_LT" hidden="1">"c13543"</definedName>
    <definedName name="IQ_MOODYS_OTHER_ST" hidden="1">"c13567"</definedName>
    <definedName name="IQ_MOODYS_OTHER_TYPE_LT" hidden="1">"c13546"</definedName>
    <definedName name="IQ_MOODYS_OTHER_TYPE_ST" hidden="1">"c13570"</definedName>
    <definedName name="IQ_MOODYS_OUTLOOK" hidden="1">"c5678"</definedName>
    <definedName name="IQ_MOODYS_OUTLOOK_DATE" hidden="1">"c5677"</definedName>
    <definedName name="IQ_MOODYS_PREF_ACTION_LT" hidden="1">"c13541"</definedName>
    <definedName name="IQ_MOODYS_PREF_DATE_LT" hidden="1">"c13540"</definedName>
    <definedName name="IQ_MOODYS_PREF_LT" hidden="1">"c13539"</definedName>
    <definedName name="IQ_MOODYS_PREF_TYPE_LT" hidden="1">"c13542"</definedName>
    <definedName name="IQ_MOODYS_SERVICER_QUALITY_ACTION_LT" hidden="1">"c13549"</definedName>
    <definedName name="IQ_MOODYS_SERVICER_QUALITY_DATE_LT" hidden="1">"c13548"</definedName>
    <definedName name="IQ_MOODYS_SERVICER_QUALITY_LT" hidden="1">"c13547"</definedName>
    <definedName name="IQ_MOODYS_SERVICER_QUALITY_TYPE_LT" hidden="1">"c13550"</definedName>
    <definedName name="IQ_MOODYS_SR_SECURED_ACTION_LT" hidden="1">"c13521"</definedName>
    <definedName name="IQ_MOODYS_SR_SECURED_ACTION_ST" hidden="1">"c13553"</definedName>
    <definedName name="IQ_MOODYS_SR_SECURED_DATE_LT" hidden="1">"c13520"</definedName>
    <definedName name="IQ_MOODYS_SR_SECURED_DATE_ST" hidden="1">"c13552"</definedName>
    <definedName name="IQ_MOODYS_SR_SECURED_LT" hidden="1">"c13519"</definedName>
    <definedName name="IQ_MOODYS_SR_SECURED_ST" hidden="1">"c13551"</definedName>
    <definedName name="IQ_MOODYS_SR_SECURED_TYPE_LT" hidden="1">"c13522"</definedName>
    <definedName name="IQ_MOODYS_SR_SECURED_TYPE_ST" hidden="1">"c13554"</definedName>
    <definedName name="IQ_MOODYS_SR_SUB_ACTION_LT" hidden="1">"c13529"</definedName>
    <definedName name="IQ_MOODYS_SR_SUB_ACTION_ST" hidden="1">"c13561"</definedName>
    <definedName name="IQ_MOODYS_SR_SUB_DATE_LT" hidden="1">"c13528"</definedName>
    <definedName name="IQ_MOODYS_SR_SUB_DATE_ST" hidden="1">"c13560"</definedName>
    <definedName name="IQ_MOODYS_SR_SUB_LT" hidden="1">"c13527"</definedName>
    <definedName name="IQ_MOODYS_SR_SUB_ST" hidden="1">"c13559"</definedName>
    <definedName name="IQ_MOODYS_SR_SUB_TYPE_LT" hidden="1">"c13530"</definedName>
    <definedName name="IQ_MOODYS_SR_SUB_TYPE_ST" hidden="1">"c13562"</definedName>
    <definedName name="IQ_MOODYS_SR_UNSECURED_ACTION_LT" hidden="1">"c13525"</definedName>
    <definedName name="IQ_MOODYS_SR_UNSECURED_ACTION_ST" hidden="1">"c13557"</definedName>
    <definedName name="IQ_MOODYS_SR_UNSECURED_DATE_LT" hidden="1">"c13524"</definedName>
    <definedName name="IQ_MOODYS_SR_UNSECURED_DATE_ST" hidden="1">"c13556"</definedName>
    <definedName name="IQ_MOODYS_SR_UNSECURED_LT" hidden="1">"c13523"</definedName>
    <definedName name="IQ_MOODYS_SR_UNSECURED_ST" hidden="1">"c13555"</definedName>
    <definedName name="IQ_MOODYS_SR_UNSECURED_TYPE_LT" hidden="1">"c13526"</definedName>
    <definedName name="IQ_MOODYS_SR_UNSECURED_TYPE_ST" hidden="1">"c13558"</definedName>
    <definedName name="IQ_MOODYS_ST" hidden="1">"c5664"</definedName>
    <definedName name="IQ_MOODYS_SUB_ACTION_LT" hidden="1">"c13533"</definedName>
    <definedName name="IQ_MOODYS_SUB_ACTION_ST" hidden="1">"c13565"</definedName>
    <definedName name="IQ_MOODYS_SUB_DATE_LT" hidden="1">"c13532"</definedName>
    <definedName name="IQ_MOODYS_SUB_DATE_ST" hidden="1">"c13564"</definedName>
    <definedName name="IQ_MOODYS_SUB_LT" hidden="1">"c13531"</definedName>
    <definedName name="IQ_MOODYS_SUB_ST" hidden="1">"c13563"</definedName>
    <definedName name="IQ_MOODYS_SUB_TYPE_LT" hidden="1">"c13534"</definedName>
    <definedName name="IQ_MOODYS_SUB_TYPE_ST" hidden="1">"c13566"</definedName>
    <definedName name="IQ_MOODYS_WATCHLIST_DATE" hidden="1">"c5679"</definedName>
    <definedName name="IQ_MOODYS_WATCHLIST_INDICATOR" hidden="1">"c5681"</definedName>
    <definedName name="IQ_MOODYS_WATCHLIST_REASON" hidden="1">"c5680"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ASSETS_FFIEC" hidden="1">"c12838"</definedName>
    <definedName name="IQ_MORTGAGE_SERVICING_FDIC" hidden="1">"c6335"</definedName>
    <definedName name="IQ_MTD" hidden="1">800000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IDENTIAL_LOANS_FDIC" hidden="1">"c6311"</definedName>
    <definedName name="IQ_MUNICIPAL_INVEST_SECURITIES_FFIEC" hidden="1">"c13459"</definedName>
    <definedName name="IQ_NAMES_REVISION_DATE_" hidden="1">44767.465462963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FUNDS_PURCHASED_ASSETS_TOT_FFIEC" hidden="1">"c13448"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EFORE_CAPITALIZED" hidden="1">"c792"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EST" hidden="1">"c1716"</definedName>
    <definedName name="IQ_NI_FFIEC" hidden="1">"c13034"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" hidden="1">"c4474"</definedName>
    <definedName name="IQ_NI_SBC_ACT_OR_EST_CIQ" hidden="1">"c5012"</definedName>
    <definedName name="IQ_NI_SBC_GW_ACT_OR_EST" hidden="1">"c4478"</definedName>
    <definedName name="IQ_NI_SBC_GW_ACT_OR_EST_CIQ" hidden="1">"c5016"</definedName>
    <definedName name="IQ_NI_SFAS" hidden="1">"c795"</definedName>
    <definedName name="IQ_NI_STDDEV_EST" hidden="1">"c1721"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LOANS" hidden="1">"c796"</definedName>
    <definedName name="IQ_NON_CASH" hidden="1">"c1399"</definedName>
    <definedName name="IQ_NON_CASH_ITEMS" hidden="1">"c797"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"c800"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_INC_OPERATING_INC_FFIEC" hidden="1">"c13382"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US_ADDRESS_LEASE_FIN_REC_FFIEC" hidden="1">"c13625"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CASH_FFIEC" hidden="1">"c12774"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FC_UNUSED_UNUSED_UNUSED" hidden="1">"c8468"</definedName>
    <definedName name="IQ_NONRES_FIXED_INVEST_PRIV_APR_UNUSED" hidden="1">"c7588"</definedName>
    <definedName name="IQ_NONRES_FIXED_INVEST_PRIV_APR_UNUSED_UNUSED_UNUSED" hidden="1">"c7588"</definedName>
    <definedName name="IQ_NONRES_FIXED_INVEST_PRIV_FC_UNUSED" hidden="1">"c7808"</definedName>
    <definedName name="IQ_NONRES_FIXED_INVEST_PRIV_FC_UNUSED_UNUSED_UNUSED" hidden="1">"c7808"</definedName>
    <definedName name="IQ_NONRES_FIXED_INVEST_PRIV_POP_FC_UNUSED" hidden="1">"c8028"</definedName>
    <definedName name="IQ_NONRES_FIXED_INVEST_PRIV_POP_FC_UNUSED_UNUSED_UNUSED" hidden="1">"c8028"</definedName>
    <definedName name="IQ_NONRES_FIXED_INVEST_PRIV_POP_UNUSED" hidden="1">"c7148"</definedName>
    <definedName name="IQ_NONRES_FIXED_INVEST_PRIV_POP_UNUSED_UNUSED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NUSED_UNUSED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FC_UNUSED_UNUSED_UNUSED" hidden="1">"c8248"</definedName>
    <definedName name="IQ_NONRES_FIXED_INVEST_PRIV_YOY_UNUSED" hidden="1">"c7368"</definedName>
    <definedName name="IQ_NONRES_FIXED_INVEST_PRIV_YOY_UNUSED_UNUSED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AMT_DERIVATIVES_BENEFICIARY_FFIEC" hidden="1">"c13118"</definedName>
    <definedName name="IQ_NOTIONAL_AMT_DERIVATIVES_GUARANTOR_FFIEC" hidden="1">"c13111"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OIL_PRODUCT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" hidden="1">"c6240"</definedName>
    <definedName name="IQ_OPER_INC_REIT" hidden="1">"c853"</definedName>
    <definedName name="IQ_OPER_INC_STDDEV_EST" hidden="1">"c1693"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FIEC" hidden="1">"c12831"</definedName>
    <definedName name="IQ_OREO_FOREIGN_FDIC" hidden="1">"c6460"</definedName>
    <definedName name="IQ_OREO_MULTI_FAMILY_RESIDENTIAL_FDIC" hidden="1">"c6455"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BORROWED_MONEY_FFIEC" hidden="1">"c12862"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DUCTIONS_LEVERAGE_RATIO_FFIEC" hidden="1">"c13158"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EPOSITS_FFIEC" hidden="1">"c12994"</definedName>
    <definedName name="IQ_OTHER_DERIVATIVES_BENEFICIARY_FFIEC" hidden="1">"c13122"</definedName>
    <definedName name="IQ_OTHER_DERIVATIVES_GUARANTOR_FFIEC" hidden="1">"c13115"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NSURANCE_FEES_FDIC" hidden="1">"c6672"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CHARGE_OFFS_FDIC" hidden="1">"c6601"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FOREIGN_FDIC" hidden="1">"c6446"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EASES_FDIC" hidden="1">"c6322"</definedName>
    <definedName name="IQ_OTHER_LOANS_LL_REC_DOM_FFIEC" hidden="1">"c12914"</definedName>
    <definedName name="IQ_OTHER_LOANS_NET_CHARGE_OFFS_FDIC" hidden="1">"c6639"</definedName>
    <definedName name="IQ_OTHER_LOANS_NON_ACCRUAL_FFIEC" hidden="1">"c13327"</definedName>
    <definedName name="IQ_OTHER_LOANS_RECOVERIES_FDIC" hidden="1">"c6620"</definedName>
    <definedName name="IQ_OTHER_LOANS_RISK_BASED_FFIEC" hidden="1">"c13435"</definedName>
    <definedName name="IQ_OTHER_LOANS_TOTAL_FDIC" hidden="1">"c6432"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DIC" hidden="1">"c6578"</definedName>
    <definedName name="IQ_OTHER_NON_INT_EXP_FFIEC" hidden="1">"c13027"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OFF_BS_ITEMS_FFIEC" hidden="1">"c13126"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FDIC" hidden="1">"c6554"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FIEC" hidden="1">"c12826"</definedName>
    <definedName name="IQ_OTHER_TRADING_ASSETS_TOTAL_FFIEC" hidden="1">"c12937"</definedName>
    <definedName name="IQ_OTHER_TRADING_LIABILITIES_FFIEC" hidden="1">"c12860"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FFO_12MONTHS" hidden="1">"c1828"</definedName>
    <definedName name="IQ_PERCENT_CHANGE_EST_FFO_12MONTHS_CIQ" hidden="1">"c3769"</definedName>
    <definedName name="IQ_PERCENT_CHANGE_EST_FFO_12MONTHS_THOM" hidden="1">"c5248"</definedName>
    <definedName name="IQ_PERCENT_CHANGE_EST_FFO_18MONTHS" hidden="1">"c1829"</definedName>
    <definedName name="IQ_PERCENT_CHANGE_EST_FFO_18MONTHS_CIQ" hidden="1">"c3770"</definedName>
    <definedName name="IQ_PERCENT_CHANGE_EST_FFO_18MONTHS_THOM" hidden="1">"c5249"</definedName>
    <definedName name="IQ_PERCENT_CHANGE_EST_FFO_3MONTHS" hidden="1">"c1825"</definedName>
    <definedName name="IQ_PERCENT_CHANGE_EST_FFO_3MONTHS_CIQ" hidden="1">"c3766"</definedName>
    <definedName name="IQ_PERCENT_CHANGE_EST_FFO_3MONTHS_THOM" hidden="1">"c5245"</definedName>
    <definedName name="IQ_PERCENT_CHANGE_EST_FFO_6MONTHS" hidden="1">"c1826"</definedName>
    <definedName name="IQ_PERCENT_CHANGE_EST_FFO_6MONTHS_CIQ" hidden="1">"c3767"</definedName>
    <definedName name="IQ_PERCENT_CHANGE_EST_FFO_6MONTHS_THOM" hidden="1">"c5246"</definedName>
    <definedName name="IQ_PERCENT_CHANGE_EST_FFO_9MONTHS" hidden="1">"c1827"</definedName>
    <definedName name="IQ_PERCENT_CHANGE_EST_FFO_9MONTHS_CIQ" hidden="1">"c3768"</definedName>
    <definedName name="IQ_PERCENT_CHANGE_EST_FFO_9MONTHS_THOM" hidden="1">"c5247"</definedName>
    <definedName name="IQ_PERCENT_CHANGE_EST_FFO_DAY" hidden="1">"c1822"</definedName>
    <definedName name="IQ_PERCENT_CHANGE_EST_FFO_DAY_CIQ" hidden="1">"c3764"</definedName>
    <definedName name="IQ_PERCENT_CHANGE_EST_FFO_DAY_THOM" hidden="1">"c5243"</definedName>
    <definedName name="IQ_PERCENT_CHANGE_EST_FFO_MONTH" hidden="1">"c1824"</definedName>
    <definedName name="IQ_PERCENT_CHANGE_EST_FFO_MONTH_CIQ" hidden="1">"c3765"</definedName>
    <definedName name="IQ_PERCENT_CHANGE_EST_FFO_MONTH_THOM" hidden="1">"c5244"</definedName>
    <definedName name="IQ_PERCENT_CHANGE_EST_FFO_WEEK" hidden="1">"c1823"</definedName>
    <definedName name="IQ_PERCENT_CHANGE_EST_FFO_WEEK_CIQ" hidden="1">"c3795"</definedName>
    <definedName name="IQ_PERCENT_CHANGE_EST_FFO_WEEK_THOM" hidden="1">"c5274"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_INSURED_FDIC" hidden="1">"c6374"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DIC" hidden="1">"c13646"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FDIC" hidden="1">"c6349"</definedName>
    <definedName name="IQ_PREFERRED_LIST" hidden="1">"c13506"</definedName>
    <definedName name="IQ_PREMISES_EQUIPMENT_FDIC" hidden="1">"c6577"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OPERATING_INC_AVG_ASSETS_FFIEC" hidden="1">"c13365"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EV_MONTHLY_FACTOR" hidden="1">"c8973"</definedName>
    <definedName name="IQ_PREV_MONTHLY_FACTOR_DATE" hidden="1">"c8974"</definedName>
    <definedName name="IQ_PRICE_CFPS_FWD" hidden="1">"c2237"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_CIQ" hidden="1">"c12023"</definedName>
    <definedName name="IQ_PRICE_TARGET_CIQ" hidden="1">"c3613"</definedName>
    <definedName name="IQ_PRICE_TARGET_REUT" hidden="1">"c3631"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IVATE_CONST_TOTAL_APR_FC_UNUSED" hidden="1">"c8559"</definedName>
    <definedName name="IQ_PRIVATE_CONST_TOTAL_APR_FC_UNUSED_UNUSED_UNUSED" hidden="1">"c8559"</definedName>
    <definedName name="IQ_PRIVATE_CONST_TOTAL_APR_UNUSED" hidden="1">"c7679"</definedName>
    <definedName name="IQ_PRIVATE_CONST_TOTAL_APR_UNUSED_UNUSED_UNUSED" hidden="1">"c7679"</definedName>
    <definedName name="IQ_PRIVATE_CONST_TOTAL_FC_UNUSED" hidden="1">"c7899"</definedName>
    <definedName name="IQ_PRIVATE_CONST_TOTAL_FC_UNUSED_UNUSED_UNUSED" hidden="1">"c7899"</definedName>
    <definedName name="IQ_PRIVATE_CONST_TOTAL_POP_FC_UNUSED" hidden="1">"c8119"</definedName>
    <definedName name="IQ_PRIVATE_CONST_TOTAL_POP_FC_UNUSED_UNUSED_UNUSED" hidden="1">"c8119"</definedName>
    <definedName name="IQ_PRIVATE_CONST_TOTAL_POP_UNUSED" hidden="1">"c7239"</definedName>
    <definedName name="IQ_PRIVATE_CONST_TOTAL_POP_UNUSED_UNUSED_UNUSED" hidden="1">"c7239"</definedName>
    <definedName name="IQ_PRIVATE_CONST_TOTAL_UNUSED" hidden="1">"c7019"</definedName>
    <definedName name="IQ_PRIVATE_CONST_TOTAL_UNUSED_UNUSED_UNUSED" hidden="1">"c7019"</definedName>
    <definedName name="IQ_PRIVATE_CONST_TOTAL_YOY_FC_UNUSED" hidden="1">"c8339"</definedName>
    <definedName name="IQ_PRIVATE_CONST_TOTAL_YOY_FC_UNUSED_UNUSED_UNUSED" hidden="1">"c8339"</definedName>
    <definedName name="IQ_PRIVATE_CONST_TOTAL_YOY_UNUSED" hidden="1">"c7459"</definedName>
    <definedName name="IQ_PRIVATE_CONST_TOTAL_YOY_UNUSED_UNUSED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FC_UNUSED_UNUSED_UNUSED" hidden="1">"c8535"</definedName>
    <definedName name="IQ_PRIVATE_RES_CONST_REAL_APR_UNUSED" hidden="1">"c7655"</definedName>
    <definedName name="IQ_PRIVATE_RES_CONST_REAL_APR_UNUSED_UNUSED_UNUSED" hidden="1">"c7655"</definedName>
    <definedName name="IQ_PRIVATE_RES_CONST_REAL_FC_UNUSED" hidden="1">"c7875"</definedName>
    <definedName name="IQ_PRIVATE_RES_CONST_REAL_FC_UNUSED_UNUSED_UNUSED" hidden="1">"c7875"</definedName>
    <definedName name="IQ_PRIVATE_RES_CONST_REAL_POP_FC_UNUSED" hidden="1">"c8095"</definedName>
    <definedName name="IQ_PRIVATE_RES_CONST_REAL_POP_FC_UNUSED_UNUSED_UNUSED" hidden="1">"c8095"</definedName>
    <definedName name="IQ_PRIVATE_RES_CONST_REAL_POP_UNUSED" hidden="1">"c7215"</definedName>
    <definedName name="IQ_PRIVATE_RES_CONST_REAL_POP_UNUSED_UNUSED_UNUSED" hidden="1">"c7215"</definedName>
    <definedName name="IQ_PRIVATE_RES_CONST_REAL_UNUSED" hidden="1">"c6995"</definedName>
    <definedName name="IQ_PRIVATE_RES_CONST_REAL_UNUSED_UNUSED_UNUSED" hidden="1">"c6995"</definedName>
    <definedName name="IQ_PRIVATE_RES_CONST_REAL_YOY_FC_UNUSED" hidden="1">"c8315"</definedName>
    <definedName name="IQ_PRIVATE_RES_CONST_REAL_YOY_FC_UNUSED_UNUSED_UNUSED" hidden="1">"c8315"</definedName>
    <definedName name="IQ_PRIVATE_RES_CONST_REAL_YOY_UNUSED" hidden="1">"c7435"</definedName>
    <definedName name="IQ_PRIVATE_RES_CONST_REAL_YOY_UNUSED_UNUSED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ID" hidden="1">"c13755"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ROVISION_LL_FFIEC" hidden="1">"c13019"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TBV" hidden="1">"c1084"</definedName>
    <definedName name="IQ_PTBV_AVG" hidden="1">"c1085"</definedName>
    <definedName name="IQ_PURCHASE_FOREIGN_CURRENCIES_FDIC" hidden="1">"c6513"</definedName>
    <definedName name="IQ_PURCHASE_TREASURY_FFIEC" hidden="1">"c12966"</definedName>
    <definedName name="IQ_PURCHASED_CREDIT_RELS_SERVICING_ASSETS_FFIEC" hidden="1">"c12839"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" hidden="1">"c8491"</definedName>
    <definedName name="IQ_PURCHASES_EQUIP_NONRES_SAAR_APR_FC_UNUSED_UNUSED_UNUSED" hidden="1">"c8491"</definedName>
    <definedName name="IQ_PURCHASES_EQUIP_NONRES_SAAR_APR_UNUSED" hidden="1">"c7611"</definedName>
    <definedName name="IQ_PURCHASES_EQUIP_NONRES_SAAR_APR_UNUSED_UNUSED_UNUSED" hidden="1">"c7611"</definedName>
    <definedName name="IQ_PURCHASES_EQUIP_NONRES_SAAR_FC_UNUSED" hidden="1">"c7831"</definedName>
    <definedName name="IQ_PURCHASES_EQUIP_NONRES_SAAR_FC_UNUSED_UNUSED_UNUSED" hidden="1">"c7831"</definedName>
    <definedName name="IQ_PURCHASES_EQUIP_NONRES_SAAR_POP_FC_UNUSED" hidden="1">"c8051"</definedName>
    <definedName name="IQ_PURCHASES_EQUIP_NONRES_SAAR_POP_FC_UNUSED_UNUSED_UNUSED" hidden="1">"c8051"</definedName>
    <definedName name="IQ_PURCHASES_EQUIP_NONRES_SAAR_POP_UNUSED" hidden="1">"c7171"</definedName>
    <definedName name="IQ_PURCHASES_EQUIP_NONRES_SAAR_POP_UNUSED_UNUSED_UNUSED" hidden="1">"c7171"</definedName>
    <definedName name="IQ_PURCHASES_EQUIP_NONRES_SAAR_UNUSED" hidden="1">"c6951"</definedName>
    <definedName name="IQ_PURCHASES_EQUIP_NONRES_SAAR_UNUSED_UNUSED_UNUSED" hidden="1">"c6951"</definedName>
    <definedName name="IQ_PURCHASES_EQUIP_NONRES_SAAR_YOY_FC_UNUSED" hidden="1">"c8271"</definedName>
    <definedName name="IQ_PURCHASES_EQUIP_NONRES_SAAR_YOY_FC_UNUSED_UNUSED_UNUSED" hidden="1">"c8271"</definedName>
    <definedName name="IQ_PURCHASES_EQUIP_NONRES_SAAR_YOY_UNUSED" hidden="1">"c7391"</definedName>
    <definedName name="IQ_PURCHASES_EQUIP_NONRES_SAAR_YOY_UNUSED_UNUSED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DEPR_AMORT" hidden="1">"c8750"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FOREIGN_FFIEC" hidden="1">"c13479"</definedName>
    <definedName name="IQ_RE_GAIN_LOSS_SALE_ASSETS" hidden="1">"c8751"</definedName>
    <definedName name="IQ_RE_INVEST_FDIC" hidden="1">"c6331"</definedName>
    <definedName name="IQ_RE_LOANS_1_4_GROSS_LOANS_FFIEC" hidden="1">"c13397"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OVERIES_1_4_FAMILY_LOANS_FDIC" hidden="1">"c6707"</definedName>
    <definedName name="IQ_RECOVERIES_AUTO_LOANS_FDIC" hidden="1">"c6701"</definedName>
    <definedName name="IQ_RECOVERIES_AVG_LOANS_FFIEC" hidden="1">"c13476"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ACT_OR_EST_CIQ" hidden="1">"c5045"</definedName>
    <definedName name="IQ_RECURRING_PROFIT_SHARE_ACT_OR_EST" hidden="1">"c4508"</definedName>
    <definedName name="IQ_RECURRING_PROFIT_SHARE_ACT_OR_EST_CIQ" hidden="1">"c5046"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LATED_PLANS_FDIC" hidden="1">"c6320"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REV" hidden="1">"c1101"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FC_UNUSED_UNUSED_UNUSED" hidden="1">"c8536"</definedName>
    <definedName name="IQ_RES_CONST_REAL_APR_UNUSED" hidden="1">"c7656"</definedName>
    <definedName name="IQ_RES_CONST_REAL_APR_UNUSED_UNUSED_UNUSED" hidden="1">"c7656"</definedName>
    <definedName name="IQ_RES_CONST_REAL_FC_UNUSED" hidden="1">"c7876"</definedName>
    <definedName name="IQ_RES_CONST_REAL_FC_UNUSED_UNUSED_UNUSED" hidden="1">"c7876"</definedName>
    <definedName name="IQ_RES_CONST_REAL_POP_FC_UNUSED" hidden="1">"c8096"</definedName>
    <definedName name="IQ_RES_CONST_REAL_POP_FC_UNUSED_UNUSED_UNUSED" hidden="1">"c8096"</definedName>
    <definedName name="IQ_RES_CONST_REAL_POP_UNUSED" hidden="1">"c7216"</definedName>
    <definedName name="IQ_RES_CONST_REAL_POP_UNUSED_UNUSED_UNUSED" hidden="1">"c7216"</definedName>
    <definedName name="IQ_RES_CONST_REAL_SAAR_APR_FC_UNUSED" hidden="1">"c8537"</definedName>
    <definedName name="IQ_RES_CONST_REAL_SAAR_APR_FC_UNUSED_UNUSED_UNUSED" hidden="1">"c8537"</definedName>
    <definedName name="IQ_RES_CONST_REAL_SAAR_APR_UNUSED" hidden="1">"c7657"</definedName>
    <definedName name="IQ_RES_CONST_REAL_SAAR_APR_UNUSED_UNUSED_UNUSED" hidden="1">"c7657"</definedName>
    <definedName name="IQ_RES_CONST_REAL_SAAR_FC_UNUSED" hidden="1">"c7877"</definedName>
    <definedName name="IQ_RES_CONST_REAL_SAAR_FC_UNUSED_UNUSED_UNUSED" hidden="1">"c7877"</definedName>
    <definedName name="IQ_RES_CONST_REAL_SAAR_POP_FC_UNUSED" hidden="1">"c8097"</definedName>
    <definedName name="IQ_RES_CONST_REAL_SAAR_POP_FC_UNUSED_UNUSED_UNUSED" hidden="1">"c8097"</definedName>
    <definedName name="IQ_RES_CONST_REAL_SAAR_POP_UNUSED" hidden="1">"c7217"</definedName>
    <definedName name="IQ_RES_CONST_REAL_SAAR_POP_UNUSED_UNUSED_UNUSED" hidden="1">"c7217"</definedName>
    <definedName name="IQ_RES_CONST_REAL_SAAR_UNUSED" hidden="1">"c6997"</definedName>
    <definedName name="IQ_RES_CONST_REAL_SAAR_UNUSED_UNUSED_UNUSED" hidden="1">"c6997"</definedName>
    <definedName name="IQ_RES_CONST_REAL_SAAR_YOY_FC_UNUSED" hidden="1">"c8317"</definedName>
    <definedName name="IQ_RES_CONST_REAL_SAAR_YOY_FC_UNUSED_UNUSED_UNUSED" hidden="1">"c8317"</definedName>
    <definedName name="IQ_RES_CONST_REAL_SAAR_YOY_UNUSED" hidden="1">"c7437"</definedName>
    <definedName name="IQ_RES_CONST_REAL_SAAR_YOY_UNUSED_UNUSED_UNUSED" hidden="1">"c7437"</definedName>
    <definedName name="IQ_RES_CONST_REAL_UNUSED" hidden="1">"c6996"</definedName>
    <definedName name="IQ_RES_CONST_REAL_UNUSED_UNUSED_UNUSED" hidden="1">"c6996"</definedName>
    <definedName name="IQ_RES_CONST_REAL_YOY_FC_UNUSED" hidden="1">"c8316"</definedName>
    <definedName name="IQ_RES_CONST_REAL_YOY_FC_UNUSED_UNUSED_UNUSED" hidden="1">"c8316"</definedName>
    <definedName name="IQ_RES_CONST_REAL_YOY_UNUSED" hidden="1">"c7436"</definedName>
    <definedName name="IQ_RES_CONST_REAL_YOY_UNUSED_UNUSED_UNUSED" hidden="1">"c7436"</definedName>
    <definedName name="IQ_RES_CONST_SAAR_APR_FC_UNUSED" hidden="1">"c8540"</definedName>
    <definedName name="IQ_RES_CONST_SAAR_APR_FC_UNUSED_UNUSED_UNUSED" hidden="1">"c8540"</definedName>
    <definedName name="IQ_RES_CONST_SAAR_APR_UNUSED" hidden="1">"c7660"</definedName>
    <definedName name="IQ_RES_CONST_SAAR_APR_UNUSED_UNUSED_UNUSED" hidden="1">"c7660"</definedName>
    <definedName name="IQ_RES_CONST_SAAR_FC_UNUSED" hidden="1">"c7880"</definedName>
    <definedName name="IQ_RES_CONST_SAAR_FC_UNUSED_UNUSED_UNUSED" hidden="1">"c7880"</definedName>
    <definedName name="IQ_RES_CONST_SAAR_POP_FC_UNUSED" hidden="1">"c8100"</definedName>
    <definedName name="IQ_RES_CONST_SAAR_POP_FC_UNUSED_UNUSED_UNUSED" hidden="1">"c8100"</definedName>
    <definedName name="IQ_RES_CONST_SAAR_POP_UNUSED" hidden="1">"c7220"</definedName>
    <definedName name="IQ_RES_CONST_SAAR_POP_UNUSED_UNUSED_UNUSED" hidden="1">"c7220"</definedName>
    <definedName name="IQ_RES_CONST_SAAR_UNUSED" hidden="1">"c7000"</definedName>
    <definedName name="IQ_RES_CONST_SAAR_UNUSED_UNUSED_UNUSED" hidden="1">"c7000"</definedName>
    <definedName name="IQ_RES_CONST_SAAR_YOY_FC_UNUSED" hidden="1">"c8320"</definedName>
    <definedName name="IQ_RES_CONST_SAAR_YOY_FC_UNUSED_UNUSED_UNUSED" hidden="1">"c8320"</definedName>
    <definedName name="IQ_RES_CONST_SAAR_YOY_UNUSED" hidden="1">"c7440"</definedName>
    <definedName name="IQ_RES_CONST_SAAR_YOY_UNUSED_UNUSED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STDDEV_EST_REUT" hidden="1">"c3639"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BEFORE_LL_FFIEC" hidden="1">"c13018"</definedName>
    <definedName name="IQ_REVENUE_EST" hidden="1">"c1126"</definedName>
    <definedName name="IQ_REVENUE_EST_BOTTOM_UP_CIQ" hidden="1">"c12025"</definedName>
    <definedName name="IQ_REVENUE_EST_CIQ" hidden="1">"c3616"</definedName>
    <definedName name="IQ_REVENUE_EST_REUT" hidden="1">"c3634"</definedName>
    <definedName name="IQ_REVENUE_HIGH_EST" hidden="1">"c1127"</definedName>
    <definedName name="IQ_REVENUE_HIGH_EST_CIQ" hidden="1">"c3618"</definedName>
    <definedName name="IQ_REVENUE_HIGH_EST_REUT" hidden="1">"c3636"</definedName>
    <definedName name="IQ_REVENUE_LOW_EST" hidden="1">"c1128"</definedName>
    <definedName name="IQ_REVENUE_LOW_EST_CIQ" hidden="1">"c3619"</definedName>
    <definedName name="IQ_REVENUE_LOW_EST_REUT" hidden="1">"c3637"</definedName>
    <definedName name="IQ_REVENUE_MEDIAN_EST" hidden="1">"c1662"</definedName>
    <definedName name="IQ_REVENUE_MEDIAN_EST_CIQ" hidden="1">"c3617"</definedName>
    <definedName name="IQ_REVENUE_MEDIAN_EST_REUT" hidden="1">"c3635"</definedName>
    <definedName name="IQ_REVENUE_NUM_EST" hidden="1">"c1129"</definedName>
    <definedName name="IQ_REVENUE_NUM_EST_CIQ" hidden="1">"c3620"</definedName>
    <definedName name="IQ_REVENUE_NUM_EST_REUT" hidden="1">"c3638"</definedName>
    <definedName name="IQ_REVISION_DATE_" hidden="1">39384.8344907407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EVOLVING_SECURED_1_4_NON_ACCRUAL_FFIEC" hidden="1">"c13314"</definedName>
    <definedName name="IQ_RISK_ADJ_BANK_ASSETS" hidden="1">"c2670"</definedName>
    <definedName name="IQ_RISK_WEIGHTED_ASSETS_FDIC" hidden="1">"c6370"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Y" hidden="1">"c1130"</definedName>
    <definedName name="IQ_SALARY_FDIC" hidden="1">"c6576"</definedName>
    <definedName name="IQ_SALE_COMMON_GROSS_FFIEC" hidden="1">"c12963"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FARMLAND_NET_CHARGE_OFFS_FDIC" hidden="1">"c6631"</definedName>
    <definedName name="IQ_SECURED_FARMLAND_RECOVERIES_FDIC" hidden="1">"c6612"</definedName>
    <definedName name="IQ_SECURED_MULTI_RES_LL_REC_DOM_FFIEC" hidden="1">"c12905"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HELD_MATURITY_FFIEC" hidden="1">"c12777"</definedName>
    <definedName name="IQ_SECURITIES_ISSUED_STATES_FDIC" hidden="1">"c6300"</definedName>
    <definedName name="IQ_SECURITIES_ISSUED_US_FFIEC" hidden="1">"c12781"</definedName>
    <definedName name="IQ_SECURITIES_LENT_FDIC" hidden="1">"c6532"</definedName>
    <definedName name="IQ_SECURITIES_LENT_FFIEC" hidden="1">"c13255"</definedName>
    <definedName name="IQ_SECURITIES_QUARTERLY_AVG_FFIEC" hidden="1">"c13079"</definedName>
    <definedName name="IQ_SECURITIES_UNDERWRITING_FDIC" hidden="1">"c6529"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DOL" hidden="1">"c12042"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FDIC" hidden="1">"c6572"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EST" hidden="1">"c1425"</definedName>
    <definedName name="IQ_SMALL_INT_BEAR_CD" hidden="1">"c1166"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XPLORE_DRILL" hidden="1">"c13851"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FIEC" hidden="1">"c12867"</definedName>
    <definedName name="IQ_SUB_NOTES_PAYABLE_UNCONSOLIDATED_TRUSTS_FFIEC" hidden="1">"c12868"</definedName>
    <definedName name="IQ_SUPPLIES_FFIEC" hidden="1">"c13050"</definedName>
    <definedName name="IQ_SURPLUS_FDIC" hidden="1">"c6351"</definedName>
    <definedName name="IQ_SURPLUS_FFIEC" hidden="1">"c12877"</definedName>
    <definedName name="IQ_SVA" hidden="1">"c1214"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NUM" hidden="1">"c1653"</definedName>
    <definedName name="IQ_TARGET_PRICE_NUM_CIQ" hidden="1">"c4661"</definedName>
    <definedName name="IQ_TARGET_PRICE_NUM_REUT" hidden="1">"c5319"</definedName>
    <definedName name="IQ_TARGET_PRICE_STDDEV" hidden="1">"c1654"</definedName>
    <definedName name="IQ_TARGET_PRICE_STDDEV_CIQ" hidden="1">"c4662"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ELECOM_FFIEC" hidden="1">"c13057"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DIC" hidden="1">"c6746"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100K_OTHER_INSTITUTIONS_FFIEC" hidden="1">"c12953"</definedName>
    <definedName name="IQ_TIME_DEPOSITS_LESS_100K_TOT_DEPOSITS_FFIEC" hidden="1">"c13907"</definedName>
    <definedName name="IQ_TIME_DEPOSITS_LESS_THAN_100K_FDIC" hidden="1">"c6465"</definedName>
    <definedName name="IQ_TIME_DEPOSITS_MORE_100K_OTHER_INSTITUTIONS_FFIEC" hidden="1">"c12954"</definedName>
    <definedName name="IQ_TIME_DEPOSITS_MORE_100K_TOT_DEPOSITS_FFIEC" hidden="1">"c13906"</definedName>
    <definedName name="IQ_TIME_DEPOSITS_MORE_THAN_100K_FDIC" hidden="1">"c6470"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DIC" hidden="1">"c6339"</definedName>
    <definedName name="IQ_TOTAL_ASSETS_FFIEC" hidden="1">"c12849"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NON_CURRENT" hidden="1">"c6191"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EPOSITS_FFIEC" hidden="1">"c13623"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DIC" hidden="1">"c6348"</definedName>
    <definedName name="IQ_TOTAL_LIABILITIES_FFIEC" hidden="1">"c12873"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ISK_BASED_CAPITAL_FFIEC" hidden="1">"c13153"</definedName>
    <definedName name="IQ_TOTAL_RISK_BASED_CAPITAL_RATIO_FDIC" hidden="1">"c6747"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TRADING_ASSETS_FFIEC" hidden="1">"c12939"</definedName>
    <definedName name="IQ_TOTAL_TRADING_LIAB_DOM_FFIEC" hidden="1">"c12944"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AIR_VALUE_TOT_FFIEC" hidden="1">"c13210"</definedName>
    <definedName name="IQ_TRADING_ASSETS_FDIC" hidden="1">"c6328"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DIC" hidden="1">"c6344"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ACTION_ACCOUNTS_FDIC" hidden="1">"c6544"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ER" hidden="1">"c8958"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DIC" hidden="1">"c6298"</definedName>
    <definedName name="IQ_US_TREASURY_SECURITIES_FFIEC" hidden="1">"c12778"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"c2203"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IELD_FED_FUNDS_SOLD_FFIEC" hidden="1">"c13487"</definedName>
    <definedName name="IQ_YIELD_TRADING_ASSETS_FFIEC" hidden="1">"c13488"</definedName>
    <definedName name="IQ_YTD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ShowHideColumns" hidden="1">"iQShowAnnual"</definedName>
    <definedName name="Irev">#REF!</definedName>
    <definedName name="irpeg_rate">#REF!</definedName>
    <definedName name="IS">#REF!</definedName>
    <definedName name="IS_1">#REF!</definedName>
    <definedName name="IS_10">#REF!</definedName>
    <definedName name="IS_11">#REF!</definedName>
    <definedName name="IS_12">#REF!</definedName>
    <definedName name="IS_13">#REF!</definedName>
    <definedName name="IS_14">#REF!</definedName>
    <definedName name="IS_2">#REF!</definedName>
    <definedName name="IS_3">#REF!</definedName>
    <definedName name="IS_4">#REF!</definedName>
    <definedName name="IS_5">#REF!</definedName>
    <definedName name="IS_6">#REF!</definedName>
    <definedName name="IS_7">#REF!</definedName>
    <definedName name="IS_8">#REF!</definedName>
    <definedName name="IS_9">#REF!</definedName>
    <definedName name="is_active">#REF!</definedName>
    <definedName name="is_holdbin">#REF!</definedName>
    <definedName name="IS_p">#REF!</definedName>
    <definedName name="IS_print">#REF!</definedName>
    <definedName name="is_restricted">#REF!</definedName>
    <definedName name="is_restricted_ext">#REF!</definedName>
    <definedName name="is_restricted_over">#REF!</definedName>
    <definedName name="is_restricted_use_over">#REF!</definedName>
    <definedName name="is_week_of_next_release_date">#REF!</definedName>
    <definedName name="IsColHidden" hidden="1">FALSE</definedName>
    <definedName name="ISitem">#REF!</definedName>
    <definedName name="IsLTMColHidden" hidden="1">FALSE</definedName>
    <definedName name="iso_country_code">#REF!</definedName>
    <definedName name="iso_currency_code">#REF!</definedName>
    <definedName name="ISQuarter">#REF!</definedName>
    <definedName name="Issue_Id_Primary">#REF!</definedName>
    <definedName name="Issue_Id_Secondary">#REF!</definedName>
    <definedName name="Issue_Id_Tertiary">#REF!</definedName>
    <definedName name="IssueData">#REF!</definedName>
    <definedName name="itc">#REF!</definedName>
    <definedName name="itc_g">#REF!</definedName>
    <definedName name="itc_is">#REF!</definedName>
    <definedName name="Item_1">#REF!</definedName>
    <definedName name="Item_10">#REF!</definedName>
    <definedName name="Item_11">#REF!</definedName>
    <definedName name="Item_12">#REF!</definedName>
    <definedName name="Item_13">#REF!</definedName>
    <definedName name="Item_14">#REF!</definedName>
    <definedName name="Item_15">#REF!</definedName>
    <definedName name="Item_16">#REF!</definedName>
    <definedName name="Item_17">#REF!</definedName>
    <definedName name="Item_18">#REF!</definedName>
    <definedName name="Item_19">#REF!</definedName>
    <definedName name="Item_2">#REF!</definedName>
    <definedName name="Item_20">#REF!</definedName>
    <definedName name="Item_3">#REF!</definedName>
    <definedName name="Item_4">#REF!</definedName>
    <definedName name="Item_5">#REF!</definedName>
    <definedName name="Item_6">#REF!</definedName>
    <definedName name="Item_7">#REF!</definedName>
    <definedName name="Item_8">#REF!</definedName>
    <definedName name="Item_9">#REF!</definedName>
    <definedName name="ITL_X">#REF!</definedName>
    <definedName name="ITLBLN_X">#REF!</definedName>
    <definedName name="itlpta">#REF!</definedName>
    <definedName name="ITLPTARATE_X">#REF!</definedName>
    <definedName name="ITLTRL_X">#REF!</definedName>
    <definedName name="ITSCurrecnyRange">#REF!</definedName>
    <definedName name="Japan">#REF!</definedName>
    <definedName name="Java_rev">#REF!</definedName>
    <definedName name="jblavg">#REF!</definedName>
    <definedName name="jblchg">#REF!</definedName>
    <definedName name="jblcrpe">#REF!</definedName>
    <definedName name="jblcurr">#REF!</definedName>
    <definedName name="jbldate">#REF!</definedName>
    <definedName name="jbldown">#REF!</definedName>
    <definedName name="jbldownsup">#REF!</definedName>
    <definedName name="jbleps99">#REF!</definedName>
    <definedName name="jblfy1cons">#REF!</definedName>
    <definedName name="jblfy2cons">#REF!</definedName>
    <definedName name="jblhi">#REF!</definedName>
    <definedName name="jblhilo">#REF!</definedName>
    <definedName name="jbllow">#REF!</definedName>
    <definedName name="jblmktcap">#REF!</definedName>
    <definedName name="jblpegrowthavg">#REF!</definedName>
    <definedName name="jblpegrowthcurr">#REF!</definedName>
    <definedName name="jblpegrowthhi">#REF!</definedName>
    <definedName name="jblpegrowthlow">#REF!</definedName>
    <definedName name="jblprice">#REF!</definedName>
    <definedName name="jblrpe">#REF!</definedName>
    <definedName name="jblshares">#REF!</definedName>
    <definedName name="jbltprice">#REF!</definedName>
    <definedName name="jblttmavg">#REF!</definedName>
    <definedName name="jblttmcurr">#REF!</definedName>
    <definedName name="jblttmhi">#REF!</definedName>
    <definedName name="jblttmlow">#REF!</definedName>
    <definedName name="jblttmrelavg">#REF!</definedName>
    <definedName name="jblttmrelcurr">#REF!</definedName>
    <definedName name="jblttmrelhi">#REF!</definedName>
    <definedName name="jblttmrellow">#REF!</definedName>
    <definedName name="jblup">#REF!</definedName>
    <definedName name="jblupsup">#REF!</definedName>
    <definedName name="jblvol">#REF!</definedName>
    <definedName name="jblyield">#REF!</definedName>
    <definedName name="JDSU_1Pager">#REF!</definedName>
    <definedName name="JDSU_BS">#REF!</definedName>
    <definedName name="JDSU_CF">#REF!</definedName>
    <definedName name="JDSU_IS">#REF!</definedName>
    <definedName name="jdsucurr">#REF!</definedName>
    <definedName name="jdsudate">#REF!</definedName>
    <definedName name="jdsudown">#REF!</definedName>
    <definedName name="jdsudownsup">#REF!</definedName>
    <definedName name="jdsuevebitda">#REF!</definedName>
    <definedName name="jdsuffqpeavg">#REF!</definedName>
    <definedName name="jdsuffqpecurr">#REF!</definedName>
    <definedName name="jdsufy1cons">#REF!</definedName>
    <definedName name="jdsufy2cons">#REF!</definedName>
    <definedName name="jdsuhi">#REF!</definedName>
    <definedName name="jdsuhilo">#REF!</definedName>
    <definedName name="jdsulow">#REF!</definedName>
    <definedName name="jdsumktcap">#REF!</definedName>
    <definedName name="jdsupe1">#REF!</definedName>
    <definedName name="jdsupe2">#REF!</definedName>
    <definedName name="jdsupegrowthavg">#REF!</definedName>
    <definedName name="jdsupegrowthcurr">#REF!</definedName>
    <definedName name="jdsupegrowthhi">#REF!</definedName>
    <definedName name="jdsupegrowthlow">#REF!</definedName>
    <definedName name="jdsuperelavg">#REF!</definedName>
    <definedName name="jdsuperelcurr">#REF!</definedName>
    <definedName name="jdsuprice">#REF!</definedName>
    <definedName name="jdsupsup">#REF!</definedName>
    <definedName name="jdsurpe">#REF!</definedName>
    <definedName name="jdsushares">#REF!</definedName>
    <definedName name="jdsutprice">#REF!</definedName>
    <definedName name="jdsuttmavg">#REF!</definedName>
    <definedName name="jdsuttmcurr">#REF!</definedName>
    <definedName name="jdsuttmhi">#REF!</definedName>
    <definedName name="jdsuttmlow">#REF!</definedName>
    <definedName name="jdsuttmrelavg">#REF!</definedName>
    <definedName name="jdsuttmrelcurr">#REF!</definedName>
    <definedName name="jdsuttmrelhi">#REF!</definedName>
    <definedName name="jdsuttmrellow">#REF!</definedName>
    <definedName name="jdsuup">#REF!</definedName>
    <definedName name="jdsuupsup">#REF!</definedName>
    <definedName name="jdsuvol">#REF!</definedName>
    <definedName name="jdsuyield">#REF!</definedName>
    <definedName name="jdsvol">#REF!</definedName>
    <definedName name="jdsyield">#REF!</definedName>
    <definedName name="jnpravg">#REF!</definedName>
    <definedName name="jnpravgffq">#REF!</definedName>
    <definedName name="jnprchg">#REF!</definedName>
    <definedName name="jnprcurr">#REF!</definedName>
    <definedName name="jnprcurrffq">#REF!</definedName>
    <definedName name="jnprpegrelavg">#REF!</definedName>
    <definedName name="jnprpegrelcurr">#REF!</definedName>
    <definedName name="jnprpegrowthavg">#REF!</definedName>
    <definedName name="jnprpegrowthcurr">#REF!</definedName>
    <definedName name="jnprshares">#REF!</definedName>
    <definedName name="Joan30YrBond">#REF!</definedName>
    <definedName name="JoanYield">#REF!</definedName>
    <definedName name="JPMSCY01">#REF!</definedName>
    <definedName name="JPMSCY02">#REF!</definedName>
    <definedName name="JPMSCY03">#REF!</definedName>
    <definedName name="JPMSNTM3">#REF!</definedName>
    <definedName name="junk">#REF!</definedName>
    <definedName name="Kd">#REF!</definedName>
    <definedName name="Ke">#REF!</definedName>
    <definedName name="KerberosID">#REF!</definedName>
    <definedName name="KerberosPwd">#REF!</definedName>
    <definedName name="KEVA">#REF!</definedName>
    <definedName name="key_driv">#REF!</definedName>
    <definedName name="keycustomers">#REF!</definedName>
    <definedName name="kirchmedia">#REF!</definedName>
    <definedName name="KM_Metric">OFFSET(#REF!,0,0,COUNTA(#REF!)-1)</definedName>
    <definedName name="kmetavg">#REF!</definedName>
    <definedName name="kmetchg">#REF!</definedName>
    <definedName name="kmetcrpe">#REF!</definedName>
    <definedName name="kmetcurr">#REF!</definedName>
    <definedName name="kmetdate">#REF!</definedName>
    <definedName name="kmetdown">#REF!</definedName>
    <definedName name="kmetdownsup">#REF!</definedName>
    <definedName name="kmeteps98">#REF!</definedName>
    <definedName name="kmeteps99">#REF!</definedName>
    <definedName name="kmetfy1cons">#REF!</definedName>
    <definedName name="kmetfy2cons">#REF!</definedName>
    <definedName name="kmethi">#REF!</definedName>
    <definedName name="kmethilo">#REF!</definedName>
    <definedName name="kmetlow">#REF!</definedName>
    <definedName name="kmetmktcap">#REF!</definedName>
    <definedName name="kmetpegrowthavg">#REF!</definedName>
    <definedName name="kmetpegrowthcurr">#REF!</definedName>
    <definedName name="kmetpegrowthhi">#REF!</definedName>
    <definedName name="kmetpegrowthlow">#REF!</definedName>
    <definedName name="kmetprice">#REF!</definedName>
    <definedName name="kmetrpe">#REF!</definedName>
    <definedName name="kmetshares">#REF!</definedName>
    <definedName name="kmettprice">#REF!</definedName>
    <definedName name="kmetttmavg">#REF!</definedName>
    <definedName name="kmetttmcurr">#REF!</definedName>
    <definedName name="kmetttmhi">#REF!</definedName>
    <definedName name="kmetttmlow">#REF!</definedName>
    <definedName name="kmetttmrelavg">#REF!</definedName>
    <definedName name="kmetttmrelcurr">#REF!</definedName>
    <definedName name="kmetttmrelhi">#REF!</definedName>
    <definedName name="kmetttmrellow">#REF!</definedName>
    <definedName name="kmetup">#REF!</definedName>
    <definedName name="kmetupsup">#REF!</definedName>
    <definedName name="kmetvol">#REF!</definedName>
    <definedName name="kmetyield">#REF!</definedName>
    <definedName name="kntavg">#REF!</definedName>
    <definedName name="kntchg">#REF!</definedName>
    <definedName name="kntcrpe">#REF!</definedName>
    <definedName name="kntcurr">#REF!</definedName>
    <definedName name="kntdate">#REF!</definedName>
    <definedName name="kntdown">#REF!</definedName>
    <definedName name="kntdownsup">#REF!</definedName>
    <definedName name="kntevebitda">#REF!</definedName>
    <definedName name="kntffqpeavg">#REF!</definedName>
    <definedName name="kntffqpecurr">#REF!</definedName>
    <definedName name="kntfy1cons">#REF!</definedName>
    <definedName name="kntfy2cons">#REF!</definedName>
    <definedName name="knthi">#REF!</definedName>
    <definedName name="knthilo">#REF!</definedName>
    <definedName name="kntlow">#REF!</definedName>
    <definedName name="kntmktcap">#REF!</definedName>
    <definedName name="kntpe1">#REF!</definedName>
    <definedName name="kntpe2">#REF!</definedName>
    <definedName name="kntpegrowthavg">#REF!</definedName>
    <definedName name="kntpegrowthcurr">#REF!</definedName>
    <definedName name="kntpegrowthhi">#REF!</definedName>
    <definedName name="kntpegrowthlow">#REF!</definedName>
    <definedName name="kntperelavg">#REF!</definedName>
    <definedName name="kntperelcurr">#REF!</definedName>
    <definedName name="kntprice">#REF!</definedName>
    <definedName name="kntrpe">#REF!</definedName>
    <definedName name="kntshares">#REF!</definedName>
    <definedName name="knttprice">#REF!</definedName>
    <definedName name="kntttmavg">#REF!</definedName>
    <definedName name="kntttmcurr">#REF!</definedName>
    <definedName name="kntttmhi">#REF!</definedName>
    <definedName name="kntttmlow">#REF!</definedName>
    <definedName name="kntttmrelavg">#REF!</definedName>
    <definedName name="kntttmrelcurr">#REF!</definedName>
    <definedName name="kntttmrelhi">#REF!</definedName>
    <definedName name="kntttmrellow">#REF!</definedName>
    <definedName name="kntup">#REF!</definedName>
    <definedName name="kntupsup">#REF!</definedName>
    <definedName name="kntvol">#REF!</definedName>
    <definedName name="kntyield">#REF!</definedName>
    <definedName name="kpw">#REF!</definedName>
    <definedName name="l" hidden="1">{"IS",#N/A,FALSE,"IS";"RPTIS",#N/A,FALSE,"RPTIS";"STATS",#N/A,FALSE,"STATS";"CELL",#N/A,FALSE,"CELL";"BS",#N/A,FALSE,"BS"}</definedName>
    <definedName name="L_ALL_ACN">#REF!</definedName>
    <definedName name="L_ALL_ADI">#REF!</definedName>
    <definedName name="L_ALL_ADI_">#REF!</definedName>
    <definedName name="L_ALL_ALTR">#REF!</definedName>
    <definedName name="L_ALL_AMAT">#REF!</definedName>
    <definedName name="L_ALL_AMAT_">#REF!</definedName>
    <definedName name="L_ALL_AMD">#REF!</definedName>
    <definedName name="L_ALL_AMD_">#REF!</definedName>
    <definedName name="L_ALL_AMT">#REF!</definedName>
    <definedName name="L_ALL_APXT">#REF!</definedName>
    <definedName name="L_ALL_ARM">#REF!</definedName>
    <definedName name="L_ALL_ARW">#REF!</definedName>
    <definedName name="L_ALL_ARW_">#REF!</definedName>
    <definedName name="L_ALL_ARX">#REF!</definedName>
    <definedName name="L_ALL_AVGO">#REF!</definedName>
    <definedName name="L_ALL_AVGO_">#REF!</definedName>
    <definedName name="L_ALL_BCE">#REF!</definedName>
    <definedName name="L_ALL_BRCM">#REF!</definedName>
    <definedName name="L_ALL_BRCM_">#REF!</definedName>
    <definedName name="L_ALL_BSY">#REF!</definedName>
    <definedName name="L_ALL_CCI">#REF!</definedName>
    <definedName name="L_ALL_CDNS">#REF!</definedName>
    <definedName name="L_ALL_CFG">#REF!</definedName>
    <definedName name="L_ALL_CHTR">#REF!</definedName>
    <definedName name="L_ALL_CMCSA">#REF!</definedName>
    <definedName name="L_ALL_CRWD">#REF!</definedName>
    <definedName name="L_ALL_CSAL">#REF!</definedName>
    <definedName name="L_ALL_CTL">#REF!</definedName>
    <definedName name="L_ALL_CTL_">#REF!</definedName>
    <definedName name="L_ALL_CTSH">#REF!</definedName>
    <definedName name="L_ALL_CYBR">#REF!</definedName>
    <definedName name="L_ALL_DBX">#REF!</definedName>
    <definedName name="L_ALL_DIS">#REF!</definedName>
    <definedName name="L_ALL_DTV">#REF!</definedName>
    <definedName name="L_ALL_DWRE">#REF!</definedName>
    <definedName name="L_ALL_ENTG">#REF!</definedName>
    <definedName name="L_ALL_EPAM">#REF!</definedName>
    <definedName name="L_ALL_EQIX">#REF!</definedName>
    <definedName name="L_ALL_FSL">#REF!</definedName>
    <definedName name="L_ALL_FTR">#REF!</definedName>
    <definedName name="L_ALL_FTRCQ">#REF!</definedName>
    <definedName name="L_ALL_FYBR">#REF!</definedName>
    <definedName name="L_ALL_GLOB">#REF!</definedName>
    <definedName name="L_ALL_I">#REF!</definedName>
    <definedName name="L_ALL_IBM">#REF!</definedName>
    <definedName name="L_ALL_INTC">#REF!</definedName>
    <definedName name="L_ALL_INTC_">#REF!</definedName>
    <definedName name="L_ALL_INTU" localSheetId="3">#REF!</definedName>
    <definedName name="L_ALL_INTU">#REF!</definedName>
    <definedName name="L_ALL_INTU_" localSheetId="3">#REF!</definedName>
    <definedName name="L_ALL_INTU_">#REF!</definedName>
    <definedName name="L_ALL_JBL">#REF!</definedName>
    <definedName name="L_ALL_KEYWORDS_TYPE_Breakdown_EQTY_200001646">#REF!</definedName>
    <definedName name="L_ALL_KEYWORDS_TYPE_Breakdown_EQTY_200002831">#REF!</definedName>
    <definedName name="L_ALL_KEYWORDS_TYPE_Breakdown_EQTY_200004419">#REF!</definedName>
    <definedName name="L_ALL_KEYWORDS_TYPE_ScalarContributed_EQTY_200000304">#REF!,#REF!,#REF!,#REF!</definedName>
    <definedName name="L_ALL_KEYWORDS_TYPE_ScalarContributed_EQTY_200000813">#REF!,#REF!,#REF!,#REF!,#REF!</definedName>
    <definedName name="L_ALL_KEYWORDS_TYPE_ScalarContributed_EQTY_200001265">#REF!,#REF!,#REF!,#REF!</definedName>
    <definedName name="L_ALL_KEYWORDS_TYPE_ScalarContributed_EQTY_200001320">#REF!,#REF!,#REF!,#REF!</definedName>
    <definedName name="L_ALL_KEYWORDS_TYPE_ScalarContributed_EQTY_200001330">#REF!,#REF!,#REF!,#REF!</definedName>
    <definedName name="L_ALL_KEYWORDS_TYPE_ScalarContributed_EQTY_200001353">#REF!,#REF!</definedName>
    <definedName name="L_ALL_KEYWORDS_TYPE_ScalarContributed_EQTY_200001371">#REF!,#REF!</definedName>
    <definedName name="L_ALL_KEYWORDS_TYPE_ScalarContributed_EQTY_200001381">#REF!,#REF!,#REF!,#REF!,#REF!</definedName>
    <definedName name="L_ALL_KEYWORDS_TYPE_ScalarContributed_EQTY_200001646">#REF!,#REF!,#REF!,#REF!</definedName>
    <definedName name="L_ALL_KEYWORDS_TYPE_ScalarContributed_EQTY_200002282">#REF!,#REF!,#REF!,#REF!,#REF!</definedName>
    <definedName name="L_ALL_KEYWORDS_TYPE_ScalarContributed_EQTY_200002283">#REF!,#REF!,#REF!,#REF!,#REF!</definedName>
    <definedName name="L_ALL_KEYWORDS_TYPE_ScalarContributed_EQTY_200002309">#REF!,#REF!,#REF!,#REF!,#REF!</definedName>
    <definedName name="L_ALL_KEYWORDS_TYPE_ScalarContributed_EQTY_200002831">#REF!,#REF!,#REF!,#REF!,#REF!</definedName>
    <definedName name="L_ALL_KEYWORDS_TYPE_ScalarContributed_EQTY_200002833">#REF!,#REF!,#REF!,#REF!</definedName>
    <definedName name="L_ALL_KEYWORDS_TYPE_ScalarContributed_EQTY_200003036">#REF!,#REF!,#REF!,#REF!,#REF!</definedName>
    <definedName name="L_ALL_KEYWORDS_TYPE_ScalarContributed_EQTY_200003037">#REF!,#REF!,#REF!,#REF!</definedName>
    <definedName name="L_ALL_KEYWORDS_TYPE_ScalarContributed_EQTY_200003892">#REF!,#REF!,#REF!,#REF!</definedName>
    <definedName name="L_ALL_KEYWORDS_TYPE_ScalarContributed_EQTY_200004230">#REF!,#REF!,#REF!,#REF!,#REF!</definedName>
    <definedName name="L_ALL_KEYWORDS_TYPE_ScalarContributed_EQTY_200004419">#REF!,#REF!,#REF!,#REF!</definedName>
    <definedName name="L_ALL_KEYWORDS_TYPE_ScalarContributed_EQTY_200004906">#REF!,#REF!,#REF!,#REF!,#REF!</definedName>
    <definedName name="L_ALL_KEYWORDS_TYPE_ScalarContributed_EQTY_200005326">#REF!,#REF!,#REF!,#REF!,#REF!</definedName>
    <definedName name="L_ALL_KEYWORDS_TYPE_ScalarContributed_EQTY_200005490">#REF!,#REF!,#REF!,#REF!,#REF!</definedName>
    <definedName name="L_ALL_KEYWORDS_TYPE_ScalarContributed_EQTY_200005674">#REF!,#REF!,#REF!,#REF!,#REF!</definedName>
    <definedName name="L_ALL_KEYWORDS_TYPE_ScalarContributed_EQTY_200005722">#REF!,#REF!,#REF!,#REF!,#REF!</definedName>
    <definedName name="L_ALL_KEYWORDS_TYPE_ScalarContributed_EQTY_200006232">#REF!,#REF!,#REF!,#REF!</definedName>
    <definedName name="L_ALL_KEYWORDS_TYPE_ScalarContributed_EQTY_200006333">#REF!,#REF!,#REF!,#REF!</definedName>
    <definedName name="L_ALL_KEYWORDS_TYPE_ScalarContributed_EQTY_200006384">#REF!,#REF!,#REF!,#REF!,#REF!</definedName>
    <definedName name="L_ALL_KEYWORDS_TYPE_ScalarContributed_EQTY_200007794">#REF!,#REF!,#REF!,#REF!,#REF!</definedName>
    <definedName name="L_ALL_KEYWORDS_TYPE_ScalarContributed_EQTY_200009556">#REF!,#REF!,#REF!,#REF!</definedName>
    <definedName name="L_ALL_KEYWORDS_TYPE_ScalarContributed_EQTY_200009677">#REF!,#REF!,#REF!,#REF!,#REF!</definedName>
    <definedName name="L_ALL_KEYWORDS_TYPE_ScalarContributed_EQTY_200010313">#REF!,#REF!,#REF!,#REF!</definedName>
    <definedName name="L_ALL_KEYWORDS_TYPE_ScalarContributed_EQTY_200011598">#REF!,#REF!,#REF!,#REF!,#REF!</definedName>
    <definedName name="L_ALL_KEYWORDS_TYPE_ScalarContributed_EQTY_200012393">#REF!,#REF!,#REF!,#REF!,#REF!</definedName>
    <definedName name="L_ALL_KEYWORDS_TYPE_ScalarContributed_EQTY_200012762">#REF!,#REF!,#REF!,#REF!</definedName>
    <definedName name="L_ALL_KEYWORDS_TYPE_ScalarContributed_EQTY_200014300">#REF!,#REF!,#REF!,#REF!</definedName>
    <definedName name="L_ALL_KEYWORDS_TYPE_ScalarContributed_EQTY_200014367">#REF!,#REF!,#REF!,#REF!,#REF!</definedName>
    <definedName name="L_ALL_KEYWORDS_TYPE_ScalarContributed_EQTY_200014493">#REF!,#REF!,#REF!,#REF!</definedName>
    <definedName name="L_ALL_KEYWORDS_TYPE_ScalarContributed_EQTY_200014750">#REF!,#REF!,#REF!,#REF!,#REF!</definedName>
    <definedName name="L_ALL_KEYWORDS_TYPE_ScalarContributed_EQTY_200015107">#REF!,#REF!,#REF!,#REF!</definedName>
    <definedName name="L_ALL_KEYWORDS_TYPE_ScalarContributed_EQTY_200015716">#REF!,#REF!,#REF!,#REF!</definedName>
    <definedName name="L_ALL_KEYWORDS_TYPE_ScalarContributed_EQTY_200015757">#REF!,#REF!,#REF!,#REF!</definedName>
    <definedName name="L_ALL_KEYWORDS_TYPE_ScalarContributed_EQTY_200016026">#REF!,#REF!,#REF!,#REF!</definedName>
    <definedName name="L_ALL_KEYWORDS_TYPE_ScalarContributed_EQTY_200017745">#REF!,#REF!,#REF!,#REF!,#REF!</definedName>
    <definedName name="L_ALL_KEYWORDS_TYPE_ScalarContributed_EQTY_200019587">#REF!,#REF!,#REF!,#REF!</definedName>
    <definedName name="L_ALL_KEYWORDS_TYPE_ScalarContributed_EQTY_200019588">#REF!,#REF!,#REF!,#REF!</definedName>
    <definedName name="L_ALL_KEYWORDS_TYPE_ScalarContributed_EQTY_200021484">#REF!,#REF!,#REF!,#REF!,#REF!</definedName>
    <definedName name="L_ALL_KEYWORDS_TYPE_ScalarContributed_ISSR_208000027">#REF!,#REF!</definedName>
    <definedName name="L_ALL_KEYWORDS_TYPE_ScalarContributed_ISSR_208000156">#REF!,#REF!</definedName>
    <definedName name="L_ALL_KEYWORDS_TYPE_ScalarContributed_ISSR_208000430">#REF!,#REF!,#REF!,#REF!,#REF!,#REF!,#REF!,#REF!,#REF!,#REF!,#REF!</definedName>
    <definedName name="L_ALL_KEYWORDS_TYPE_ScalarContributed_ISSR_208000435">#REF!,#REF!</definedName>
    <definedName name="L_ALL_KEYWORDS_TYPE_ScalarContributed_ISSR_208000468">#REF!,#REF!</definedName>
    <definedName name="L_ALL_KEYWORDS_TYPE_ScalarContributed_ISSR_208000603">#REF!</definedName>
    <definedName name="L_ALL_KEYWORDS_TYPE_ScalarContributed_ISSR_208000826">#REF!,#REF!,#REF!</definedName>
    <definedName name="L_ALL_KEYWORDS_TYPE_ScalarContributed_ISSR_208000827">#REF!,#REF!,#REF!</definedName>
    <definedName name="L_ALL_KEYWORDS_TYPE_ScalarContributed_ISSR_208000836">#REF!,#REF!,#REF!</definedName>
    <definedName name="L_ALL_KEYWORDS_TYPE_ScalarContributed_ISSR_208000976">#REF!,#REF!</definedName>
    <definedName name="L_ALL_KEYWORDS_TYPE_ScalarContributed_ISSR_208000977">#REF!,#REF!</definedName>
    <definedName name="L_ALL_KEYWORDS_TYPE_ScalarContributed_ISSR_208001048">#REF!,#REF!</definedName>
    <definedName name="L_ALL_KEYWORDS_TYPE_ScalarContributed_ISSR_208001204">#REF!,#REF!,#REF!</definedName>
    <definedName name="L_ALL_KEYWORDS_TYPE_ScalarContributed_ISSR_208001258">#REF!</definedName>
    <definedName name="L_ALL_KEYWORDS_TYPE_ScalarContributed_ISSR_208001370">#REF!,#REF!</definedName>
    <definedName name="L_ALL_KEYWORDS_TYPE_ScalarContributed_ISSR_208001515">#REF!,#REF!</definedName>
    <definedName name="L_ALL_KEYWORDS_TYPE_ScalarContributed_ISSR_208001562">#REF!,#REF!,#REF!</definedName>
    <definedName name="L_ALL_KEYWORDS_TYPE_ScalarContributed_ISSR_208001627">#REF!,#REF!,#REF!</definedName>
    <definedName name="L_ALL_KEYWORDS_TYPE_ScalarContributed_ISSR_208001640">#REF!,#REF!</definedName>
    <definedName name="L_ALL_KEYWORDS_TYPE_ScalarContributed_ISSR_208001765">#REF!,#REF!,#REF!</definedName>
    <definedName name="L_ALL_KEYWORDS_TYPE_ScalarContributed_ISSR_208001785">#REF!,#REF!</definedName>
    <definedName name="L_ALL_KEYWORDS_TYPE_ScalarContributed_ISSR_208002651">#REF!,#REF!</definedName>
    <definedName name="L_ALL_KEYWORDS_TYPE_ScalarContributed_ISSR_208005795">#REF!,#REF!</definedName>
    <definedName name="L_ALL_KEYWORDS_TYPE_ScalarContributed_ISSR_208007986">#REF!,#REF!,#REF!</definedName>
    <definedName name="L_ALL_KEYWORDS_TYPE_ScalarContributed_ISSR_208008030">#REF!,#REF!,#REF!</definedName>
    <definedName name="L_ALL_KEYWORDS_TYPE_ScalarContributed_ISSR_208008836">#REF!,#REF!</definedName>
    <definedName name="L_ALL_KEYWORDS_TYPE_ScalarContributed_ISSR_208009377">#REF!,#REF!</definedName>
    <definedName name="L_ALL_KEYWORDS_TYPE_ScalarContributed_ISSR_208009722">#REF!</definedName>
    <definedName name="L_ALL_KEYWORDS_TYPE_ScalarContributed_ISSR_208011028">#REF!,#REF!,#REF!</definedName>
    <definedName name="L_ALL_KEYWORDS_TYPE_ScalarContributed_ISSR_208011556">#REF!,#REF!</definedName>
    <definedName name="L_ALL_KEYWORDS_TYPE_ScalarContributed_ISSR_208011888">#REF!,#REF!,#REF!,#REF!,#REF!,#REF!,#REF!,#REF!,#REF!,#REF!,#REF!</definedName>
    <definedName name="L_ALL_KEYWORDS_TYPE_ScalarContributed_ISSR_208012959">#REF!,#REF!,#REF!</definedName>
    <definedName name="L_ALL_KEYWORDS_TYPE_ScalarContributed_ISSR_208015351">#REF!,#REF!</definedName>
    <definedName name="L_ALL_KEYWORDS_TYPE_ScalarContributed_ISSR_208018132">#REF!,#REF!,#REF!</definedName>
    <definedName name="L_ALL_KEYWORDS_TYPE_ScalarContributed_ISSR_208018133">#REF!,#REF!,#REF!,#REF!,#REF!,#REF!,#REF!,#REF!,#REF!,#REF!,#REF!,#REF!</definedName>
    <definedName name="L_ALL_KEYWORDS_TYPE_ScalarContributed_ISSR_208018253">#REF!,#REF!,#REF!</definedName>
    <definedName name="L_ALL_KEYWORDS_TYPE_ScalarContributed_ISSR_208020566">#REF!,#REF!,#REF!</definedName>
    <definedName name="L_ALL_KEYWORDS_TYPE_ScalarContributed_ISSR_208020919">#REF!,#REF!,#REF!</definedName>
    <definedName name="L_ALL_KEYWORDS_TYPE_ScalarReference_EQTY_200001646">#REF!</definedName>
    <definedName name="L_ALL_KEYWORDS_TYPE_ScalarReference_EQTY_200002831">#REF!</definedName>
    <definedName name="L_ALL_KEYWORDS_TYPE_ScalarReference_EQTY_200004419">#REF!</definedName>
    <definedName name="L_ALL_KEYWORDS_TYPE_ScalarReference_EQTY_200012762">#REF!</definedName>
    <definedName name="L_ALL_KEYWORDS_TYPE_ScalarReference_EQTY_200014750">#REF!</definedName>
    <definedName name="L_ALL_KEYWORDS_TYPE_ScalarReference_ISSR_208000603">#REF!</definedName>
    <definedName name="L_ALL_KEYWORDS_TYPE_ScalarReference_ISSR_208000976">#REF!</definedName>
    <definedName name="L_ALL_KEYWORDS_TYPE_ScalarReference_ISSR_208001258">#REF!</definedName>
    <definedName name="L_ALL_KEYWORDS_TYPE_ScalarReference_ISSR_208009722">#REF!</definedName>
    <definedName name="L_ALL_KEYWORDS_TYPE_ScalarReference_ISSR_208011556">#REF!</definedName>
    <definedName name="L_ALL_KEYWORDS_TYPE_Vector_EQTY_200000304">#REF!,#REF!,#REF!,#REF!,#REF!,#REF!,#REF!</definedName>
    <definedName name="L_ALL_KEYWORDS_TYPE_Vector_EQTY_200000813">#REF!,#REF!,#REF!,#REF!,#REF!,#REF!,#REF!</definedName>
    <definedName name="L_ALL_KEYWORDS_TYPE_Vector_EQTY_200001265">#REF!,#REF!,#REF!,#REF!,#REF!,#REF!,#REF!</definedName>
    <definedName name="L_ALL_KEYWORDS_TYPE_Vector_EQTY_200001320">#REF!,#REF!,#REF!,#REF!,#REF!,#REF!,#REF!</definedName>
    <definedName name="L_ALL_KEYWORDS_TYPE_Vector_EQTY_200001330">#REF!,#REF!,#REF!,#REF!,#REF!,#REF!,#REF!</definedName>
    <definedName name="L_ALL_KEYWORDS_TYPE_Vector_EQTY_200001353">#REF!,#REF!,#REF!,#REF!,#REF!</definedName>
    <definedName name="L_ALL_KEYWORDS_TYPE_Vector_EQTY_200001371">#REF!,#REF!,#REF!,#REF!,#REF!</definedName>
    <definedName name="L_ALL_KEYWORDS_TYPE_Vector_EQTY_200001381">#REF!,#REF!,#REF!,#REF!,#REF!,#REF!,#REF!</definedName>
    <definedName name="L_ALL_KEYWORDS_TYPE_Vector_EQTY_200001646">#REF!,#REF!,#REF!,#REF!,#REF!,#REF!,#REF!,#REF!</definedName>
    <definedName name="L_ALL_KEYWORDS_TYPE_Vector_EQTY_200002282">#REF!,#REF!,#REF!,#REF!,#REF!,#REF!,#REF!,#REF!</definedName>
    <definedName name="L_ALL_KEYWORDS_TYPE_Vector_EQTY_200002283">#REF!,#REF!,#REF!,#REF!,#REF!,#REF!,#REF!,#REF!</definedName>
    <definedName name="L_ALL_KEYWORDS_TYPE_Vector_EQTY_200002309">#REF!,#REF!,#REF!,#REF!,#REF!,#REF!,#REF!,#REF!</definedName>
    <definedName name="L_ALL_KEYWORDS_TYPE_Vector_EQTY_200002831">#REF!,#REF!,#REF!,#REF!,#REF!,#REF!,#REF!</definedName>
    <definedName name="L_ALL_KEYWORDS_TYPE_Vector_EQTY_200002833">#REF!,#REF!,#REF!,#REF!,#REF!,#REF!,#REF!</definedName>
    <definedName name="L_ALL_KEYWORDS_TYPE_Vector_EQTY_200003036">#REF!,#REF!,#REF!,#REF!,#REF!,#REF!,#REF!</definedName>
    <definedName name="L_ALL_KEYWORDS_TYPE_Vector_EQTY_200003037">#REF!,#REF!,#REF!,#REF!,#REF!,#REF!,#REF!</definedName>
    <definedName name="L_ALL_KEYWORDS_TYPE_Vector_EQTY_200003892">#REF!,#REF!,#REF!,#REF!,#REF!,#REF!,#REF!</definedName>
    <definedName name="L_ALL_KEYWORDS_TYPE_Vector_EQTY_200004230">#REF!,#REF!,#REF!,#REF!,#REF!,#REF!,#REF!,#REF!</definedName>
    <definedName name="L_ALL_KEYWORDS_TYPE_Vector_EQTY_200004419">#REF!,#REF!,#REF!,#REF!,#REF!,#REF!,#REF!</definedName>
    <definedName name="L_ALL_KEYWORDS_TYPE_Vector_EQTY_200004906">#REF!,#REF!,#REF!,#REF!,#REF!,#REF!,#REF!</definedName>
    <definedName name="L_ALL_KEYWORDS_TYPE_Vector_EQTY_200005184">#REF!,#REF!,#REF!,#REF!,#REF!,#REF!,#REF!</definedName>
    <definedName name="L_ALL_KEYWORDS_TYPE_Vector_EQTY_200005326">#REF!,#REF!,#REF!,#REF!,#REF!,#REF!,#REF!</definedName>
    <definedName name="L_ALL_KEYWORDS_TYPE_Vector_EQTY_200005490">#REF!,#REF!,#REF!,#REF!,#REF!,#REF!,#REF!,#REF!</definedName>
    <definedName name="L_ALL_KEYWORDS_TYPE_Vector_EQTY_200005722">#REF!,#REF!,#REF!,#REF!,#REF!,#REF!,#REF!</definedName>
    <definedName name="L_ALL_KEYWORDS_TYPE_Vector_EQTY_200006232">#REF!,#REF!,#REF!,#REF!,#REF!,#REF!,#REF!</definedName>
    <definedName name="L_ALL_KEYWORDS_TYPE_Vector_EQTY_200006333">#REF!,#REF!,#REF!,#REF!,#REF!,#REF!,#REF!,#REF!,#REF!</definedName>
    <definedName name="L_ALL_KEYWORDS_TYPE_Vector_EQTY_200006384">#REF!,#REF!,#REF!,#REF!,#REF!,#REF!,#REF!</definedName>
    <definedName name="L_ALL_KEYWORDS_TYPE_Vector_EQTY_200009556">#REF!,#REF!,#REF!,#REF!,#REF!,#REF!,#REF!</definedName>
    <definedName name="L_ALL_KEYWORDS_TYPE_Vector_EQTY_200010313">#REF!,#REF!,#REF!,#REF!,#REF!,#REF!,#REF!,#REF!</definedName>
    <definedName name="L_ALL_KEYWORDS_TYPE_Vector_EQTY_200011598">#REF!,#REF!,#REF!,#REF!,#REF!,#REF!,#REF!</definedName>
    <definedName name="L_ALL_KEYWORDS_TYPE_Vector_EQTY_200012393">#REF!,#REF!,#REF!,#REF!,#REF!,#REF!,#REF!</definedName>
    <definedName name="L_ALL_KEYWORDS_TYPE_Vector_EQTY_200012762">#REF!,#REF!,#REF!,#REF!,#REF!,#REF!,#REF!</definedName>
    <definedName name="L_ALL_KEYWORDS_TYPE_Vector_EQTY_200014300">#REF!,#REF!,#REF!,#REF!,#REF!,#REF!,#REF!</definedName>
    <definedName name="L_ALL_KEYWORDS_TYPE_Vector_EQTY_200014493">#REF!,#REF!,#REF!,#REF!,#REF!,#REF!,#REF!</definedName>
    <definedName name="L_ALL_KEYWORDS_TYPE_Vector_EQTY_200014750">#REF!,#REF!,#REF!,#REF!,#REF!,#REF!,#REF!</definedName>
    <definedName name="L_ALL_KEYWORDS_TYPE_Vector_EQTY_200015107">#REF!,#REF!,#REF!,#REF!,#REF!,#REF!,#REF!</definedName>
    <definedName name="L_ALL_KEYWORDS_TYPE_Vector_EQTY_200015716">#REF!,#REF!,#REF!,#REF!,#REF!,#REF!,#REF!</definedName>
    <definedName name="L_ALL_KEYWORDS_TYPE_Vector_EQTY_200015757">#REF!,#REF!,#REF!,#REF!,#REF!,#REF!,#REF!,#REF!</definedName>
    <definedName name="L_ALL_KEYWORDS_TYPE_Vector_EQTY_200016026">#REF!,#REF!,#REF!,#REF!,#REF!,#REF!,#REF!,#REF!</definedName>
    <definedName name="L_ALL_KEYWORDS_TYPE_Vector_EQTY_200017745">#REF!,#REF!,#REF!,#REF!,#REF!,#REF!,#REF!</definedName>
    <definedName name="L_ALL_KEYWORDS_TYPE_Vector_EQTY_200019588">#REF!,#REF!,#REF!,#REF!,#REF!,#REF!,#REF!</definedName>
    <definedName name="L_ALL_KEYWORDS_TYPE_Vector_EQTY_200021484">#REF!,#REF!,#REF!,#REF!,#REF!,#REF!,#REF!</definedName>
    <definedName name="L_ALL_KEYWORDS_TYPE_Vector_ISSR_208000027">#REF!,#REF!,#REF!,#REF!,#REF!,#REF!,#REF!,#REF!,#REF!,#REF!</definedName>
    <definedName name="L_ALL_KEYWORDS_TYPE_Vector_ISSR_208000156">#REF!,#REF!,#REF!,#REF!,#REF!,#REF!,#REF!,#REF!,#REF!,#REF!,#REF!,#REF!,#REF!</definedName>
    <definedName name="L_ALL_KEYWORDS_TYPE_Vector_ISSR_208000430">#REF!,#REF!,#REF!,#REF!,#REF!,#REF!,#REF!,#REF!,#REF!,#REF!,#REF!,#REF!,#REF!,#REF!</definedName>
    <definedName name="L_ALL_KEYWORDS_TYPE_Vector_ISSR_208000435">#REF!,#REF!,#REF!,#REF!,#REF!,#REF!,#REF!,#REF!,#REF!,#REF!</definedName>
    <definedName name="L_ALL_KEYWORDS_TYPE_Vector_ISSR_208000451">#REF!,#REF!,#REF!,#REF!,#REF!,#REF!,#REF!,#REF!,#REF!,#REF!,#REF!,#REF!,#REF!,#REF!,#REF!,#REF!,#REF!,#REF!,#REF!,#REF!,#REF!,#REF!,#REF!,#REF!,#REF!,#REF!</definedName>
    <definedName name="L_ALL_KEYWORDS_TYPE_Vector_ISSR_208000468">#REF!,#REF!,#REF!,#REF!,#REF!,#REF!,#REF!,#REF!,#REF!,#REF!,#REF!,#REF!,#REF!,#REF!</definedName>
    <definedName name="L_ALL_KEYWORDS_TYPE_Vector_ISSR_208000603">#REF!,#REF!,#REF!,#REF!,#REF!,#REF!,#REF!,#REF!,#REF!,#REF!</definedName>
    <definedName name="L_ALL_KEYWORDS_TYPE_Vector_ISSR_208000826">#REF!,#REF!,#REF!,#REF!,#REF!,#REF!,#REF!,#REF!,#REF!,#REF!,#REF!,#REF!,#REF!,#REF!,#REF!,#REF!</definedName>
    <definedName name="L_ALL_KEYWORDS_TYPE_Vector_ISSR_208000827">#REF!,#REF!,#REF!,#REF!,#REF!,#REF!,#REF!,#REF!,#REF!,#REF!,#REF!,#REF!,#REF!,#REF!,#REF!,#REF!</definedName>
    <definedName name="L_ALL_KEYWORDS_TYPE_Vector_ISSR_208000836">#REF!,#REF!,#REF!,#REF!,#REF!,#REF!,#REF!,#REF!,#REF!,#REF!,#REF!,#REF!,#REF!</definedName>
    <definedName name="L_ALL_KEYWORDS_TYPE_Vector_ISSR_208000976">#REF!,#REF!,#REF!,#REF!,#REF!,#REF!,#REF!,#REF!,#REF!,#REF!,#REF!,#REF!,#REF!</definedName>
    <definedName name="L_ALL_KEYWORDS_TYPE_Vector_ISSR_208000977">#REF!,#REF!,#REF!,#REF!,#REF!,#REF!,#REF!,#REF!,#REF!,#REF!,#REF!,#REF!,#REF!,#REF!,#REF!</definedName>
    <definedName name="L_ALL_KEYWORDS_TYPE_Vector_ISSR_208001018" localSheetId="3">#REF!,#REF!,#REF!,#REF!,#REF!,#REF!,#REF!,#REF!,#REF!,#REF!</definedName>
    <definedName name="L_ALL_KEYWORDS_TYPE_Vector_ISSR_208001018">#REF!,#REF!,#REF!,#REF!,#REF!,#REF!,#REF!,#REF!,#REF!,#REF!</definedName>
    <definedName name="L_ALL_KEYWORDS_TYPE_Vector_ISSR_208001048">#REF!,#REF!,#REF!,#REF!,#REF!,#REF!,#REF!,#REF!,#REF!,#REF!,#REF!,#REF!,#REF!</definedName>
    <definedName name="L_ALL_KEYWORDS_TYPE_Vector_ISSR_208001049">#REF!,#REF!,#REF!,#REF!,#REF!,#REF!,#REF!,#REF!,#REF!,#REF!,#REF!,#REF!,#REF!,#REF!,#REF!</definedName>
    <definedName name="L_ALL_KEYWORDS_TYPE_Vector_ISSR_208001137">#REF!,#REF!,#REF!,#REF!,#REF!,#REF!,#REF!,#REF!,#REF!,#REF!,#REF!,#REF!,#REF!,#REF!,#REF!</definedName>
    <definedName name="L_ALL_KEYWORDS_TYPE_Vector_ISSR_208001204">#REF!,#REF!,#REF!,#REF!,#REF!,#REF!,#REF!,#REF!,#REF!,#REF!,#REF!,#REF!,#REF!,#REF!</definedName>
    <definedName name="L_ALL_KEYWORDS_TYPE_Vector_ISSR_208001217">#REF!,#REF!,#REF!,#REF!,#REF!,#REF!,#REF!,#REF!,#REF!,#REF!,#REF!,#REF!,#REF!,#REF!,#REF!</definedName>
    <definedName name="L_ALL_KEYWORDS_TYPE_Vector_ISSR_208001258">#REF!,#REF!,#REF!,#REF!,#REF!,#REF!,#REF!,#REF!,#REF!,#REF!,#REF!,#REF!,#REF!,#REF!,#REF!</definedName>
    <definedName name="L_ALL_KEYWORDS_TYPE_Vector_ISSR_208001370">#REF!,#REF!,#REF!,#REF!,#REF!,#REF!,#REF!,#REF!,#REF!,#REF!,#REF!,#REF!,#REF!</definedName>
    <definedName name="L_ALL_KEYWORDS_TYPE_Vector_ISSR_208001515">#REF!,#REF!,#REF!,#REF!,#REF!,#REF!,#REF!,#REF!,#REF!,#REF!,#REF!,#REF!</definedName>
    <definedName name="L_ALL_KEYWORDS_TYPE_Vector_ISSR_208001562">#REF!,#REF!,#REF!,#REF!,#REF!,#REF!,#REF!,#REF!,#REF!,#REF!,#REF!,#REF!,#REF!</definedName>
    <definedName name="L_ALL_KEYWORDS_TYPE_Vector_ISSR_208001627">#REF!,#REF!,#REF!,#REF!,#REF!,#REF!,#REF!,#REF!,#REF!,#REF!,#REF!,#REF!,#REF!</definedName>
    <definedName name="L_ALL_KEYWORDS_TYPE_Vector_ISSR_208001640">#REF!,#REF!,#REF!,#REF!,#REF!,#REF!,#REF!,#REF!,#REF!,#REF!,#REF!,#REF!,#REF!</definedName>
    <definedName name="L_ALL_KEYWORDS_TYPE_Vector_ISSR_208001765">#REF!,#REF!,#REF!,#REF!,#REF!,#REF!,#REF!,#REF!,#REF!,#REF!,#REF!,#REF!,#REF!,#REF!,#REF!</definedName>
    <definedName name="L_ALL_KEYWORDS_TYPE_Vector_ISSR_208001785">#REF!,#REF!,#REF!,#REF!,#REF!,#REF!,#REF!,#REF!,#REF!,#REF!,#REF!,#REF!,#REF!</definedName>
    <definedName name="L_ALL_KEYWORDS_TYPE_Vector_ISSR_208002651">#REF!,#REF!,#REF!,#REF!,#REF!,#REF!,#REF!,#REF!,#REF!,#REF!,#REF!,#REF!,#REF!</definedName>
    <definedName name="L_ALL_KEYWORDS_TYPE_Vector_ISSR_208005795">#REF!,#REF!,#REF!,#REF!,#REF!,#REF!,#REF!,#REF!,#REF!,#REF!</definedName>
    <definedName name="L_ALL_KEYWORDS_TYPE_Vector_ISSR_208007359">#REF!,#REF!,#REF!,#REF!,#REF!,#REF!,#REF!,#REF!,#REF!</definedName>
    <definedName name="L_ALL_KEYWORDS_TYPE_Vector_ISSR_208007452">#REF!,#REF!,#REF!,#REF!,#REF!,#REF!,#REF!,#REF!,#REF!,#REF!,#REF!,#REF!,#REF!,#REF!,#REF!,#REF!,#REF!,#REF!,#REF!,#REF!,#REF!,#REF!,#REF!,#REF!,#REF!</definedName>
    <definedName name="L_ALL_KEYWORDS_TYPE_Vector_ISSR_208007986">#REF!,#REF!,#REF!,#REF!,#REF!,#REF!,#REF!,#REF!,#REF!,#REF!,#REF!,#REF!,#REF!,#REF!,#REF!</definedName>
    <definedName name="L_ALL_KEYWORDS_TYPE_Vector_ISSR_208008030">#REF!,#REF!,#REF!,#REF!,#REF!,#REF!,#REF!,#REF!,#REF!,#REF!,#REF!,#REF!,#REF!,#REF!,#REF!,#REF!,#REF!,#REF!,#REF!,#REF!</definedName>
    <definedName name="L_ALL_KEYWORDS_TYPE_Vector_ISSR_208008836">#REF!,#REF!,#REF!,#REF!,#REF!,#REF!,#REF!,#REF!,#REF!,#REF!</definedName>
    <definedName name="L_ALL_KEYWORDS_TYPE_Vector_ISSR_208009377">#REF!,#REF!,#REF!,#REF!,#REF!,#REF!,#REF!,#REF!,#REF!,#REF!,#REF!,#REF!,#REF!</definedName>
    <definedName name="L_ALL_KEYWORDS_TYPE_Vector_ISSR_208009722">#REF!,#REF!,#REF!,#REF!,#REF!,#REF!,#REF!,#REF!,#REF!</definedName>
    <definedName name="L_ALL_KEYWORDS_TYPE_Vector_ISSR_208010209">#REF!,#REF!,#REF!,#REF!,#REF!,#REF!,#REF!,#REF!,#REF!,#REF!,#REF!,#REF!,#REF!,#REF!,#REF!</definedName>
    <definedName name="L_ALL_KEYWORDS_TYPE_Vector_ISSR_208011028">#REF!,#REF!,#REF!,#REF!,#REF!,#REF!,#REF!,#REF!,#REF!,#REF!,#REF!,#REF!,#REF!</definedName>
    <definedName name="L_ALL_KEYWORDS_TYPE_Vector_ISSR_208011072">#REF!,#REF!,#REF!,#REF!,#REF!,#REF!,#REF!,#REF!,#REF!,#REF!,#REF!,#REF!,#REF!,#REF!</definedName>
    <definedName name="L_ALL_KEYWORDS_TYPE_Vector_ISSR_208011212">#REF!,#REF!,#REF!,#REF!,#REF!,#REF!,#REF!,#REF!,#REF!,#REF!,#REF!,#REF!,#REF!,#REF!</definedName>
    <definedName name="L_ALL_KEYWORDS_TYPE_Vector_ISSR_208011556">#REF!,#REF!,#REF!,#REF!,#REF!,#REF!,#REF!,#REF!,#REF!,#REF!</definedName>
    <definedName name="L_ALL_KEYWORDS_TYPE_Vector_ISSR_208011888">#REF!,#REF!,#REF!,#REF!,#REF!,#REF!,#REF!,#REF!,#REF!,#REF!,#REF!,#REF!,#REF!,#REF!,#REF!,#REF!,#REF!,#REF!,#REF!</definedName>
    <definedName name="L_ALL_KEYWORDS_TYPE_Vector_ISSR_208012959">#REF!,#REF!,#REF!,#REF!,#REF!,#REF!,#REF!,#REF!,#REF!,#REF!,#REF!,#REF!,#REF!,#REF!,#REF!,#REF!</definedName>
    <definedName name="L_ALL_KEYWORDS_TYPE_Vector_ISSR_208013278">#REF!,#REF!,#REF!,#REF!,#REF!,#REF!,#REF!,#REF!,#REF!,#REF!,#REF!,#REF!</definedName>
    <definedName name="L_ALL_KEYWORDS_TYPE_Vector_ISSR_208015351">#REF!,#REF!,#REF!,#REF!,#REF!,#REF!,#REF!,#REF!,#REF!,#REF!,#REF!,#REF!</definedName>
    <definedName name="L_ALL_KEYWORDS_TYPE_Vector_ISSR_208017249">#REF!,#REF!,#REF!,#REF!,#REF!,#REF!,#REF!,#REF!,#REF!,#REF!,#REF!,#REF!</definedName>
    <definedName name="L_ALL_KEYWORDS_TYPE_Vector_ISSR_208018132">#REF!,#REF!,#REF!,#REF!,#REF!,#REF!,#REF!,#REF!,#REF!,#REF!,#REF!,#REF!,#REF!</definedName>
    <definedName name="L_ALL_KEYWORDS_TYPE_Vector_ISSR_208018133">#REF!,#REF!,#REF!,#REF!,#REF!,#REF!,#REF!,#REF!,#REF!,#REF!,#REF!,#REF!,#REF!,#REF!,#REF!,#REF!,#REF!,#REF!,#REF!,#REF!,#REF!,#REF!,#REF!</definedName>
    <definedName name="L_ALL_KEYWORDS_TYPE_Vector_ISSR_208018253">#REF!,#REF!,#REF!,#REF!,#REF!,#REF!,#REF!,#REF!,#REF!,#REF!,#REF!,#REF!,#REF!</definedName>
    <definedName name="L_ALL_KEYWORDS_TYPE_Vector_ISSR_208020566">#REF!,#REF!,#REF!,#REF!,#REF!,#REF!,#REF!,#REF!,#REF!,#REF!,#REF!,#REF!,#REF!</definedName>
    <definedName name="L_ALL_KEYWORDS_TYPE_Vector_ISSR_208020919">#REF!,#REF!,#REF!,#REF!,#REF!,#REF!,#REF!,#REF!,#REF!,#REF!,#REF!,#REF!,#REF!</definedName>
    <definedName name="L_ALL_KEYWORDS_TYPE_Vector_ISSR_208021926">#REF!,#REF!,#REF!,#REF!,#REF!,#REF!,#REF!,#REF!,#REF!,#REF!,#REF!,#REF!,#REF!</definedName>
    <definedName name="L_ALL_KNBE">#REF!</definedName>
    <definedName name="L_ALL_LLTC">#REF!</definedName>
    <definedName name="L_ALL_LUMN">#REF!</definedName>
    <definedName name="L_ALL_LVLT">#REF!</definedName>
    <definedName name="L_ALL_MCFE">#REF!</definedName>
    <definedName name="L_ALL_MCHP">#REF!</definedName>
    <definedName name="L_ALL_MCHP_">#REF!</definedName>
    <definedName name="L_ALL_MDB">#REF!</definedName>
    <definedName name="L_ALL_MIME">#REF!</definedName>
    <definedName name="L_ALL_MKTO">#REF!</definedName>
    <definedName name="L_ALL_MRVL">#REF!</definedName>
    <definedName name="L_ALL_MRVL_">#REF!</definedName>
    <definedName name="L_ALL_MSFT">#REF!</definedName>
    <definedName name="L_ALL_MXIM">#REF!</definedName>
    <definedName name="L_ALL_NOK1V.HE">#REF!</definedName>
    <definedName name="L_ALL_NVDA">#REF!</definedName>
    <definedName name="L_ALL_NVDA_">#REF!</definedName>
    <definedName name="L_ALL_NXPI">#REF!</definedName>
    <definedName name="L_ALL_NXPI_">#REF!</definedName>
    <definedName name="L_ALL_ON">#REF!</definedName>
    <definedName name="L_ALL_PANW">#REF!</definedName>
    <definedName name="L_ALL_PERIODS_ARX">#REF!</definedName>
    <definedName name="L_ALL_PERIODS_T">#REF!</definedName>
    <definedName name="L_ALL_PFPT">#REF!</definedName>
    <definedName name="L_ALL_QRVO">#REF!</definedName>
    <definedName name="L_ALL_QTS">#REF!</definedName>
    <definedName name="L_ALL_RCI">#REF!</definedName>
    <definedName name="L_ALL_RPD">#REF!</definedName>
    <definedName name="L_ALL_S">#REF!</definedName>
    <definedName name="L_ALL_SBAC">#REF!</definedName>
    <definedName name="L_ALL_SECTION_KEYWORDS_EQTY_200001646_1314">#REF!</definedName>
    <definedName name="L_ALL_SECTION_KEYWORDS_EQTY_200001646_1319">#REF!</definedName>
    <definedName name="L_ALL_SECTION_KEYWORDS_EQTY_200001646_131E">#REF!</definedName>
    <definedName name="L_ALL_SECTION_KEYWORDS_EQTY_200001646_131O">#REF!</definedName>
    <definedName name="L_ALL_SECTION_KEYWORDS_EQTY_200001646_131P">#REF!</definedName>
    <definedName name="L_ALL_SECTION_KEYWORDS_EQTY_200001646_13A">#REF!</definedName>
    <definedName name="L_ALL_SECTION_KEYWORDS_EQTY_200001646_13K">#REF!</definedName>
    <definedName name="L_ALL_SECTION_KEYWORDS_EQTY_200001646_13U">#REF!</definedName>
    <definedName name="L_ALL_SECTION_KEYWORDS_EQTY_200001646_13V">#REF!</definedName>
    <definedName name="L_ALL_SECTION_KEYWORDS_EQTY_200001646_13W">#REF!</definedName>
    <definedName name="L_ALL_SECTION_KEYWORDS_EQTY_200001646_Reference_Data">#REF!</definedName>
    <definedName name="L_ALL_SECTION_KEYWORDS_EQTY_200002831_1314">#REF!</definedName>
    <definedName name="L_ALL_SECTION_KEYWORDS_EQTY_200002831_1319">#REF!</definedName>
    <definedName name="L_ALL_SECTION_KEYWORDS_EQTY_200002831_131E">#REF!</definedName>
    <definedName name="L_ALL_SECTION_KEYWORDS_EQTY_200002831_131O">#REF!</definedName>
    <definedName name="L_ALL_SECTION_KEYWORDS_EQTY_200002831_13A">#REF!</definedName>
    <definedName name="L_ALL_SECTION_KEYWORDS_EQTY_200002831_13K">#REF!</definedName>
    <definedName name="L_ALL_SECTION_KEYWORDS_EQTY_200002831_13U">#REF!</definedName>
    <definedName name="L_ALL_SECTION_KEYWORDS_EQTY_200002831_13V">#REF!</definedName>
    <definedName name="L_ALL_SECTION_KEYWORDS_EQTY_200002831_13W">#REF!</definedName>
    <definedName name="L_ALL_SECTION_KEYWORDS_EQTY_200002831_Reference_Data">#REF!</definedName>
    <definedName name="L_ALL_SECTION_KEYWORDS_EQTY_200004230_13A">#REF!</definedName>
    <definedName name="L_ALL_SECTION_KEYWORDS_EQTY_200004230_13K">#REF!</definedName>
    <definedName name="L_ALL_SECTION_KEYWORDS_EQTY_200004419_1314">#REF!</definedName>
    <definedName name="L_ALL_SECTION_KEYWORDS_EQTY_200004419_1319">#REF!</definedName>
    <definedName name="L_ALL_SECTION_KEYWORDS_EQTY_200004419_131E">#REF!</definedName>
    <definedName name="L_ALL_SECTION_KEYWORDS_EQTY_200004419_131O">#REF!</definedName>
    <definedName name="L_ALL_SECTION_KEYWORDS_EQTY_200004419_13A">#REF!</definedName>
    <definedName name="L_ALL_SECTION_KEYWORDS_EQTY_200004419_13K">#REF!</definedName>
    <definedName name="L_ALL_SECTION_KEYWORDS_EQTY_200004419_13U">#REF!</definedName>
    <definedName name="L_ALL_SECTION_KEYWORDS_EQTY_200004419_13V">#REF!</definedName>
    <definedName name="L_ALL_SECTION_KEYWORDS_EQTY_200004419_13W">#REF!</definedName>
    <definedName name="L_ALL_SECTION_KEYWORDS_EQTY_200004419_Reference_Data">#REF!</definedName>
    <definedName name="L_ALL_SECTION_KEYWORDS_EQTY_200005326_13A">#REF!</definedName>
    <definedName name="L_ALL_SECTION_KEYWORDS_EQTY_200005326_13K">#REF!</definedName>
    <definedName name="L_ALL_SECTION_KEYWORDS_EQTY_200005722_13A">#REF!</definedName>
    <definedName name="L_ALL_SECTION_KEYWORDS_EQTY_200005722_13K">#REF!</definedName>
    <definedName name="L_ALL_SECTION_KEYWORDS_EQTY_200006333_13A">#REF!</definedName>
    <definedName name="L_ALL_SECTION_KEYWORDS_EQTY_200006333_13K">#REF!</definedName>
    <definedName name="L_ALL_SECTION_KEYWORDS_EQTY_200012762_1314">#REF!</definedName>
    <definedName name="L_ALL_SECTION_KEYWORDS_EQTY_200012762_1319">#REF!</definedName>
    <definedName name="L_ALL_SECTION_KEYWORDS_EQTY_200012762_131E">#REF!</definedName>
    <definedName name="L_ALL_SECTION_KEYWORDS_EQTY_200012762_131O">#REF!</definedName>
    <definedName name="L_ALL_SECTION_KEYWORDS_EQTY_200012762_13A">#REF!</definedName>
    <definedName name="L_ALL_SECTION_KEYWORDS_EQTY_200012762_13K">#REF!</definedName>
    <definedName name="L_ALL_SECTION_KEYWORDS_EQTY_200012762_13U">#REF!</definedName>
    <definedName name="L_ALL_SECTION_KEYWORDS_EQTY_200012762_13V">#REF!</definedName>
    <definedName name="L_ALL_SECTION_KEYWORDS_EQTY_200012762_13W">#REF!</definedName>
    <definedName name="L_ALL_SECTION_KEYWORDS_EQTY_200012762_Reference_Data">#REF!</definedName>
    <definedName name="L_ALL_SECTION_KEYWORDS_EQTY_200014750_1314">#REF!</definedName>
    <definedName name="L_ALL_SECTION_KEYWORDS_EQTY_200014750_1319">#REF!</definedName>
    <definedName name="L_ALL_SECTION_KEYWORDS_EQTY_200014750_131E">#REF!</definedName>
    <definedName name="L_ALL_SECTION_KEYWORDS_EQTY_200014750_131O">#REF!</definedName>
    <definedName name="L_ALL_SECTION_KEYWORDS_EQTY_200014750_13A">#REF!</definedName>
    <definedName name="L_ALL_SECTION_KEYWORDS_EQTY_200014750_13K">#REF!</definedName>
    <definedName name="L_ALL_SECTION_KEYWORDS_EQTY_200014750_13U">#REF!</definedName>
    <definedName name="L_ALL_SECTION_KEYWORDS_EQTY_200014750_13V">#REF!</definedName>
    <definedName name="L_ALL_SECTION_KEYWORDS_EQTY_200014750_13W">#REF!</definedName>
    <definedName name="L_ALL_SECTION_KEYWORDS_EQTY_200014750_Reference_Data">#REF!</definedName>
    <definedName name="L_ALL_SECTION_KEYWORDS_EQTY_200019587_13A">#REF!</definedName>
    <definedName name="L_ALL_SECTION_KEYWORDS_EQTY_200019588_13A">#REF!</definedName>
    <definedName name="L_ALL_SECTION_KEYWORDS_EQTY_200019588_13K">#REF!</definedName>
    <definedName name="L_ALL_SECTION_KEYWORDS_EQTY_200021484_13A">#REF!</definedName>
    <definedName name="L_ALL_SECTION_KEYWORDS_EQTY_200021484_13K">#REF!</definedName>
    <definedName name="L_ALL_SECTION_KEYWORDS_ISSR_208000027_136E">#REF!,#REF!</definedName>
    <definedName name="L_ALL_SECTION_KEYWORDS_ISSR_208000402_136J">#REF!,#REF!</definedName>
    <definedName name="L_ALL_SECTION_KEYWORDS_ISSR_208000430_136E">#REF!,#REF!</definedName>
    <definedName name="L_ALL_SECTION_KEYWORDS_ISSR_208000435_136E">#REF!,#REF!</definedName>
    <definedName name="L_ALL_SECTION_KEYWORDS_ISSR_208000435_136J">#REF!,#REF!</definedName>
    <definedName name="L_ALL_SECTION_KEYWORDS_ISSR_208000468_13V">#REF!,#REF!</definedName>
    <definedName name="L_ALL_SECTION_KEYWORDS_ISSR_208000603_1314">#REF!</definedName>
    <definedName name="L_ALL_SECTION_KEYWORDS_ISSR_208000603_13168">#REF!</definedName>
    <definedName name="L_ALL_SECTION_KEYWORDS_ISSR_208000603_1319">#REF!</definedName>
    <definedName name="L_ALL_SECTION_KEYWORDS_ISSR_208000603_131E">#REF!</definedName>
    <definedName name="L_ALL_SECTION_KEYWORDS_ISSR_208000603_131J">#REF!</definedName>
    <definedName name="L_ALL_SECTION_KEYWORDS_ISSR_208000603_131O">#REF!</definedName>
    <definedName name="L_ALL_SECTION_KEYWORDS_ISSR_208000603_131P">#REF!</definedName>
    <definedName name="L_ALL_SECTION_KEYWORDS_ISSR_208000603_13A">#REF!</definedName>
    <definedName name="L_ALL_SECTION_KEYWORDS_ISSR_208000603_13U">#REF!</definedName>
    <definedName name="L_ALL_SECTION_KEYWORDS_ISSR_208000603_13V">#REF!</definedName>
    <definedName name="L_ALL_SECTION_KEYWORDS_ISSR_208000603_Reference_Data">#REF!</definedName>
    <definedName name="L_ALL_SECTION_KEYWORDS_ISSR_208000826_136J">#REF!,#REF!</definedName>
    <definedName name="L_ALL_SECTION_KEYWORDS_ISSR_208000826_13V">#REF!,#REF!</definedName>
    <definedName name="L_ALL_SECTION_KEYWORDS_ISSR_208000827_136J">#REF!,#REF!</definedName>
    <definedName name="L_ALL_SECTION_KEYWORDS_ISSR_208000836_131O">#REF!,#REF!</definedName>
    <definedName name="L_ALL_SECTION_KEYWORDS_ISSR_208000976_1314">#REF!</definedName>
    <definedName name="L_ALL_SECTION_KEYWORDS_ISSR_208000976_13168">#REF!</definedName>
    <definedName name="L_ALL_SECTION_KEYWORDS_ISSR_208000976_1316T">#REF!</definedName>
    <definedName name="L_ALL_SECTION_KEYWORDS_ISSR_208000976_1316U">#REF!</definedName>
    <definedName name="L_ALL_SECTION_KEYWORDS_ISSR_208000976_1319">#REF!</definedName>
    <definedName name="L_ALL_SECTION_KEYWORDS_ISSR_208000976_131E">#REF!</definedName>
    <definedName name="L_ALL_SECTION_KEYWORDS_ISSR_208000976_131J">#REF!</definedName>
    <definedName name="L_ALL_SECTION_KEYWORDS_ISSR_208000976_131O">#REF!</definedName>
    <definedName name="L_ALL_SECTION_KEYWORDS_ISSR_208000976_136E">#REF!,#REF!</definedName>
    <definedName name="L_ALL_SECTION_KEYWORDS_ISSR_208000976_13A">#REF!</definedName>
    <definedName name="L_ALL_SECTION_KEYWORDS_ISSR_208000976_13U">#REF!</definedName>
    <definedName name="L_ALL_SECTION_KEYWORDS_ISSR_208000976_13V">#REF!,#REF!</definedName>
    <definedName name="L_ALL_SECTION_KEYWORDS_ISSR_208000976_Reference_Data">#REF!</definedName>
    <definedName name="L_ALL_SECTION_KEYWORDS_ISSR_208000977_136E">#REF!,#REF!</definedName>
    <definedName name="L_ALL_SECTION_KEYWORDS_ISSR_208001018_13168" localSheetId="3">#REF!</definedName>
    <definedName name="L_ALL_SECTION_KEYWORDS_ISSR_208001018_13168">#REF!</definedName>
    <definedName name="L_ALL_SECTION_KEYWORDS_ISSR_208001018_136E" localSheetId="3">#REF!,#REF!</definedName>
    <definedName name="L_ALL_SECTION_KEYWORDS_ISSR_208001018_136E">#REF!,#REF!</definedName>
    <definedName name="L_ALL_SECTION_KEYWORDS_ISSR_208001018_13V" localSheetId="3">#REF!</definedName>
    <definedName name="L_ALL_SECTION_KEYWORDS_ISSR_208001018_13V">#REF!</definedName>
    <definedName name="L_ALL_SECTION_KEYWORDS_ISSR_208001048_13V">#REF!,#REF!</definedName>
    <definedName name="L_ALL_SECTION_KEYWORDS_ISSR_208001204_136J">#REF!,#REF!</definedName>
    <definedName name="L_ALL_SECTION_KEYWORDS_ISSR_208001217_13168">#REF!,#REF!</definedName>
    <definedName name="L_ALL_SECTION_KEYWORDS_ISSR_208001217_136E">#REF!,#REF!</definedName>
    <definedName name="L_ALL_SECTION_KEYWORDS_ISSR_208001258_1314">#REF!</definedName>
    <definedName name="L_ALL_SECTION_KEYWORDS_ISSR_208001258_13168">#REF!</definedName>
    <definedName name="L_ALL_SECTION_KEYWORDS_ISSR_208001258_1316T">#REF!</definedName>
    <definedName name="L_ALL_SECTION_KEYWORDS_ISSR_208001258_1316U">#REF!</definedName>
    <definedName name="L_ALL_SECTION_KEYWORDS_ISSR_208001258_1319">#REF!</definedName>
    <definedName name="L_ALL_SECTION_KEYWORDS_ISSR_208001258_131E">#REF!</definedName>
    <definedName name="L_ALL_SECTION_KEYWORDS_ISSR_208001258_131J">#REF!</definedName>
    <definedName name="L_ALL_SECTION_KEYWORDS_ISSR_208001258_131O">#REF!</definedName>
    <definedName name="L_ALL_SECTION_KEYWORDS_ISSR_208001258_13A">#REF!</definedName>
    <definedName name="L_ALL_SECTION_KEYWORDS_ISSR_208001258_13U">#REF!</definedName>
    <definedName name="L_ALL_SECTION_KEYWORDS_ISSR_208001258_13V">#REF!</definedName>
    <definedName name="L_ALL_SECTION_KEYWORDS_ISSR_208001258_Reference_Data">#REF!</definedName>
    <definedName name="L_ALL_SECTION_KEYWORDS_ISSR_208001370_13V">#REF!,#REF!</definedName>
    <definedName name="L_ALL_SECTION_KEYWORDS_ISSR_208001515_1314">#REF!</definedName>
    <definedName name="L_ALL_SECTION_KEYWORDS_ISSR_208001515_1319">#REF!</definedName>
    <definedName name="L_ALL_SECTION_KEYWORDS_ISSR_208001515_131E">#REF!</definedName>
    <definedName name="L_ALL_SECTION_KEYWORDS_ISSR_208001515_13V">#REF!</definedName>
    <definedName name="L_ALL_SECTION_KEYWORDS_ISSR_208001562_131O">#REF!,#REF!</definedName>
    <definedName name="L_ALL_SECTION_KEYWORDS_ISSR_208001627_131O">#REF!,#REF!</definedName>
    <definedName name="L_ALL_SECTION_KEYWORDS_ISSR_208001627_136J">#REF!</definedName>
    <definedName name="L_ALL_SECTION_KEYWORDS_ISSR_208001640_1314">#REF!</definedName>
    <definedName name="L_ALL_SECTION_KEYWORDS_ISSR_208001640_1319">#REF!</definedName>
    <definedName name="L_ALL_SECTION_KEYWORDS_ISSR_208001640_131E">#REF!</definedName>
    <definedName name="L_ALL_SECTION_KEYWORDS_ISSR_208001640_13V">#REF!</definedName>
    <definedName name="L_ALL_SECTION_KEYWORDS_ISSR_208001765_1314">#REF!</definedName>
    <definedName name="L_ALL_SECTION_KEYWORDS_ISSR_208001765_13168">#REF!,#REF!</definedName>
    <definedName name="L_ALL_SECTION_KEYWORDS_ISSR_208001765_1316T">#REF!</definedName>
    <definedName name="L_ALL_SECTION_KEYWORDS_ISSR_208001765_1319">#REF!</definedName>
    <definedName name="L_ALL_SECTION_KEYWORDS_ISSR_208001765_131E">#REF!</definedName>
    <definedName name="L_ALL_SECTION_KEYWORDS_ISSR_208001765_136E">#REF!,#REF!</definedName>
    <definedName name="L_ALL_SECTION_KEYWORDS_ISSR_208001765_13V">#REF!,#REF!</definedName>
    <definedName name="L_ALL_SECTION_KEYWORDS_ISSR_208001785_13V">#REF!,#REF!</definedName>
    <definedName name="L_ALL_SECTION_KEYWORDS_ISSR_208002651_13V">#REF!,#REF!</definedName>
    <definedName name="L_ALL_SECTION_KEYWORDS_ISSR_208005795_136E">#REF!,#REF!</definedName>
    <definedName name="L_ALL_SECTION_KEYWORDS_ISSR_208006029_13V">#REF!,#REF!</definedName>
    <definedName name="L_ALL_SECTION_KEYWORDS_ISSR_208007452_136J">#REF!,#REF!</definedName>
    <definedName name="L_ALL_SECTION_KEYWORDS_ISSR_208007452_13V">#REF!,#REF!</definedName>
    <definedName name="L_ALL_SECTION_KEYWORDS_ISSR_208007986_13168">#REF!,#REF!</definedName>
    <definedName name="L_ALL_SECTION_KEYWORDS_ISSR_208007986_136E">#REF!,#REF!</definedName>
    <definedName name="L_ALL_SECTION_KEYWORDS_ISSR_208007986_13V">#REF!,#REF!</definedName>
    <definedName name="L_ALL_SECTION_KEYWORDS_ISSR_208008030_1316P">#REF!,#REF!</definedName>
    <definedName name="L_ALL_SECTION_KEYWORDS_ISSR_208008030_131Y">#REF!,#REF!</definedName>
    <definedName name="L_ALL_SECTION_KEYWORDS_ISSR_208008030_134L">#REF!,#REF!</definedName>
    <definedName name="L_ALL_SECTION_KEYWORDS_ISSR_208008836_136E">#REF!,#REF!</definedName>
    <definedName name="L_ALL_SECTION_KEYWORDS_ISSR_208009722_1314">#REF!</definedName>
    <definedName name="L_ALL_SECTION_KEYWORDS_ISSR_208009722_13168">#REF!</definedName>
    <definedName name="L_ALL_SECTION_KEYWORDS_ISSR_208009722_1319">#REF!</definedName>
    <definedName name="L_ALL_SECTION_KEYWORDS_ISSR_208009722_131E">#REF!</definedName>
    <definedName name="L_ALL_SECTION_KEYWORDS_ISSR_208009722_131J">#REF!</definedName>
    <definedName name="L_ALL_SECTION_KEYWORDS_ISSR_208009722_131O">#REF!</definedName>
    <definedName name="L_ALL_SECTION_KEYWORDS_ISSR_208009722_13A">#REF!</definedName>
    <definedName name="L_ALL_SECTION_KEYWORDS_ISSR_208009722_13U">#REF!</definedName>
    <definedName name="L_ALL_SECTION_KEYWORDS_ISSR_208009722_13V">#REF!</definedName>
    <definedName name="L_ALL_SECTION_KEYWORDS_ISSR_208009722_Reference_Data">#REF!</definedName>
    <definedName name="L_ALL_SECTION_KEYWORDS_ISSR_208011028_131O">#REF!,#REF!</definedName>
    <definedName name="L_ALL_SECTION_KEYWORDS_ISSR_208011556_1314">#REF!</definedName>
    <definedName name="L_ALL_SECTION_KEYWORDS_ISSR_208011556_13168">#REF!</definedName>
    <definedName name="L_ALL_SECTION_KEYWORDS_ISSR_208011556_1316T">#REF!</definedName>
    <definedName name="L_ALL_SECTION_KEYWORDS_ISSR_208011556_1316U">#REF!</definedName>
    <definedName name="L_ALL_SECTION_KEYWORDS_ISSR_208011556_1319">#REF!</definedName>
    <definedName name="L_ALL_SECTION_KEYWORDS_ISSR_208011556_131E">#REF!</definedName>
    <definedName name="L_ALL_SECTION_KEYWORDS_ISSR_208011556_131J">#REF!</definedName>
    <definedName name="L_ALL_SECTION_KEYWORDS_ISSR_208011556_131O">#REF!</definedName>
    <definedName name="L_ALL_SECTION_KEYWORDS_ISSR_208011556_136E">#REF!,#REF!</definedName>
    <definedName name="L_ALL_SECTION_KEYWORDS_ISSR_208011556_13A">#REF!</definedName>
    <definedName name="L_ALL_SECTION_KEYWORDS_ISSR_208011556_13U">#REF!</definedName>
    <definedName name="L_ALL_SECTION_KEYWORDS_ISSR_208011556_13V">#REF!</definedName>
    <definedName name="L_ALL_SECTION_KEYWORDS_ISSR_208011556_Reference_Data">#REF!</definedName>
    <definedName name="L_ALL_SECTION_KEYWORDS_ISSR_208011888_136E">#REF!,#REF!</definedName>
    <definedName name="L_ALL_SECTION_KEYWORDS_ISSR_208012959_13V">#REF!,#REF!</definedName>
    <definedName name="L_ALL_SECTION_KEYWORDS_ISSR_208013278_136E">#REF!,#REF!</definedName>
    <definedName name="L_ALL_SECTION_KEYWORDS_ISSR_208015351_13168">#REF!,#REF!</definedName>
    <definedName name="L_ALL_SECTION_KEYWORDS_ISSR_208015351_136E">#REF!,#REF!</definedName>
    <definedName name="L_ALL_SECTION_KEYWORDS_ISSR_208017249_13168">#REF!</definedName>
    <definedName name="L_ALL_SECTION_KEYWORDS_ISSR_208017249_1319">#REF!</definedName>
    <definedName name="L_ALL_SECTION_KEYWORDS_ISSR_208018132_131O">#REF!,#REF!</definedName>
    <definedName name="L_ALL_SECTION_KEYWORDS_ISSR_208018133_1314">#REF!</definedName>
    <definedName name="L_ALL_SECTION_KEYWORDS_ISSR_208018133_1319">#REF!</definedName>
    <definedName name="L_ALL_SECTION_KEYWORDS_ISSR_208018133_131E">#REF!</definedName>
    <definedName name="L_ALL_SECTION_KEYWORDS_ISSR_208018133_13V">#REF!,#REF!</definedName>
    <definedName name="L_ALL_SECTION_KEYWORDS_ISSR_208018253_131O">#REF!,#REF!</definedName>
    <definedName name="L_ALL_SECTION_KEYWORDS_ISSR_208020566_131O">#REF!,#REF!</definedName>
    <definedName name="L_ALL_SECTION_KEYWORDS_ISSR_208020919_131O">#REF!,#REF!</definedName>
    <definedName name="L_ALL_SECTION_KEYWORDS_ISSR_208020919_136J">#REF!,#REF!</definedName>
    <definedName name="L_ALL_SECTIONS_EQTY_200000304">#REF!,#REF!,#REF!,#REF!,#REF!,#REF!,#REF!,#REF!,#REF!,#REF!</definedName>
    <definedName name="L_ALL_SECTIONS_EQTY_200001265">#REF!,#REF!,#REF!,#REF!,#REF!,#REF!,#REF!,#REF!,#REF!,#REF!</definedName>
    <definedName name="L_ALL_SECTIONS_EQTY_200001320">#REF!,#REF!,#REF!,#REF!,#REF!,#REF!,#REF!,#REF!,#REF!,#REF!</definedName>
    <definedName name="L_ALL_SECTIONS_EQTY_200001330">#REF!,#REF!,#REF!,#REF!,#REF!,#REF!,#REF!,#REF!,#REF!,#REF!</definedName>
    <definedName name="L_ALL_SECTIONS_EQTY_200001353">#REF!,#REF!,#REF!,#REF!,#REF!,#REF!,#REF!,#REF!</definedName>
    <definedName name="L_ALL_SECTIONS_EQTY_200001371">#REF!,#REF!,#REF!,#REF!,#REF!,#REF!,#REF!,#REF!</definedName>
    <definedName name="L_ALL_SECTIONS_EQTY_200001381">#REF!,#REF!,#REF!,#REF!,#REF!,#REF!,#REF!,#REF!,#REF!,#REF!</definedName>
    <definedName name="L_ALL_SECTIONS_EQTY_200001646">#REF!,#REF!,#REF!,#REF!,#REF!,#REF!,#REF!,#REF!,#REF!,#REF!,#REF!</definedName>
    <definedName name="L_ALL_SECTIONS_EQTY_200002831">#REF!,#REF!,#REF!,#REF!,#REF!,#REF!,#REF!,#REF!,#REF!,#REF!</definedName>
    <definedName name="L_ALL_SECTIONS_EQTY_200002833">#REF!,#REF!,#REF!,#REF!,#REF!,#REF!,#REF!,#REF!,#REF!,#REF!</definedName>
    <definedName name="L_ALL_SECTIONS_EQTY_200003037">#REF!,#REF!,#REF!,#REF!,#REF!,#REF!,#REF!,#REF!,#REF!,#REF!</definedName>
    <definedName name="L_ALL_SECTIONS_EQTY_200003892">#REF!,#REF!,#REF!,#REF!,#REF!,#REF!,#REF!,#REF!,#REF!,#REF!</definedName>
    <definedName name="L_ALL_SECTIONS_EQTY_200004419">#REF!,#REF!,#REF!,#REF!,#REF!,#REF!,#REF!,#REF!,#REF!,#REF!</definedName>
    <definedName name="L_ALL_SECTIONS_EQTY_200005326">#REF!,#REF!,#REF!,#REF!,#REF!,#REF!,#REF!,#REF!,#REF!,#REF!</definedName>
    <definedName name="L_ALL_SECTIONS_EQTY_200006232">#REF!,#REF!,#REF!,#REF!,#REF!,#REF!,#REF!,#REF!,#REF!,#REF!</definedName>
    <definedName name="L_ALL_SECTIONS_EQTY_200009556">#REF!,#REF!,#REF!,#REF!,#REF!,#REF!,#REF!,#REF!,#REF!,#REF!</definedName>
    <definedName name="L_ALL_SECTIONS_EQTY_200011598">#REF!,#REF!,#REF!,#REF!,#REF!,#REF!,#REF!,#REF!,#REF!,#REF!</definedName>
    <definedName name="L_ALL_SECTIONS_EQTY_200012762">#REF!,#REF!,#REF!,#REF!,#REF!,#REF!,#REF!,#REF!,#REF!,#REF!</definedName>
    <definedName name="L_ALL_SECTIONS_EQTY_200014300">#REF!,#REF!,#REF!,#REF!,#REF!,#REF!,#REF!,#REF!,#REF!,#REF!</definedName>
    <definedName name="L_ALL_SECTIONS_EQTY_200014493">#REF!,#REF!,#REF!,#REF!,#REF!,#REF!,#REF!,#REF!,#REF!,#REF!</definedName>
    <definedName name="L_ALL_SECTIONS_EQTY_200014750">#REF!,#REF!,#REF!,#REF!,#REF!,#REF!,#REF!,#REF!,#REF!,#REF!</definedName>
    <definedName name="L_ALL_SECTIONS_EQTY_200015107">#REF!,#REF!,#REF!,#REF!,#REF!,#REF!,#REF!,#REF!,#REF!,#REF!</definedName>
    <definedName name="L_ALL_SECTIONS_EQTY_200015716">#REF!,#REF!,#REF!,#REF!,#REF!,#REF!,#REF!,#REF!,#REF!,#REF!</definedName>
    <definedName name="L_ALL_SECTIONS_EQTY_200015757">#REF!,#REF!,#REF!,#REF!,#REF!,#REF!,#REF!,#REF!,#REF!,#REF!,#REF!</definedName>
    <definedName name="L_ALL_SECTIONS_EQTY_200016026">#REF!,#REF!,#REF!,#REF!,#REF!,#REF!,#REF!,#REF!,#REF!,#REF!,#REF!</definedName>
    <definedName name="L_ALL_SECTIONS_EQTY_200017745">#REF!,#REF!,#REF!,#REF!,#REF!,#REF!,#REF!,#REF!,#REF!,#REF!</definedName>
    <definedName name="L_ALL_SECTIONS_ISSR_208000430">#REF!,#REF!,#REF!,#REF!,#REF!,#REF!,#REF!,#REF!,#REF!,#REF!,#REF!</definedName>
    <definedName name="L_ALL_SECTIONS_ISSR_208000451">#REF!,#REF!,#REF!,#REF!,#REF!,#REF!,#REF!,#REF!,#REF!,#REF!</definedName>
    <definedName name="L_ALL_SECTIONS_ISSR_208000603">#REF!,#REF!,#REF!,#REF!,#REF!,#REF!,#REF!,#REF!,#REF!,#REF!,#REF!</definedName>
    <definedName name="L_ALL_SECTIONS_ISSR_208000977">#REF!,#REF!,#REF!,#REF!,#REF!,#REF!,#REF!,#REF!,#REF!,#REF!,#REF!</definedName>
    <definedName name="L_ALL_SECTIONS_ISSR_208001049">#REF!,#REF!,#REF!,#REF!,#REF!,#REF!,#REF!,#REF!,#REF!,#REF!,#REF!</definedName>
    <definedName name="L_ALL_SECTIONS_ISSR_208001137">#REF!,#REF!,#REF!,#REF!,#REF!,#REF!,#REF!,#REF!,#REF!,#REF!,#REF!</definedName>
    <definedName name="L_ALL_SECTIONS_ISSR_208001258">#REF!,#REF!,#REF!,#REF!,#REF!,#REF!,#REF!,#REF!,#REF!,#REF!,#REF!</definedName>
    <definedName name="L_ALL_SECTIONS_ISSR_208001515">#REF!,#REF!,#REF!,#REF!,#REF!,#REF!,#REF!,#REF!,#REF!,#REF!</definedName>
    <definedName name="L_ALL_SECTIONS_ISSR_208005795">#REF!,#REF!,#REF!,#REF!,#REF!,#REF!,#REF!,#REF!,#REF!,#REF!,#REF!</definedName>
    <definedName name="L_ALL_SECTIONS_ISSR_208007359">#REF!,#REF!,#REF!,#REF!,#REF!,#REF!,#REF!,#REF!,#REF!,#REF!</definedName>
    <definedName name="L_ALL_SECTIONS_ISSR_208009722">#REF!,#REF!,#REF!,#REF!,#REF!,#REF!,#REF!,#REF!,#REF!,#REF!</definedName>
    <definedName name="L_ALL_SECTIONS_ISSR_208010209">#REF!,#REF!,#REF!,#REF!,#REF!,#REF!,#REF!,#REF!,#REF!,#REF!,#REF!</definedName>
    <definedName name="L_ALL_SECTIONS_ISSR_208011072">#REF!,#REF!,#REF!,#REF!,#REF!,#REF!,#REF!,#REF!,#REF!,#REF!,#REF!</definedName>
    <definedName name="L_ALL_SECTIONS_ISSR_208011212">#REF!,#REF!,#REF!,#REF!,#REF!,#REF!,#REF!,#REF!,#REF!,#REF!,#REF!</definedName>
    <definedName name="L_ALL_SECTIONS_ISSR_208012959">#REF!,#REF!,#REF!,#REF!,#REF!,#REF!,#REF!,#REF!,#REF!,#REF!,#REF!,#REF!,#REF!</definedName>
    <definedName name="L_ALL_SECTIONS_ISSR_208015351">#REF!,#REF!,#REF!,#REF!,#REF!,#REF!,#REF!,#REF!,#REF!,#REF!,#REF!</definedName>
    <definedName name="L_ALL_SEMI">#REF!</definedName>
    <definedName name="L_ALL_SIRI">#REF!</definedName>
    <definedName name="L_ALL_SWKS">#REF!</definedName>
    <definedName name="L_ALL_T">#REF!</definedName>
    <definedName name="L_ALL_TEL">#REF!</definedName>
    <definedName name="L_ALL_TENB">#REF!</definedName>
    <definedName name="L_ALL_TER">#REF!</definedName>
    <definedName name="L_ALL_TGT">#REF!</definedName>
    <definedName name="L_ALL_TMUS">#REF!</definedName>
    <definedName name="L_ALL_TWC">#REF!</definedName>
    <definedName name="L_ALL_TWKS">#REF!</definedName>
    <definedName name="L_ALL_TXN">#REF!</definedName>
    <definedName name="L_ALL_VMW">#REF!</definedName>
    <definedName name="L_ALL_VMW_">#REF!</definedName>
    <definedName name="L_ALL_VSM">#REF!</definedName>
    <definedName name="L_ALL_VZ">#REF!</definedName>
    <definedName name="L_ALL_WDAY">#REF!</definedName>
    <definedName name="L_ALL_WIN">#REF!</definedName>
    <definedName name="L_ALL_WIN_">#REF!</definedName>
    <definedName name="L_ALL_ZAYO">#REF!</definedName>
    <definedName name="L_ALL_ZS">#REF!</definedName>
    <definedName name="L_ALL_ZS_OLD">#REF!</definedName>
    <definedName name="L_CURRENCY_EQTY_200000304_PRI">#REF!</definedName>
    <definedName name="L_CURRENCY_EQTY_200000304_PUB">#REF!</definedName>
    <definedName name="L_CURRENCY_EQTY_200000304_REP">#REF!</definedName>
    <definedName name="L_CURRENCY_EQTY_200001265_PRI">#REF!</definedName>
    <definedName name="L_CURRENCY_EQTY_200001265_PUB">#REF!</definedName>
    <definedName name="L_CURRENCY_EQTY_200001265_REP">#REF!</definedName>
    <definedName name="L_CURRENCY_EQTY_200001320_PRI">#REF!</definedName>
    <definedName name="L_CURRENCY_EQTY_200001320_PUB">#REF!</definedName>
    <definedName name="L_CURRENCY_EQTY_200001320_REP">#REF!</definedName>
    <definedName name="L_CURRENCY_EQTY_200001330_PRI">#REF!</definedName>
    <definedName name="L_CURRENCY_EQTY_200001330_PUB">#REF!</definedName>
    <definedName name="L_CURRENCY_EQTY_200001330_REP">#REF!</definedName>
    <definedName name="L_CURRENCY_EQTY_200001353_PRI">#REF!</definedName>
    <definedName name="L_CURRENCY_EQTY_200001353_PUB">#REF!</definedName>
    <definedName name="L_CURRENCY_EQTY_200001353_REP">#REF!</definedName>
    <definedName name="L_CURRENCY_EQTY_200001371_PRI">#REF!</definedName>
    <definedName name="L_CURRENCY_EQTY_200001371_PUB">#REF!</definedName>
    <definedName name="L_CURRENCY_EQTY_200001371_REP">#REF!</definedName>
    <definedName name="L_CURRENCY_EQTY_200001381_PRI">#REF!</definedName>
    <definedName name="L_CURRENCY_EQTY_200001381_PUB">#REF!</definedName>
    <definedName name="L_CURRENCY_EQTY_200001381_REP">#REF!</definedName>
    <definedName name="L_CURRENCY_EQTY_200001646_PRI">#REF!</definedName>
    <definedName name="L_CURRENCY_EQTY_200001646_PUB">#REF!</definedName>
    <definedName name="L_CURRENCY_EQTY_200001646_REP">#REF!</definedName>
    <definedName name="L_CURRENCY_EQTY_200002831_PRI">#REF!</definedName>
    <definedName name="L_CURRENCY_EQTY_200002831_PUB">#REF!</definedName>
    <definedName name="L_CURRENCY_EQTY_200002831_REP">#REF!</definedName>
    <definedName name="L_CURRENCY_EQTY_200002833_PRI">#REF!</definedName>
    <definedName name="L_CURRENCY_EQTY_200002833_PUB">#REF!</definedName>
    <definedName name="L_CURRENCY_EQTY_200002833_REP">#REF!</definedName>
    <definedName name="L_CURRENCY_EQTY_200003037_PRI">#REF!</definedName>
    <definedName name="L_CURRENCY_EQTY_200003037_PUB">#REF!</definedName>
    <definedName name="L_CURRENCY_EQTY_200003037_REP">#REF!</definedName>
    <definedName name="L_CURRENCY_EQTY_200003892_PRI">#REF!</definedName>
    <definedName name="L_CURRENCY_EQTY_200003892_PUB">#REF!</definedName>
    <definedName name="L_CURRENCY_EQTY_200003892_REP">#REF!</definedName>
    <definedName name="L_CURRENCY_EQTY_200004419_PRI">#REF!</definedName>
    <definedName name="L_CURRENCY_EQTY_200004419_PUB">#REF!</definedName>
    <definedName name="L_CURRENCY_EQTY_200004419_REP">#REF!</definedName>
    <definedName name="L_CURRENCY_EQTY_200005326_PRI">#REF!</definedName>
    <definedName name="L_CURRENCY_EQTY_200005326_PUB">#REF!</definedName>
    <definedName name="L_CURRENCY_EQTY_200005326_REP">#REF!</definedName>
    <definedName name="L_CURRENCY_EQTY_200006232_PRI">#REF!</definedName>
    <definedName name="L_CURRENCY_EQTY_200006232_PUB">#REF!</definedName>
    <definedName name="L_CURRENCY_EQTY_200006232_REP">#REF!</definedName>
    <definedName name="L_CURRENCY_EQTY_200009556_PRI">#REF!</definedName>
    <definedName name="L_CURRENCY_EQTY_200009556_PUB">#REF!</definedName>
    <definedName name="L_CURRENCY_EQTY_200009556_REP">#REF!</definedName>
    <definedName name="L_CURRENCY_EQTY_200011598_PRI">#REF!</definedName>
    <definedName name="L_CURRENCY_EQTY_200011598_PUB">#REF!</definedName>
    <definedName name="L_CURRENCY_EQTY_200011598_REP">#REF!</definedName>
    <definedName name="L_CURRENCY_EQTY_200012762_PRI">#REF!</definedName>
    <definedName name="L_CURRENCY_EQTY_200012762_PUB">#REF!</definedName>
    <definedName name="L_CURRENCY_EQTY_200012762_REP">#REF!</definedName>
    <definedName name="L_CURRENCY_EQTY_200014300_PRI">#REF!</definedName>
    <definedName name="L_CURRENCY_EQTY_200014300_PUB">#REF!</definedName>
    <definedName name="L_CURRENCY_EQTY_200014300_REP">#REF!</definedName>
    <definedName name="L_CURRENCY_EQTY_200014493_PRI">#REF!</definedName>
    <definedName name="L_CURRENCY_EQTY_200014493_PUB">#REF!</definedName>
    <definedName name="L_CURRENCY_EQTY_200014493_REP">#REF!</definedName>
    <definedName name="L_CURRENCY_EQTY_200014750_PRI">#REF!</definedName>
    <definedName name="L_CURRENCY_EQTY_200014750_PUB">#REF!</definedName>
    <definedName name="L_CURRENCY_EQTY_200014750_REP">#REF!</definedName>
    <definedName name="L_CURRENCY_EQTY_200015107_PRI">#REF!</definedName>
    <definedName name="L_CURRENCY_EQTY_200015107_PUB">#REF!</definedName>
    <definedName name="L_CURRENCY_EQTY_200015107_REP">#REF!</definedName>
    <definedName name="L_CURRENCY_EQTY_200015716_PRI">#REF!</definedName>
    <definedName name="L_CURRENCY_EQTY_200015716_PUB">#REF!</definedName>
    <definedName name="L_CURRENCY_EQTY_200015716_REP">#REF!</definedName>
    <definedName name="L_CURRENCY_EQTY_200015757_PRI">#REF!</definedName>
    <definedName name="L_CURRENCY_EQTY_200015757_PUB">#REF!</definedName>
    <definedName name="L_CURRENCY_EQTY_200015757_REP">#REF!</definedName>
    <definedName name="L_CURRENCY_EQTY_200016026_PRI">#REF!</definedName>
    <definedName name="L_CURRENCY_EQTY_200016026_PUB">#REF!</definedName>
    <definedName name="L_CURRENCY_EQTY_200016026_REP">#REF!</definedName>
    <definedName name="L_CURRENCY_EQTY_200017745_PRI">#REF!</definedName>
    <definedName name="L_CURRENCY_EQTY_200017745_PUB">#REF!</definedName>
    <definedName name="L_CURRENCY_EQTY_200017745_REP">#REF!</definedName>
    <definedName name="L_CURRENCY_ISSR_208000027_REP">#REF!</definedName>
    <definedName name="L_CURRENCY_ISSR_208000402_REP">#REF!</definedName>
    <definedName name="L_CURRENCY_ISSR_208000430_REP">#REF!</definedName>
    <definedName name="L_CURRENCY_ISSR_208000435_REP">#REF!</definedName>
    <definedName name="L_CURRENCY_ISSR_208000451_REP">#REF!</definedName>
    <definedName name="L_CURRENCY_ISSR_208000468_REP">#REF!</definedName>
    <definedName name="L_CURRENCY_ISSR_208000603_REP">#REF!</definedName>
    <definedName name="L_CURRENCY_ISSR_208000976_REP">#REF!</definedName>
    <definedName name="L_CURRENCY_ISSR_208000977_REP">#REF!</definedName>
    <definedName name="L_CURRENCY_ISSR_208001049_REP">#REF!</definedName>
    <definedName name="L_CURRENCY_ISSR_208001137_REP">#REF!</definedName>
    <definedName name="L_CURRENCY_ISSR_208001258_REP">#REF!</definedName>
    <definedName name="L_CURRENCY_ISSR_208001515_REP">#REF!</definedName>
    <definedName name="L_CURRENCY_ISSR_208005795_REP">#REF!</definedName>
    <definedName name="L_CURRENCY_ISSR_208007359_REP">#REF!</definedName>
    <definedName name="L_CURRENCY_ISSR_208008030_REP">#REF!</definedName>
    <definedName name="L_CURRENCY_ISSR_208008836_REP">#REF!</definedName>
    <definedName name="L_CURRENCY_ISSR_208009722_REP">#REF!</definedName>
    <definedName name="L_CURRENCY_ISSR_208010209_REP">#REF!</definedName>
    <definedName name="L_CURRENCY_ISSR_208011072_REP">#REF!</definedName>
    <definedName name="L_CURRENCY_ISSR_208011212_REP">#REF!</definedName>
    <definedName name="L_CURRENCY_ISSR_208011556_REP">#REF!</definedName>
    <definedName name="L_CURRENCY_ISSR_208011888_REP">#REF!</definedName>
    <definedName name="L_CURRENCY_ISSR_208012959_REP">#REF!</definedName>
    <definedName name="L_CURRENCY_ISSR_208015351_REP">#REF!</definedName>
    <definedName name="L_ENTITY_DATA_EQTY_200001646">#REF!</definedName>
    <definedName name="L_ENTITY_DATA_EQTY_200012762">#REF!</definedName>
    <definedName name="L_ENTITY_DATA_ISSR_208000603">#REF!</definedName>
    <definedName name="L_ENTITY_DATA_ISSR_208009722">#REF!</definedName>
    <definedName name="L_KEYWORD_EQTY_200001646_ACT1">#REF!</definedName>
    <definedName name="L_KEYWORD_EQTY_200001646_AMER_CONVICTION">#REF!</definedName>
    <definedName name="L_KEYWORD_EQTY_200001646_AMER_LIST">#REF!</definedName>
    <definedName name="L_KEYWORD_EQTY_200001646_BETA_ANALYST">#REF!</definedName>
    <definedName name="L_KEYWORD_EQTY_200001646_BVPS">#REF!</definedName>
    <definedName name="L_KEYWORD_EQTY_200001646_BVPS_PUB">#REF!</definedName>
    <definedName name="L_KEYWORD_EQTY_200001646_CF_NI_PRE_PREF">#REF!</definedName>
    <definedName name="L_KEYWORD_EQTY_200001646_COMMON_DIV_PAID">#REF!</definedName>
    <definedName name="L_KEYWORD_EQTY_200001646_CURRENCY_ISO">#REF!</definedName>
    <definedName name="L_KEYWORD_EQTY_200001646_DILUTE_SHARES">#REF!</definedName>
    <definedName name="L_KEYWORD_EQTY_200001646_DPS">#REF!</definedName>
    <definedName name="L_KEYWORD_EQTY_200001646_DPS_PUB">#REF!</definedName>
    <definedName name="L_KEYWORD_EQTY_200001646_EBIT_PUB">#REF!</definedName>
    <definedName name="L_KEYWORD_EQTY_200001646_EBITDA_PUB">#REF!</definedName>
    <definedName name="L_KEYWORD_EQTY_200001646_EPS">#REF!</definedName>
    <definedName name="L_KEYWORD_EQTY_200001646_EPS_EX_ESO_B">#REF!</definedName>
    <definedName name="L_KEYWORD_EQTY_200001646_EPS_EX_ESO_D">#REF!</definedName>
    <definedName name="L_KEYWORD_EQTY_200001646_EPS_FUL_DIL">#REF!</definedName>
    <definedName name="L_KEYWORD_EQTY_200001646_EPS_POST_BASIC">#REF!</definedName>
    <definedName name="L_KEYWORD_EQTY_200001646_EPS_PUB">#REF!</definedName>
    <definedName name="L_KEYWORD_EQTY_200001646_EPS_PUB_EX_ESO">#REF!</definedName>
    <definedName name="L_KEYWORD_EQTY_200001646_EQ_PUB">#REF!</definedName>
    <definedName name="L_KEYWORD_EQTY_200001646_ESO_POST_TAX">#REF!</definedName>
    <definedName name="L_KEYWORD_EQTY_200001646_ESO_YEAR">#REF!</definedName>
    <definedName name="L_KEYWORD_EQTY_200001646_EV_ADJ_PUB">#REF!</definedName>
    <definedName name="L_KEYWORD_EQTY_200001646_FREE_FLOAT">#REF!</definedName>
    <definedName name="L_KEYWORD_EQTY_200001646_FULLY_DIL_EPS">#REF!</definedName>
    <definedName name="L_KEYWORD_EQTY_200001646_FV_GRANT">#REF!</definedName>
    <definedName name="L_KEYWORD_EQTY_200001646_GT_BETA">#REF!</definedName>
    <definedName name="L_KEYWORD_EQTY_200001646_INC_MINORITY">#REF!</definedName>
    <definedName name="L_KEYWORD_EQTY_200001646_Interim_Type">#REF!</definedName>
    <definedName name="L_KEYWORD_EQTY_200001646_LEGAL_RATING">#REF!</definedName>
    <definedName name="L_KEYWORD_EQTY_200001646_MARGIN_TAX_RATE">#REF!</definedName>
    <definedName name="L_KEYWORD_EQTY_200001646_MKT_EQ_RISK_PREM">#REF!</definedName>
    <definedName name="L_KEYWORD_EQTY_200001646_NET_DEBT_PUB">#REF!</definedName>
    <definedName name="L_KEYWORD_EQTY_200001646_NET_EARNING">#REF!</definedName>
    <definedName name="L_KEYWORD_EQTY_200001646_NET_INC">#REF!</definedName>
    <definedName name="L_KEYWORD_EQTY_200001646_NI_PRE_PREF">#REF!</definedName>
    <definedName name="L_KEYWORD_EQTY_200001646_NI_PUB">#REF!</definedName>
    <definedName name="L_KEYWORD_EQTY_200001646_NON_OP_ADD">#REF!</definedName>
    <definedName name="L_KEYWORD_EQTY_200001646_NUM_SH">#REF!</definedName>
    <definedName name="L_KEYWORD_EQTY_200001646_PREF_DIV">#REF!</definedName>
    <definedName name="L_KEYWORD_EQTY_200001646_PRICE_CURRENCY_ISO">#REF!</definedName>
    <definedName name="L_KEYWORD_EQTY_200001646_PROV_INC_TAX">#REF!</definedName>
    <definedName name="L_KEYWORD_EQTY_200001646_PTP_PUB">#REF!</definedName>
    <definedName name="L_KEYWORD_EQTY_200001646_PUB_CURRENCY_ISO">#REF!</definedName>
    <definedName name="L_KEYWORD_EQTY_200001646_REPUR_ACTUAL">#REF!</definedName>
    <definedName name="L_KEYWORD_EQTY_200001646_REPUR_REMAINING">#REF!</definedName>
    <definedName name="L_KEYWORD_EQTY_200001646_REPUR_SUSPENDED">#REF!</definedName>
    <definedName name="L_KEYWORD_EQTY_200001646_REPUR_TOT_AUTH">#REF!</definedName>
    <definedName name="L_KEYWORD_EQTY_200001646_REVS_PUB">#REF!</definedName>
    <definedName name="L_KEYWORD_EQTY_200001646_RISK_FR_RATE">#REF!</definedName>
    <definedName name="L_KEYWORD_EQTY_200001646_Security_Name">#REF!</definedName>
    <definedName name="L_KEYWORD_EQTY_200001646_SH">#REF!</definedName>
    <definedName name="L_KEYWORD_EQTY_200001646_TARGET_PRICE">#REF!</definedName>
    <definedName name="L_KEYWORD_EQTY_200001646_TAX_EXC">#REF!</definedName>
    <definedName name="L_KEYWORD_EQTY_200001646_Ticker">#REF!</definedName>
    <definedName name="L_KEYWORD_EQTY_200001646_TP_PERIOD">#REF!</definedName>
    <definedName name="L_KEYWORD_EQTY_200002831_ACT1">#REF!</definedName>
    <definedName name="L_KEYWORD_EQTY_200002831_ACT2">#REF!</definedName>
    <definedName name="L_KEYWORD_EQTY_200002831_ACT3">#REF!</definedName>
    <definedName name="L_KEYWORD_EQTY_200002831_ACT4">#REF!</definedName>
    <definedName name="L_KEYWORD_EQTY_200002831_ACT5">#REF!</definedName>
    <definedName name="L_KEYWORD_EQTY_200002831_ACT6">#REF!</definedName>
    <definedName name="L_KEYWORD_EQTY_200002831_ACT7">#REF!</definedName>
    <definedName name="L_KEYWORD_EQTY_200002831_ACT8">#REF!</definedName>
    <definedName name="L_KEYWORD_EQTY_200002831_ACT9">#REF!</definedName>
    <definedName name="L_KEYWORD_EQTY_200002831_AMER_CONVICTION">#REF!</definedName>
    <definedName name="L_KEYWORD_EQTY_200002831_AMER_LIST">#REF!</definedName>
    <definedName name="L_KEYWORD_EQTY_200002831_BETA_ANALYST">#REF!</definedName>
    <definedName name="L_KEYWORD_EQTY_200002831_BVPS">#REF!</definedName>
    <definedName name="L_KEYWORD_EQTY_200002831_BVPS_PUB">#REF!</definedName>
    <definedName name="L_KEYWORD_EQTY_200002831_CF_NI_PRE_PREF">#REF!</definedName>
    <definedName name="L_KEYWORD_EQTY_200002831_COMMON_DIV_PAID">#REF!</definedName>
    <definedName name="L_KEYWORD_EQTY_200002831_CURRENCY_ISO">#REF!</definedName>
    <definedName name="L_KEYWORD_EQTY_200002831_DILUTE_SHARES">#REF!</definedName>
    <definedName name="L_KEYWORD_EQTY_200002831_DPS">#REF!</definedName>
    <definedName name="L_KEYWORD_EQTY_200002831_DPS_PUB">#REF!</definedName>
    <definedName name="L_KEYWORD_EQTY_200002831_EBIT_PUB">#REF!</definedName>
    <definedName name="L_KEYWORD_EQTY_200002831_EBITDA_PUB">#REF!</definedName>
    <definedName name="L_KEYWORD_EQTY_200002831_EPS">#REF!</definedName>
    <definedName name="L_KEYWORD_EQTY_200002831_EPS_EX_ESO_B">#REF!</definedName>
    <definedName name="L_KEYWORD_EQTY_200002831_EPS_EX_ESO_D">#REF!</definedName>
    <definedName name="L_KEYWORD_EQTY_200002831_EPS_FUL_DIL">#REF!</definedName>
    <definedName name="L_KEYWORD_EQTY_200002831_EPS_POST_BASIC">#REF!</definedName>
    <definedName name="L_KEYWORD_EQTY_200002831_EPS_PUB">#REF!</definedName>
    <definedName name="L_KEYWORD_EQTY_200002831_EPS_PUB_EX_ESO">#REF!</definedName>
    <definedName name="L_KEYWORD_EQTY_200002831_EQ_PUB">#REF!</definedName>
    <definedName name="L_KEYWORD_EQTY_200002831_ESO_POST_TAX">#REF!</definedName>
    <definedName name="L_KEYWORD_EQTY_200002831_ESO_YEAR">#REF!</definedName>
    <definedName name="L_KEYWORD_EQTY_200002831_EV_ADJ_PUB">#REF!</definedName>
    <definedName name="L_KEYWORD_EQTY_200002831_FREE_FLOAT">#REF!</definedName>
    <definedName name="L_KEYWORD_EQTY_200002831_FULLY_DIL_EPS">#REF!</definedName>
    <definedName name="L_KEYWORD_EQTY_200002831_FV_GRANT">#REF!</definedName>
    <definedName name="L_KEYWORD_EQTY_200002831_INC_MINORITY">#REF!</definedName>
    <definedName name="L_KEYWORD_EQTY_200002831_Interim_Type">#REF!</definedName>
    <definedName name="L_KEYWORD_EQTY_200002831_LEGAL_RATING">#REF!</definedName>
    <definedName name="L_KEYWORD_EQTY_200002831_MARGIN_TAX_RATE">#REF!</definedName>
    <definedName name="L_KEYWORD_EQTY_200002831_MKT_EQ_RISK_PREM">#REF!</definedName>
    <definedName name="L_KEYWORD_EQTY_200002831_NET_DEBT_PUB">#REF!</definedName>
    <definedName name="L_KEYWORD_EQTY_200002831_NET_EARNING">#REF!</definedName>
    <definedName name="L_KEYWORD_EQTY_200002831_NET_INC">#REF!</definedName>
    <definedName name="L_KEYWORD_EQTY_200002831_NI_PRE_PREF">#REF!</definedName>
    <definedName name="L_KEYWORD_EQTY_200002831_NI_PUB">#REF!</definedName>
    <definedName name="L_KEYWORD_EQTY_200002831_NON_OP_ADD">#REF!</definedName>
    <definedName name="L_KEYWORD_EQTY_200002831_NUM_SH">#REF!</definedName>
    <definedName name="L_KEYWORD_EQTY_200002831_PREF_DIV">#REF!</definedName>
    <definedName name="L_KEYWORD_EQTY_200002831_PRICE_CURRENCY_ISO">#REF!</definedName>
    <definedName name="L_KEYWORD_EQTY_200002831_PROV_INC_TAX">#REF!</definedName>
    <definedName name="L_KEYWORD_EQTY_200002831_PTP_PUB">#REF!</definedName>
    <definedName name="L_KEYWORD_EQTY_200002831_PUB_CURRENCY_ISO">#REF!</definedName>
    <definedName name="L_KEYWORD_EQTY_200002831_REPUR_ACTUAL">#REF!</definedName>
    <definedName name="L_KEYWORD_EQTY_200002831_REPUR_REMAINING">#REF!</definedName>
    <definedName name="L_KEYWORD_EQTY_200002831_REPUR_SUSPENDED">#REF!</definedName>
    <definedName name="L_KEYWORD_EQTY_200002831_REPUR_TOT_AUTH">#REF!</definedName>
    <definedName name="L_KEYWORD_EQTY_200002831_REVS_PUB">#REF!</definedName>
    <definedName name="L_KEYWORD_EQTY_200002831_RISK_FR_RATE">#REF!</definedName>
    <definedName name="L_KEYWORD_EQTY_200002831_Security_Name">#REF!</definedName>
    <definedName name="L_KEYWORD_EQTY_200002831_SH">#REF!</definedName>
    <definedName name="L_KEYWORD_EQTY_200002831_TARGET_PRICE">#REF!</definedName>
    <definedName name="L_KEYWORD_EQTY_200002831_TAX_EXC">#REF!</definedName>
    <definedName name="L_KEYWORD_EQTY_200002831_Ticker">#REF!</definedName>
    <definedName name="L_KEYWORD_EQTY_200002831_TP_PERIOD">#REF!</definedName>
    <definedName name="L_KEYWORD_EQTY_200004419_ACT1">#REF!</definedName>
    <definedName name="L_KEYWORD_EQTY_200004419_ACT2">#REF!</definedName>
    <definedName name="L_KEYWORD_EQTY_200004419_ACT3">#REF!</definedName>
    <definedName name="L_KEYWORD_EQTY_200004419_ACT4">#REF!</definedName>
    <definedName name="L_KEYWORD_EQTY_200004419_ACT5">#REF!</definedName>
    <definedName name="L_KEYWORD_EQTY_200004419_ACT6">#REF!</definedName>
    <definedName name="L_KEYWORD_EQTY_200004419_ACT7">#REF!</definedName>
    <definedName name="L_KEYWORD_EQTY_200004419_ACT8">#REF!</definedName>
    <definedName name="L_KEYWORD_EQTY_200004419_ACT9">#REF!</definedName>
    <definedName name="L_KEYWORD_EQTY_200004419_AMER_CONVICTION">#REF!</definedName>
    <definedName name="L_KEYWORD_EQTY_200004419_AMER_LIST">#REF!</definedName>
    <definedName name="L_KEYWORD_EQTY_200004419_BETA_ANALYST">#REF!</definedName>
    <definedName name="L_KEYWORD_EQTY_200004419_BVPS">#REF!</definedName>
    <definedName name="L_KEYWORD_EQTY_200004419_BVPS_PUB">#REF!</definedName>
    <definedName name="L_KEYWORD_EQTY_200004419_CEEE_EPS">#REF!</definedName>
    <definedName name="L_KEYWORD_EQTY_200004419_CF_NI_PRE_PREF">#REF!</definedName>
    <definedName name="L_KEYWORD_EQTY_200004419_COMMON_DIV_PAID">#REF!</definedName>
    <definedName name="L_KEYWORD_EQTY_200004419_CURRENCY_ISO">#REF!</definedName>
    <definedName name="L_KEYWORD_EQTY_200004419_DILUTE_SHARES">#REF!</definedName>
    <definedName name="L_KEYWORD_EQTY_200004419_DPS">#REF!</definedName>
    <definedName name="L_KEYWORD_EQTY_200004419_DPS_PUB">#REF!</definedName>
    <definedName name="L_KEYWORD_EQTY_200004419_EBIT_PUB">#REF!</definedName>
    <definedName name="L_KEYWORD_EQTY_200004419_EBITDA_PUB">#REF!</definedName>
    <definedName name="L_KEYWORD_EQTY_200004419_EPS">#REF!</definedName>
    <definedName name="L_KEYWORD_EQTY_200004419_EPS_EX_ESO_B">#REF!</definedName>
    <definedName name="L_KEYWORD_EQTY_200004419_EPS_EX_ESO_D">#REF!</definedName>
    <definedName name="L_KEYWORD_EQTY_200004419_EPS_FUL_DIL">#REF!</definedName>
    <definedName name="L_KEYWORD_EQTY_200004419_EPS_POST_BASIC">#REF!</definedName>
    <definedName name="L_KEYWORD_EQTY_200004419_EPS_PUB">#REF!</definedName>
    <definedName name="L_KEYWORD_EQTY_200004419_EPS_PUB_EX_ESO">#REF!</definedName>
    <definedName name="L_KEYWORD_EQTY_200004419_EQ_PUB">#REF!</definedName>
    <definedName name="L_KEYWORD_EQTY_200004419_ESO_POST_TAX">#REF!</definedName>
    <definedName name="L_KEYWORD_EQTY_200004419_ESO_YEAR">#REF!</definedName>
    <definedName name="L_KEYWORD_EQTY_200004419_EV_ADJ_PUB">#REF!</definedName>
    <definedName name="L_KEYWORD_EQTY_200004419_FREE_FLOAT">#REF!</definedName>
    <definedName name="L_KEYWORD_EQTY_200004419_FULLY_DIL_EPS">#REF!</definedName>
    <definedName name="L_KEYWORD_EQTY_200004419_FV_GRANT">#REF!</definedName>
    <definedName name="L_KEYWORD_EQTY_200004419_INC_MINORITY">#REF!</definedName>
    <definedName name="L_KEYWORD_EQTY_200004419_Interim_Type">#REF!</definedName>
    <definedName name="L_KEYWORD_EQTY_200004419_LEGAL_RATING">#REF!</definedName>
    <definedName name="L_KEYWORD_EQTY_200004419_MARGIN_TAX_RATE">#REF!</definedName>
    <definedName name="L_KEYWORD_EQTY_200004419_MKT_EQ_RISK_PREM">#REF!</definedName>
    <definedName name="L_KEYWORD_EQTY_200004419_NET_DEBT_PUB">#REF!</definedName>
    <definedName name="L_KEYWORD_EQTY_200004419_NET_EARNING">#REF!</definedName>
    <definedName name="L_KEYWORD_EQTY_200004419_NET_INC">#REF!</definedName>
    <definedName name="L_KEYWORD_EQTY_200004419_NI_PRE_PREF">#REF!</definedName>
    <definedName name="L_KEYWORD_EQTY_200004419_NI_PUB">#REF!</definedName>
    <definedName name="L_KEYWORD_EQTY_200004419_NON_OP_ADD">#REF!</definedName>
    <definedName name="L_KEYWORD_EQTY_200004419_NUM_SH">#REF!</definedName>
    <definedName name="L_KEYWORD_EQTY_200004419_PREF_DIV">#REF!</definedName>
    <definedName name="L_KEYWORD_EQTY_200004419_PRICE_CURRENCY_ISO">#REF!</definedName>
    <definedName name="L_KEYWORD_EQTY_200004419_PROV_INC_TAX">#REF!</definedName>
    <definedName name="L_KEYWORD_EQTY_200004419_PTP_PUB">#REF!</definedName>
    <definedName name="L_KEYWORD_EQTY_200004419_PUB_CURRENCY_ISO">#REF!</definedName>
    <definedName name="L_KEYWORD_EQTY_200004419_REPUR_ACTUAL">#REF!</definedName>
    <definedName name="L_KEYWORD_EQTY_200004419_REPUR_REMAINING">#REF!</definedName>
    <definedName name="L_KEYWORD_EQTY_200004419_REPUR_SUSPENDED">#REF!</definedName>
    <definedName name="L_KEYWORD_EQTY_200004419_REPUR_TOT_AUTH">#REF!</definedName>
    <definedName name="L_KEYWORD_EQTY_200004419_REVS_PUB">#REF!</definedName>
    <definedName name="L_KEYWORD_EQTY_200004419_RISK_FR_RATE">#REF!</definedName>
    <definedName name="L_KEYWORD_EQTY_200004419_Security_Name">#REF!</definedName>
    <definedName name="L_KEYWORD_EQTY_200004419_SH">#REF!</definedName>
    <definedName name="L_KEYWORD_EQTY_200004419_TARGET_PRICE">#REF!</definedName>
    <definedName name="L_KEYWORD_EQTY_200004419_TAX_EXC">#REF!</definedName>
    <definedName name="L_KEYWORD_EQTY_200004419_Ticker">#REF!</definedName>
    <definedName name="L_KEYWORD_EQTY_200004419_TP_PERIOD">#REF!</definedName>
    <definedName name="L_KEYWORD_EQTY_200012762_AMER_CONVICTION">#REF!</definedName>
    <definedName name="L_KEYWORD_EQTY_200012762_AMER_LIST">#REF!</definedName>
    <definedName name="L_KEYWORD_EQTY_200012762_BETA_ANALYST">#REF!</definedName>
    <definedName name="L_KEYWORD_EQTY_200012762_BVPS">#REF!</definedName>
    <definedName name="L_KEYWORD_EQTY_200012762_BVPS_PUB">#REF!</definedName>
    <definedName name="L_KEYWORD_EQTY_200012762_CEEE_EPS">#REF!</definedName>
    <definedName name="L_KEYWORD_EQTY_200012762_CF_NI_PRE_PREF">#REF!</definedName>
    <definedName name="L_KEYWORD_EQTY_200012762_COMMON_DIV_PAID">#REF!</definedName>
    <definedName name="L_KEYWORD_EQTY_200012762_CURRENCY_ISO">#REF!</definedName>
    <definedName name="L_KEYWORD_EQTY_200012762_DILUTE_SHARES">#REF!</definedName>
    <definedName name="L_KEYWORD_EQTY_200012762_DPS">#REF!</definedName>
    <definedName name="L_KEYWORD_EQTY_200012762_DPS_PUB">#REF!</definedName>
    <definedName name="L_KEYWORD_EQTY_200012762_EBIT_PUB">#REF!</definedName>
    <definedName name="L_KEYWORD_EQTY_200012762_EBITDA_PUB">#REF!</definedName>
    <definedName name="L_KEYWORD_EQTY_200012762_EPS">#REF!</definedName>
    <definedName name="L_KEYWORD_EQTY_200012762_EPS_EX_ESO_B">#REF!</definedName>
    <definedName name="L_KEYWORD_EQTY_200012762_EPS_EX_ESO_D">#REF!</definedName>
    <definedName name="L_KEYWORD_EQTY_200012762_EPS_FUL_DIL">#REF!</definedName>
    <definedName name="L_KEYWORD_EQTY_200012762_EPS_POST_BASIC">#REF!</definedName>
    <definedName name="L_KEYWORD_EQTY_200012762_EPS_PUB">#REF!</definedName>
    <definedName name="L_KEYWORD_EQTY_200012762_EPS_PUB_EX_ESO">#REF!</definedName>
    <definedName name="L_KEYWORD_EQTY_200012762_EQ_PUB">#REF!</definedName>
    <definedName name="L_KEYWORD_EQTY_200012762_ESO_POST_TAX">#REF!</definedName>
    <definedName name="L_KEYWORD_EQTY_200012762_ESO_YEAR">#REF!</definedName>
    <definedName name="L_KEYWORD_EQTY_200012762_EV_ADJ_PUB">#REF!</definedName>
    <definedName name="L_KEYWORD_EQTY_200012762_FREE_FLOAT">#REF!</definedName>
    <definedName name="L_KEYWORD_EQTY_200012762_FULLY_DIL_EPS">#REF!</definedName>
    <definedName name="L_KEYWORD_EQTY_200012762_FV_GRANT">#REF!</definedName>
    <definedName name="L_KEYWORD_EQTY_200012762_INC_MINORITY">#REF!</definedName>
    <definedName name="L_KEYWORD_EQTY_200012762_Interim_Type">#REF!</definedName>
    <definedName name="L_KEYWORD_EQTY_200012762_LEGAL_RATING">#REF!</definedName>
    <definedName name="L_KEYWORD_EQTY_200012762_MARGIN_TAX_RATE">#REF!</definedName>
    <definedName name="L_KEYWORD_EQTY_200012762_MKT_EQ_RISK_PREM">#REF!</definedName>
    <definedName name="L_KEYWORD_EQTY_200012762_NET_DEBT_PUB">#REF!</definedName>
    <definedName name="L_KEYWORD_EQTY_200012762_NET_EARNING">#REF!</definedName>
    <definedName name="L_KEYWORD_EQTY_200012762_NET_INC">#REF!</definedName>
    <definedName name="L_KEYWORD_EQTY_200012762_NI_PRE_PREF">#REF!</definedName>
    <definedName name="L_KEYWORD_EQTY_200012762_NI_PUB">#REF!</definedName>
    <definedName name="L_KEYWORD_EQTY_200012762_NON_OP_ADD">#REF!</definedName>
    <definedName name="L_KEYWORD_EQTY_200012762_NUM_SH">#REF!</definedName>
    <definedName name="L_KEYWORD_EQTY_200012762_PREF_DIV">#REF!</definedName>
    <definedName name="L_KEYWORD_EQTY_200012762_PRICE_CURRENCY_ISO">#REF!</definedName>
    <definedName name="L_KEYWORD_EQTY_200012762_PROV_INC_TAX">#REF!</definedName>
    <definedName name="L_KEYWORD_EQTY_200012762_PTP_PUB">#REF!</definedName>
    <definedName name="L_KEYWORD_EQTY_200012762_PUB_CURRENCY_ISO">#REF!</definedName>
    <definedName name="L_KEYWORD_EQTY_200012762_REPUR_ACTUAL">#REF!</definedName>
    <definedName name="L_KEYWORD_EQTY_200012762_REPUR_REMAINING">#REF!</definedName>
    <definedName name="L_KEYWORD_EQTY_200012762_REPUR_SUSPENDED">#REF!</definedName>
    <definedName name="L_KEYWORD_EQTY_200012762_REPUR_TOT_AUTH">#REF!</definedName>
    <definedName name="L_KEYWORD_EQTY_200012762_REVS_PUB">#REF!</definedName>
    <definedName name="L_KEYWORD_EQTY_200012762_RISK_FR_RATE">#REF!</definedName>
    <definedName name="L_KEYWORD_EQTY_200012762_Security_Name">#REF!</definedName>
    <definedName name="L_KEYWORD_EQTY_200012762_SH">#REF!</definedName>
    <definedName name="L_KEYWORD_EQTY_200012762_TARGET_PRICE">#REF!</definedName>
    <definedName name="L_KEYWORD_EQTY_200012762_TAX_EXC">#REF!</definedName>
    <definedName name="L_KEYWORD_EQTY_200012762_Ticker">#REF!</definedName>
    <definedName name="L_KEYWORD_EQTY_200012762_TP_PERIOD">#REF!</definedName>
    <definedName name="L_KEYWORD_EQTY_200014750_AMER_CONVICTION">#REF!</definedName>
    <definedName name="L_KEYWORD_EQTY_200014750_AMER_LIST">#REF!</definedName>
    <definedName name="L_KEYWORD_EQTY_200014750_BETA_ANALYST">#REF!</definedName>
    <definedName name="L_KEYWORD_EQTY_200014750_BVPS">#REF!</definedName>
    <definedName name="L_KEYWORD_EQTY_200014750_BVPS_PUB">#REF!</definedName>
    <definedName name="L_KEYWORD_EQTY_200014750_CEEE_EPS">#REF!</definedName>
    <definedName name="L_KEYWORD_EQTY_200014750_CF_NI_PRE_PREF">#REF!</definedName>
    <definedName name="L_KEYWORD_EQTY_200014750_COMMON_DIV_PAID">#REF!</definedName>
    <definedName name="L_KEYWORD_EQTY_200014750_CURRENCY_ISO">#REF!</definedName>
    <definedName name="L_KEYWORD_EQTY_200014750_DILUTE_SHARES">#REF!</definedName>
    <definedName name="L_KEYWORD_EQTY_200014750_DPS">#REF!</definedName>
    <definedName name="L_KEYWORD_EQTY_200014750_DPS_PUB">#REF!</definedName>
    <definedName name="L_KEYWORD_EQTY_200014750_EBIT_PUB">#REF!</definedName>
    <definedName name="L_KEYWORD_EQTY_200014750_EBITDA_PUB">#REF!</definedName>
    <definedName name="L_KEYWORD_EQTY_200014750_EPS">#REF!</definedName>
    <definedName name="L_KEYWORD_EQTY_200014750_EPS_CONS_PUB">#REF!</definedName>
    <definedName name="L_KEYWORD_EQTY_200014750_EPS_EX_ESO_B">#REF!</definedName>
    <definedName name="L_KEYWORD_EQTY_200014750_EPS_EX_ESO_D">#REF!</definedName>
    <definedName name="L_KEYWORD_EQTY_200014750_EPS_FUL_DIL">#REF!</definedName>
    <definedName name="L_KEYWORD_EQTY_200014750_EPS_POST_BASIC">#REF!</definedName>
    <definedName name="L_KEYWORD_EQTY_200014750_EPS_PUB">#REF!</definedName>
    <definedName name="L_KEYWORD_EQTY_200014750_EPS_PUB_EX_ESO">#REF!</definedName>
    <definedName name="L_KEYWORD_EQTY_200014750_EQ_PUB">#REF!</definedName>
    <definedName name="L_KEYWORD_EQTY_200014750_ESO_POST_TAX">#REF!</definedName>
    <definedName name="L_KEYWORD_EQTY_200014750_ESO_YEAR">#REF!</definedName>
    <definedName name="L_KEYWORD_EQTY_200014750_EV_ADJ_PUB">#REF!</definedName>
    <definedName name="L_KEYWORD_EQTY_200014750_FOREIGN_HOLDNG">#REF!</definedName>
    <definedName name="L_KEYWORD_EQTY_200014750_FREE_FLOAT">#REF!</definedName>
    <definedName name="L_KEYWORD_EQTY_200014750_FULLY_DIL_EPS">#REF!</definedName>
    <definedName name="L_KEYWORD_EQTY_200014750_FV_GRANT">#REF!</definedName>
    <definedName name="L_KEYWORD_EQTY_200014750_INC_MINORITY">#REF!</definedName>
    <definedName name="L_KEYWORD_EQTY_200014750_Interim_Type">#REF!</definedName>
    <definedName name="L_KEYWORD_EQTY_200014750_LEGAL_RATING">#REF!</definedName>
    <definedName name="L_KEYWORD_EQTY_200014750_MARGIN_TAX_RATE">#REF!</definedName>
    <definedName name="L_KEYWORD_EQTY_200014750_MKT_EQ_RISK_PREM">#REF!</definedName>
    <definedName name="L_KEYWORD_EQTY_200014750_NET_DEBT_PUB">#REF!</definedName>
    <definedName name="L_KEYWORD_EQTY_200014750_NET_EARNING">#REF!</definedName>
    <definedName name="L_KEYWORD_EQTY_200014750_NET_INC">#REF!</definedName>
    <definedName name="L_KEYWORD_EQTY_200014750_NI_CONS">#REF!</definedName>
    <definedName name="L_KEYWORD_EQTY_200014750_NI_PRE_PREF">#REF!</definedName>
    <definedName name="L_KEYWORD_EQTY_200014750_NI_PUB">#REF!</definedName>
    <definedName name="L_KEYWORD_EQTY_200014750_NON_OP_ADD">#REF!</definedName>
    <definedName name="L_KEYWORD_EQTY_200014750_NUM_SH">#REF!</definedName>
    <definedName name="L_KEYWORD_EQTY_200014750_PREF_DIV">#REF!</definedName>
    <definedName name="L_KEYWORD_EQTY_200014750_PRI_TARG_METH">#REF!</definedName>
    <definedName name="L_KEYWORD_EQTY_200014750_PRI_TARG_MULT">#REF!</definedName>
    <definedName name="L_KEYWORD_EQTY_200014750_PRICE_CURRENCY_ISO">#REF!</definedName>
    <definedName name="L_KEYWORD_EQTY_200014750_PROV_INC_TAX">#REF!</definedName>
    <definedName name="L_KEYWORD_EQTY_200014750_PTP_PUB">#REF!</definedName>
    <definedName name="L_KEYWORD_EQTY_200014750_PUB_CURRENCY_ISO">#REF!</definedName>
    <definedName name="L_KEYWORD_EQTY_200014750_REPUR_ACTUAL">#REF!</definedName>
    <definedName name="L_KEYWORD_EQTY_200014750_REPUR_REMAINING">#REF!</definedName>
    <definedName name="L_KEYWORD_EQTY_200014750_REPUR_SUSPENDED">#REF!</definedName>
    <definedName name="L_KEYWORD_EQTY_200014750_REPUR_TOT_AUTH">#REF!</definedName>
    <definedName name="L_KEYWORD_EQTY_200014750_REVS_PUB">#REF!</definedName>
    <definedName name="L_KEYWORD_EQTY_200014750_RISK_FR_RATE">#REF!</definedName>
    <definedName name="L_KEYWORD_EQTY_200014750_Security_Name">#REF!</definedName>
    <definedName name="L_KEYWORD_EQTY_200014750_SH">#REF!</definedName>
    <definedName name="L_KEYWORD_EQTY_200014750_TARGET_PRICE">#REF!</definedName>
    <definedName name="L_KEYWORD_EQTY_200014750_TAX_EXC">#REF!</definedName>
    <definedName name="L_KEYWORD_EQTY_200014750_Ticker">#REF!</definedName>
    <definedName name="L_KEYWORD_EQTY_200014750_TP_PERIOD">#REF!</definedName>
    <definedName name="L_KEYWORD_ISSR_208000603_ACC_AMORT">#REF!</definedName>
    <definedName name="L_KEYWORD_ISSR_208000603_ACC_DDA">#REF!</definedName>
    <definedName name="L_KEYWORD_ISSR_208000603_ACC_END_DATE">#REF!</definedName>
    <definedName name="L_KEYWORD_ISSR_208000603_ACC_GW_AM">#REF!</definedName>
    <definedName name="L_KEYWORD_ISSR_208000603_ACC_PAY_GQ">#REF!</definedName>
    <definedName name="L_KEYWORD_ISSR_208000603_ACCUM_AMORT">#REF!</definedName>
    <definedName name="L_KEYWORD_ISSR_208000603_ACQ">#REF!</definedName>
    <definedName name="L_KEYWORD_ISSR_208000603_ADJ_UNF_PENS_GOOD">#REF!</definedName>
    <definedName name="L_KEYWORD_ISSR_208000603_ASSOC_JV_ADDBK">#REF!</definedName>
    <definedName name="L_KEYWORD_ISSR_208000603_ASSOCIATE">#REF!</definedName>
    <definedName name="L_KEYWORD_ISSR_208000603_ASSOCIATE_OP">#REF!</definedName>
    <definedName name="L_KEYWORD_ISSR_208000603_BAL_MINO_INT">#REF!</definedName>
    <definedName name="L_KEYWORD_ISSR_208000603_CAP_LEASES">#REF!</definedName>
    <definedName name="L_KEYWORD_ISSR_208000603_CAPEX">#REF!</definedName>
    <definedName name="L_KEYWORD_ISSR_208000603_CAPEX_EXPANSION">#REF!</definedName>
    <definedName name="L_KEYWORD_ISSR_208000603_CAPEX_MAINTENANCE">#REF!</definedName>
    <definedName name="L_KEYWORD_ISSR_208000603_CASH_EQ">#REF!</definedName>
    <definedName name="L_KEYWORD_ISSR_208000603_CASH_INT_EXP">#REF!</definedName>
    <definedName name="L_KEYWORD_ISSR_208000603_CASH_TAX_EXP">#REF!</definedName>
    <definedName name="L_KEYWORD_ISSR_208000603_CF_FIN">#REF!</definedName>
    <definedName name="L_KEYWORD_ISSR_208000603_CF_INC_MINORITY">#REF!</definedName>
    <definedName name="L_KEYWORD_ISSR_208000603_CF_INV">#REF!</definedName>
    <definedName name="L_KEYWORD_ISSR_208000603_CF_OPS">#REF!</definedName>
    <definedName name="L_KEYWORD_ISSR_208000603_CHG_LT_DEBT">#REF!</definedName>
    <definedName name="L_KEYWORD_ISSR_208000603_CO_BOR_MARGIN">#REF!</definedName>
    <definedName name="L_KEYWORD_ISSR_208000603_COST_GD_SD">#REF!</definedName>
    <definedName name="L_KEYWORD_ISSR_208000603_CUR_ASS">#REF!</definedName>
    <definedName name="L_KEYWORD_ISSR_208000603_CURRENCY_ISO">#REF!</definedName>
    <definedName name="L_KEYWORD_ISSR_208000603_DEBTORS">#REF!</definedName>
    <definedName name="L_KEYWORD_ISSR_208000603_DEF_INC_TAX">#REF!</definedName>
    <definedName name="L_KEYWORD_ISSR_208000603_DEPR_AMORT">#REF!</definedName>
    <definedName name="L_KEYWORD_ISSR_208000603_DEPREC">#REF!</definedName>
    <definedName name="L_KEYWORD_ISSR_208000603_DIV_PAID">#REF!</definedName>
    <definedName name="L_KEYWORD_ISSR_208000603_DIVDS_ASSOC_JV">#REF!</definedName>
    <definedName name="L_KEYWORD_ISSR_208000603_DIVDS_PD_MINORITIES">#REF!</definedName>
    <definedName name="L_KEYWORD_ISSR_208000603_DIVEST">#REF!</definedName>
    <definedName name="L_KEYWORD_ISSR_208000603_EBIT">#REF!</definedName>
    <definedName name="L_KEYWORD_ISSR_208000603_EBIT_FIN_SEGMENT">#REF!</definedName>
    <definedName name="L_KEYWORD_ISSR_208000603_EBITDA_CALC">#REF!</definedName>
    <definedName name="L_KEYWORD_ISSR_208000603_EMPLOYEES">#REF!</definedName>
    <definedName name="L_KEYWORD_ISSR_208000603_EQ">#REF!</definedName>
    <definedName name="L_KEYWORD_ISSR_208000603_ESO_PRE_TAX">#REF!</definedName>
    <definedName name="L_KEYWORD_ISSR_208000603_FIX_ASS_INV">#REF!</definedName>
    <definedName name="L_KEYWORD_ISSR_208000603_GCI_INFL">#REF!</definedName>
    <definedName name="L_KEYWORD_ISSR_208000603_GOODWILL_AMORT">#REF!</definedName>
    <definedName name="L_KEYWORD_ISSR_208000603_GR_FIX_ASS">#REF!</definedName>
    <definedName name="L_KEYWORD_ISSR_208000603_GR_INTANG">#REF!</definedName>
    <definedName name="L_KEYWORD_ISSR_208000603_GROSS_GW">#REF!</definedName>
    <definedName name="L_KEYWORD_ISSR_208000603_GROSS_OTH_INTANG">#REF!</definedName>
    <definedName name="L_KEYWORD_ISSR_208000603_GT_BLEND_ARPU_PC">#REF!</definedName>
    <definedName name="L_KEYWORD_ISSR_208000603_GT_BLEND_MOU">#REF!</definedName>
    <definedName name="L_KEYWORD_ISSR_208000603_GT_CAPEX_MOU">#REF!</definedName>
    <definedName name="L_KEYWORD_ISSR_208000603_GT_DSL_SUB">#REF!</definedName>
    <definedName name="L_KEYWORD_ISSR_208000603_GT_FIX_DATA_REV">#REF!</definedName>
    <definedName name="L_KEYWORD_ISSR_208000603_GT_FIX_VOICE_REV">#REF!</definedName>
    <definedName name="L_KEYWORD_ISSR_208000603_GT_LD_SUB">#REF!</definedName>
    <definedName name="L_KEYWORD_ISSR_208000603_GT_MOB_DATA_REV">#REF!</definedName>
    <definedName name="L_KEYWORD_ISSR_208000603_GT_MOB_VOICE_REV">#REF!</definedName>
    <definedName name="L_KEYWORD_ISSR_208000603_GT_OTH_CAPEX">#REF!</definedName>
    <definedName name="L_KEYWORD_ISSR_208000603_GT_OTH_REV">#REF!</definedName>
    <definedName name="L_KEYWORD_ISSR_208000603_GT_OTHER_REV">#REF!</definedName>
    <definedName name="L_KEYWORD_ISSR_208000603_GT_PAY_TV_REV">#REF!</definedName>
    <definedName name="L_KEYWORD_ISSR_208000603_GT_SERVC_REV">#REF!</definedName>
    <definedName name="L_KEYWORD_ISSR_208000603_GT_TOT_ACC_LINE">#REF!</definedName>
    <definedName name="L_KEYWORD_ISSR_208000603_GT_TOT_BUS_LINE">#REF!</definedName>
    <definedName name="L_KEYWORD_ISSR_208000603_GT_TOT_MINS">#REF!</definedName>
    <definedName name="L_KEYWORD_ISSR_208000603_GT_TOT_PPD_SUB_PC">#REF!</definedName>
    <definedName name="L_KEYWORD_ISSR_208000603_GT_TOT_RES_LINE">#REF!</definedName>
    <definedName name="L_KEYWORD_ISSR_208000603_GT_TOT_RET_LINE">#REF!</definedName>
    <definedName name="L_KEYWORD_ISSR_208000603_GT_WRLN_CAPEX">#REF!</definedName>
    <definedName name="L_KEYWORD_ISSR_208000603_GT_WRLN_REV">#REF!</definedName>
    <definedName name="L_KEYWORD_ISSR_208000603_GT_WRLS_ARPU">#REF!</definedName>
    <definedName name="L_KEYWORD_ISSR_208000603_GT_WRLS_CAPEX">#REF!</definedName>
    <definedName name="L_KEYWORD_ISSR_208000603_GT_WRLS_CHURN">#REF!</definedName>
    <definedName name="L_KEYWORD_ISSR_208000603_GT_WRLS_REV">#REF!</definedName>
    <definedName name="L_KEYWORD_ISSR_208000603_GT_WRLS_SUB">#REF!</definedName>
    <definedName name="L_KEYWORD_ISSR_208000603_INT_EXP_IND">#REF!</definedName>
    <definedName name="L_KEYWORD_ISSR_208000603_INT_INC_IND">#REF!</definedName>
    <definedName name="L_KEYWORD_ISSR_208000603_INT_PAID_CF">#REF!</definedName>
    <definedName name="L_KEYWORD_ISSR_208000603_INTANG_CAPEX">#REF!</definedName>
    <definedName name="L_KEYWORD_ISSR_208000603_INV_SECUR">#REF!</definedName>
    <definedName name="L_KEYWORD_ISSR_208000603_Issuer_Name">#REF!</definedName>
    <definedName name="L_KEYWORD_ISSR_208000603_LEASE_DEEM_DEPR">#REF!</definedName>
    <definedName name="L_KEYWORD_ISSR_208000603_LEASE_DEEM_INT">#REF!</definedName>
    <definedName name="L_KEYWORD_ISSR_208000603_LEASE_PAY">#REF!</definedName>
    <definedName name="L_KEYWORD_ISSR_208000603_LT_DEBT">#REF!</definedName>
    <definedName name="L_KEYWORD_ISSR_208000603_MA_PROB">#REF!</definedName>
    <definedName name="L_KEYWORD_ISSR_208000603_MINORITIES">#REF!</definedName>
    <definedName name="L_KEYWORD_ISSR_208000603_MV_ASSOCIATES">#REF!</definedName>
    <definedName name="L_KEYWORD_ISSR_208000603_NET_DEBT">#REF!</definedName>
    <definedName name="L_KEYWORD_ISSR_208000603_NET_DEBT_ADJ">#REF!</definedName>
    <definedName name="L_KEYWORD_ISSR_208000603_NET_FIX_ASS">#REF!</definedName>
    <definedName name="L_KEYWORD_ISSR_208000603_NET_GW">#REF!</definedName>
    <definedName name="L_KEYWORD_ISSR_208000603_NET_INT_CH">#REF!</definedName>
    <definedName name="L_KEYWORD_ISSR_208000603_NET_INT_EXP">#REF!</definedName>
    <definedName name="L_KEYWORD_ISSR_208000603_NET_INTANG">#REF!</definedName>
    <definedName name="L_KEYWORD_ISSR_208000603_NET_OTH_INTANG">#REF!</definedName>
    <definedName name="L_KEYWORD_ISSR_208000603_NONPPE_CAPEX">#REF!</definedName>
    <definedName name="L_KEYWORD_ISSR_208000603_OP_AUSTRA">#REF!</definedName>
    <definedName name="L_KEYWORD_ISSR_208000603_OP_AUSTRIA">#REF!</definedName>
    <definedName name="L_KEYWORD_ISSR_208000603_OP_BEL">#REF!</definedName>
    <definedName name="L_KEYWORD_ISSR_208000603_OP_BRAZIL">#REF!</definedName>
    <definedName name="L_KEYWORD_ISSR_208000603_OP_CANADA">#REF!</definedName>
    <definedName name="L_KEYWORD_ISSR_208000603_OP_CEE">#REF!</definedName>
    <definedName name="L_KEYWORD_ISSR_208000603_OP_CHINA">#REF!</definedName>
    <definedName name="L_KEYWORD_ISSR_208000603_OP_CONS">#REF!</definedName>
    <definedName name="L_KEYWORD_ISSR_208000603_OP_COST">#REF!</definedName>
    <definedName name="L_KEYWORD_ISSR_208000603_OP_DEN">#REF!</definedName>
    <definedName name="L_KEYWORD_ISSR_208000603_OP_EU_EX_UK">#REF!</definedName>
    <definedName name="L_KEYWORD_ISSR_208000603_OP_FIN">#REF!</definedName>
    <definedName name="L_KEYWORD_ISSR_208000603_OP_FRA">#REF!</definedName>
    <definedName name="L_KEYWORD_ISSR_208000603_OP_GER">#REF!</definedName>
    <definedName name="L_KEYWORD_ISSR_208000603_OP_GOV">#REF!</definedName>
    <definedName name="L_KEYWORD_ISSR_208000603_OP_GRE">#REF!</definedName>
    <definedName name="L_KEYWORD_ISSR_208000603_OP_ICE">#REF!</definedName>
    <definedName name="L_KEYWORD_ISSR_208000603_OP_IND">#REF!</definedName>
    <definedName name="L_KEYWORD_ISSR_208000603_OP_INDIA">#REF!</definedName>
    <definedName name="L_KEYWORD_ISSR_208000603_OP_IRE">#REF!</definedName>
    <definedName name="L_KEYWORD_ISSR_208000603_OP_ITA">#REF!</definedName>
    <definedName name="L_KEYWORD_ISSR_208000603_OP_JAPAN">#REF!</definedName>
    <definedName name="L_KEYWORD_ISSR_208000603_OP_ME">#REF!</definedName>
    <definedName name="L_KEYWORD_ISSR_208000603_OP_NETH">#REF!</definedName>
    <definedName name="L_KEYWORD_ISSR_208000603_OP_NOR">#REF!</definedName>
    <definedName name="L_KEYWORD_ISSR_208000603_OP_NZ">#REF!</definedName>
    <definedName name="L_KEYWORD_ISSR_208000603_OP_OTH_AEJ">#REF!</definedName>
    <definedName name="L_KEYWORD_ISSR_208000603_OP_OTH_AM">#REF!</definedName>
    <definedName name="L_KEYWORD_ISSR_208000603_OP_OTH_EMEA">#REF!</definedName>
    <definedName name="L_KEYWORD_ISSR_208000603_OP_OTHER">#REF!</definedName>
    <definedName name="L_KEYWORD_ISSR_208000603_OP_POR">#REF!</definedName>
    <definedName name="L_KEYWORD_ISSR_208000603_OP_RUSSIA">#REF!</definedName>
    <definedName name="L_KEYWORD_ISSR_208000603_OP_SK">#REF!</definedName>
    <definedName name="L_KEYWORD_ISSR_208000603_OP_SPA">#REF!</definedName>
    <definedName name="L_KEYWORD_ISSR_208000603_OP_SWE">#REF!</definedName>
    <definedName name="L_KEYWORD_ISSR_208000603_OP_SWIT">#REF!</definedName>
    <definedName name="L_KEYWORD_ISSR_208000603_OP_TOT_AM">#REF!</definedName>
    <definedName name="L_KEYWORD_ISSR_208000603_OP_TOT_ASIA">#REF!</definedName>
    <definedName name="L_KEYWORD_ISSR_208000603_OP_TOT_EMEA">#REF!</definedName>
    <definedName name="L_KEYWORD_ISSR_208000603_OP_UK">#REF!</definedName>
    <definedName name="L_KEYWORD_ISSR_208000603_OP_US">#REF!</definedName>
    <definedName name="L_KEYWORD_ISSR_208000603_ORD_SH_FUND">#REF!</definedName>
    <definedName name="L_KEYWORD_ISSR_208000603_OTH_COST_INC">#REF!</definedName>
    <definedName name="L_KEYWORD_ISSR_208000603_OTH_CUR_ASS">#REF!</definedName>
    <definedName name="L_KEYWORD_ISSR_208000603_OTH_CUR_LIABS">#REF!</definedName>
    <definedName name="L_KEYWORD_ISSR_208000603_OTH_DACF_ADJ">#REF!</definedName>
    <definedName name="L_KEYWORD_ISSR_208000603_OTH_FIN_CF">#REF!</definedName>
    <definedName name="L_KEYWORD_ISSR_208000603_OTH_GCI_ADJ">#REF!</definedName>
    <definedName name="L_KEYWORD_ISSR_208000603_OTH_INV_CF">#REF!</definedName>
    <definedName name="L_KEYWORD_ISSR_208000603_OTH_LT_ASS">#REF!</definedName>
    <definedName name="L_KEYWORD_ISSR_208000603_OTH_LT_CRED_GQ">#REF!</definedName>
    <definedName name="L_KEYWORD_ISSR_208000603_OTH_NONCASH_ADJ">#REF!</definedName>
    <definedName name="L_KEYWORD_ISSR_208000603_OTH_OP_CF">#REF!</definedName>
    <definedName name="L_KEYWORD_ISSR_208000603_OTH_OP_INC_EXP">#REF!</definedName>
    <definedName name="L_KEYWORD_ISSR_208000603_PERIOD_MILESTONE">#REF!</definedName>
    <definedName name="L_KEYWORD_ISSR_208000603_PL_SALE_ASSETS">#REF!</definedName>
    <definedName name="L_KEYWORD_ISSR_208000603_PPNT_FCF">#REF!</definedName>
    <definedName name="L_KEYWORD_ISSR_208000603_PREF_SH">#REF!</definedName>
    <definedName name="L_KEYWORD_ISSR_208000603_PROFIT_ON_DISP">#REF!</definedName>
    <definedName name="L_KEYWORD_ISSR_208000603_PT_PROF">#REF!</definedName>
    <definedName name="L_KEYWORD_ISSR_208000603_RD_EXP">#REF!</definedName>
    <definedName name="L_KEYWORD_ISSR_208000603_REV_FIN_SEGMENT">#REF!</definedName>
    <definedName name="L_KEYWORD_ISSR_208000603_SALES">#REF!</definedName>
    <definedName name="L_KEYWORD_ISSR_208000603_SALES_AUSTRA">#REF!</definedName>
    <definedName name="L_KEYWORD_ISSR_208000603_SALES_AUSTRIA">#REF!</definedName>
    <definedName name="L_KEYWORD_ISSR_208000603_SALES_BEL">#REF!</definedName>
    <definedName name="L_KEYWORD_ISSR_208000603_SALES_BRAZIL">#REF!</definedName>
    <definedName name="L_KEYWORD_ISSR_208000603_SALES_CANADA">#REF!</definedName>
    <definedName name="L_KEYWORD_ISSR_208000603_SALES_CEE">#REF!</definedName>
    <definedName name="L_KEYWORD_ISSR_208000603_SALES_CHINA">#REF!</definedName>
    <definedName name="L_KEYWORD_ISSR_208000603_SALES_CONS">#REF!</definedName>
    <definedName name="L_KEYWORD_ISSR_208000603_SALES_DEN">#REF!</definedName>
    <definedName name="L_KEYWORD_ISSR_208000603_SALES_EU_EX_UK">#REF!</definedName>
    <definedName name="L_KEYWORD_ISSR_208000603_SALES_FIN">#REF!</definedName>
    <definedName name="L_KEYWORD_ISSR_208000603_SALES_FINAN">#REF!</definedName>
    <definedName name="L_KEYWORD_ISSR_208000603_SALES_FRA">#REF!</definedName>
    <definedName name="L_KEYWORD_ISSR_208000603_SALES_GER">#REF!</definedName>
    <definedName name="L_KEYWORD_ISSR_208000603_SALES_GOV">#REF!</definedName>
    <definedName name="L_KEYWORD_ISSR_208000603_SALES_GRE">#REF!</definedName>
    <definedName name="L_KEYWORD_ISSR_208000603_SALES_ICE">#REF!</definedName>
    <definedName name="L_KEYWORD_ISSR_208000603_SALES_IND">#REF!</definedName>
    <definedName name="L_KEYWORD_ISSR_208000603_SALES_INDIA">#REF!</definedName>
    <definedName name="L_KEYWORD_ISSR_208000603_SALES_IRE">#REF!</definedName>
    <definedName name="L_KEYWORD_ISSR_208000603_SALES_ITA">#REF!</definedName>
    <definedName name="L_KEYWORD_ISSR_208000603_SALES_JAPAN">#REF!</definedName>
    <definedName name="L_KEYWORD_ISSR_208000603_SALES_ME">#REF!</definedName>
    <definedName name="L_KEYWORD_ISSR_208000603_SALES_NETH">#REF!</definedName>
    <definedName name="L_KEYWORD_ISSR_208000603_SALES_NOR">#REF!</definedName>
    <definedName name="L_KEYWORD_ISSR_208000603_SALES_NZ">#REF!</definedName>
    <definedName name="L_KEYWORD_ISSR_208000603_SALES_OTH_AEJ">#REF!</definedName>
    <definedName name="L_KEYWORD_ISSR_208000603_SALES_OTH_AM">#REF!</definedName>
    <definedName name="L_KEYWORD_ISSR_208000603_SALES_OTH_EMEA">#REF!</definedName>
    <definedName name="L_KEYWORD_ISSR_208000603_SALES_OTHER">#REF!</definedName>
    <definedName name="L_KEYWORD_ISSR_208000603_SALES_POR">#REF!</definedName>
    <definedName name="L_KEYWORD_ISSR_208000603_SALES_RUSSIA">#REF!</definedName>
    <definedName name="L_KEYWORD_ISSR_208000603_SALES_SK">#REF!</definedName>
    <definedName name="L_KEYWORD_ISSR_208000603_SALES_SMB">#REF!</definedName>
    <definedName name="L_KEYWORD_ISSR_208000603_SALES_SPA">#REF!</definedName>
    <definedName name="L_KEYWORD_ISSR_208000603_SALES_SWE">#REF!</definedName>
    <definedName name="L_KEYWORD_ISSR_208000603_SALES_SWIT">#REF!</definedName>
    <definedName name="L_KEYWORD_ISSR_208000603_SALES_TOT_AM">#REF!</definedName>
    <definedName name="L_KEYWORD_ISSR_208000603_SALES_TOT_ASIA">#REF!</definedName>
    <definedName name="L_KEYWORD_ISSR_208000603_SALES_TOT_EMEA">#REF!</definedName>
    <definedName name="L_KEYWORD_ISSR_208000603_SALES_UK">#REF!</definedName>
    <definedName name="L_KEYWORD_ISSR_208000603_SALES_US">#REF!</definedName>
    <definedName name="L_KEYWORD_ISSR_208000603_SEL_GL_AD">#REF!</definedName>
    <definedName name="L_KEYWORD_ISSR_208000603_SH_REPUR">#REF!</definedName>
    <definedName name="L_KEYWORD_ISSR_208000603_SHORT_T_DEBT">#REF!</definedName>
    <definedName name="L_KEYWORD_ISSR_208000603_SHORT_TERM_LIABS">#REF!</definedName>
    <definedName name="L_KEYWORD_ISSR_208000603_STOCKS">#REF!</definedName>
    <definedName name="L_KEYWORD_ISSR_208000603_TANG_CAPEX">#REF!</definedName>
    <definedName name="L_KEYWORD_ISSR_208000603_TAX_PAID_CF">#REF!</definedName>
    <definedName name="L_KEYWORD_ISSR_208000603_TOT_ASSET">#REF!</definedName>
    <definedName name="L_KEYWORD_ISSR_208000603_TOT_CF">#REF!</definedName>
    <definedName name="L_KEYWORD_ISSR_208000603_TOT_LIAB">#REF!</definedName>
    <definedName name="L_KEYWORD_ISSR_208000603_TOT_LIAB_EQ">#REF!</definedName>
    <definedName name="L_KEYWORD_ISSR_208000603_TOT_LT_LIAB">#REF!</definedName>
    <definedName name="L_KEYWORD_ISSR_208000603_TOT_OPS_EXP">#REF!</definedName>
    <definedName name="L_KEYWORD_ISSR_208000603_TOT_OPS_EXP_DDA">#REF!</definedName>
    <definedName name="L_KEYWORD_ISSR_208000603_UNF_PENS">#REF!</definedName>
    <definedName name="L_KEYWORD_ISSR_208000603_UNF_PENS_LIAB_OTH">#REF!</definedName>
    <definedName name="L_KEYWORD_ISSR_208000603_UNF_PENS_OFF">#REF!</definedName>
    <definedName name="L_KEYWORD_ISSR_208000603_WORK_CAP">#REF!</definedName>
    <definedName name="L_KEYWORD_ISSR_208000976_ACC_AMORT">#REF!</definedName>
    <definedName name="L_KEYWORD_ISSR_208000976_ACC_DDA">#REF!</definedName>
    <definedName name="L_KEYWORD_ISSR_208000976_ACC_END_DATE">#REF!</definedName>
    <definedName name="L_KEYWORD_ISSR_208000976_ACC_PAY_GQ">#REF!</definedName>
    <definedName name="L_KEYWORD_ISSR_208000976_ACQ">#REF!</definedName>
    <definedName name="L_KEYWORD_ISSR_208000976_ADJ_UNF_PENS_GOOD">#REF!</definedName>
    <definedName name="L_KEYWORD_ISSR_208000976_ASSOC_JV_ADDBK">#REF!</definedName>
    <definedName name="L_KEYWORD_ISSR_208000976_ASSOCIATE">#REF!</definedName>
    <definedName name="L_KEYWORD_ISSR_208000976_ASSOCIATE_OP">#REF!</definedName>
    <definedName name="L_KEYWORD_ISSR_208000976_BAL_MINO_INT">#REF!</definedName>
    <definedName name="L_KEYWORD_ISSR_208000976_CAP_LEASES">#REF!</definedName>
    <definedName name="L_KEYWORD_ISSR_208000976_CAPEX">#REF!</definedName>
    <definedName name="L_KEYWORD_ISSR_208000976_CAPEX_EXPANSION">#REF!</definedName>
    <definedName name="L_KEYWORD_ISSR_208000976_CAPEX_MAINTENANCE">#REF!</definedName>
    <definedName name="L_KEYWORD_ISSR_208000976_CASH_EQ">#REF!</definedName>
    <definedName name="L_KEYWORD_ISSR_208000976_CASH_INT_EXP">#REF!</definedName>
    <definedName name="L_KEYWORD_ISSR_208000976_CASH_PCT_OS_US">#REF!</definedName>
    <definedName name="L_KEYWORD_ISSR_208000976_CASH_TAX_EXP">#REF!</definedName>
    <definedName name="L_KEYWORD_ISSR_208000976_CF_FIN">#REF!</definedName>
    <definedName name="L_KEYWORD_ISSR_208000976_CF_INC_MINORITY">#REF!</definedName>
    <definedName name="L_KEYWORD_ISSR_208000976_CF_INV">#REF!</definedName>
    <definedName name="L_KEYWORD_ISSR_208000976_CF_OPS">#REF!</definedName>
    <definedName name="L_KEYWORD_ISSR_208000976_CHG_LT_DEBT">#REF!</definedName>
    <definedName name="L_KEYWORD_ISSR_208000976_CO_BOR_MARGIN">#REF!</definedName>
    <definedName name="L_KEYWORD_ISSR_208000976_COST_GD_SD">#REF!</definedName>
    <definedName name="L_KEYWORD_ISSR_208000976_CUR_ASS">#REF!</definedName>
    <definedName name="L_KEYWORD_ISSR_208000976_CURRENCY_ISO">#REF!</definedName>
    <definedName name="L_KEYWORD_ISSR_208000976_DEBTORS">#REF!</definedName>
    <definedName name="L_KEYWORD_ISSR_208000976_DEF_INC_TAX">#REF!</definedName>
    <definedName name="L_KEYWORD_ISSR_208000976_DEPR_AMORT">#REF!</definedName>
    <definedName name="L_KEYWORD_ISSR_208000976_DEPREC">#REF!</definedName>
    <definedName name="L_KEYWORD_ISSR_208000976_DIV_PAID">#REF!</definedName>
    <definedName name="L_KEYWORD_ISSR_208000976_DIVDS_ASSOC_JV">#REF!</definedName>
    <definedName name="L_KEYWORD_ISSR_208000976_DIVDS_PD_MINORITIES">#REF!</definedName>
    <definedName name="L_KEYWORD_ISSR_208000976_DIVEST">#REF!</definedName>
    <definedName name="L_KEYWORD_ISSR_208000976_EBIT">#REF!</definedName>
    <definedName name="L_KEYWORD_ISSR_208000976_EBIT_FIN_SEGMENT">#REF!</definedName>
    <definedName name="L_KEYWORD_ISSR_208000976_EBITDA_CALC">#REF!</definedName>
    <definedName name="L_KEYWORD_ISSR_208000976_EMPLOYEES">#REF!</definedName>
    <definedName name="L_KEYWORD_ISSR_208000976_EQ">#REF!</definedName>
    <definedName name="L_KEYWORD_ISSR_208000976_ESO_PRE_TAX">#REF!</definedName>
    <definedName name="L_KEYWORD_ISSR_208000976_EXP_ALUMINIUM">#REF!</definedName>
    <definedName name="L_KEYWORD_ISSR_208000976_EXP_COPPER">#REF!</definedName>
    <definedName name="L_KEYWORD_ISSR_208000976_EXP_GLASS">#REF!</definedName>
    <definedName name="L_KEYWORD_ISSR_208000976_EXP_GOLD">#REF!</definedName>
    <definedName name="L_KEYWORD_ISSR_208000976_EXP_NICKEL">#REF!</definedName>
    <definedName name="L_KEYWORD_ISSR_208000976_EXP_OIL_DERIV_NGLS_PLASTICS">#REF!</definedName>
    <definedName name="L_KEYWORD_ISSR_208000976_EXP_OIL_PETRO_FUEL">#REF!</definedName>
    <definedName name="L_KEYWORD_ISSR_208000976_EXP_OTH_COMMODITY">#REF!</definedName>
    <definedName name="L_KEYWORD_ISSR_208000976_EXP_OTH_COST">#REF!</definedName>
    <definedName name="L_KEYWORD_ISSR_208000976_EXP_PALLADIUM">#REF!</definedName>
    <definedName name="L_KEYWORD_ISSR_208000976_EXP_PAPER_PULP">#REF!</definedName>
    <definedName name="L_KEYWORD_ISSR_208000976_EXP_PLATINUM">#REF!</definedName>
    <definedName name="L_KEYWORD_ISSR_208000976_EXP_SILVER">#REF!</definedName>
    <definedName name="L_KEYWORD_ISSR_208000976_EXP_WATER">#REF!</definedName>
    <definedName name="L_KEYWORD_ISSR_208000976_EXP_ZINC">#REF!</definedName>
    <definedName name="L_KEYWORD_ISSR_208000976_FIX_ASS_INV">#REF!</definedName>
    <definedName name="L_KEYWORD_ISSR_208000976_GCI_INFL">#REF!</definedName>
    <definedName name="L_KEYWORD_ISSR_208000976_GOODWILL_AMORT">#REF!</definedName>
    <definedName name="L_KEYWORD_ISSR_208000976_GR_FIX_ASS">#REF!</definedName>
    <definedName name="L_KEYWORD_ISSR_208000976_GR_INTANG">#REF!</definedName>
    <definedName name="L_KEYWORD_ISSR_208000976_INT_EXP_IND">#REF!</definedName>
    <definedName name="L_KEYWORD_ISSR_208000976_INT_INC_IND">#REF!</definedName>
    <definedName name="L_KEYWORD_ISSR_208000976_INV_SECUR">#REF!</definedName>
    <definedName name="L_KEYWORD_ISSR_208000976_Issuer_Name">#REF!</definedName>
    <definedName name="L_KEYWORD_ISSR_208000976_LEASE_DEEM_DEPR">#REF!</definedName>
    <definedName name="L_KEYWORD_ISSR_208000976_LEASE_DEEM_INT">#REF!</definedName>
    <definedName name="L_KEYWORD_ISSR_208000976_LEASE_PAY">#REF!</definedName>
    <definedName name="L_KEYWORD_ISSR_208000976_LT_DEBT">#REF!</definedName>
    <definedName name="L_KEYWORD_ISSR_208000976_MA_PROB">#REF!</definedName>
    <definedName name="L_KEYWORD_ISSR_208000976_MINORITIES">#REF!</definedName>
    <definedName name="L_KEYWORD_ISSR_208000976_MV_ASSOCIATES">#REF!</definedName>
    <definedName name="L_KEYWORD_ISSR_208000976_NET_DEBT">#REF!</definedName>
    <definedName name="L_KEYWORD_ISSR_208000976_NET_DEBT_ADJ">#REF!</definedName>
    <definedName name="L_KEYWORD_ISSR_208000976_NET_FIX_ASS">#REF!</definedName>
    <definedName name="L_KEYWORD_ISSR_208000976_NET_INT_CH">#REF!</definedName>
    <definedName name="L_KEYWORD_ISSR_208000976_NET_INT_EXP">#REF!</definedName>
    <definedName name="L_KEYWORD_ISSR_208000976_NET_INTANG">#REF!</definedName>
    <definedName name="L_KEYWORD_ISSR_208000976_NONPPE_CAPEX">#REF!</definedName>
    <definedName name="L_KEYWORD_ISSR_208000976_OP_COST">#REF!</definedName>
    <definedName name="L_KEYWORD_ISSR_208000976_ORD_SH_FUND">#REF!</definedName>
    <definedName name="L_KEYWORD_ISSR_208000976_ORG_REV_GRTH">#REF!</definedName>
    <definedName name="L_KEYWORD_ISSR_208000976_OTH_COST_INC">#REF!</definedName>
    <definedName name="L_KEYWORD_ISSR_208000976_OTH_CUR_ASS">#REF!</definedName>
    <definedName name="L_KEYWORD_ISSR_208000976_OTH_CUR_LIABS">#REF!</definedName>
    <definedName name="L_KEYWORD_ISSR_208000976_OTH_DACF_ADJ">#REF!</definedName>
    <definedName name="L_KEYWORD_ISSR_208000976_OTH_FIN_CF">#REF!</definedName>
    <definedName name="L_KEYWORD_ISSR_208000976_OTH_GCI_ADJ">#REF!</definedName>
    <definedName name="L_KEYWORD_ISSR_208000976_OTH_INV_CF">#REF!</definedName>
    <definedName name="L_KEYWORD_ISSR_208000976_OTH_LT_ASS">#REF!</definedName>
    <definedName name="L_KEYWORD_ISSR_208000976_OTH_LT_CRED_GQ">#REF!</definedName>
    <definedName name="L_KEYWORD_ISSR_208000976_OTH_NONCASH_ADJ">#REF!</definedName>
    <definedName name="L_KEYWORD_ISSR_208000976_OTH_OP_CF">#REF!</definedName>
    <definedName name="L_KEYWORD_ISSR_208000976_OTH_OP_INC_EXP">#REF!</definedName>
    <definedName name="L_KEYWORD_ISSR_208000976_PERIOD_MILESTONE">#REF!</definedName>
    <definedName name="L_KEYWORD_ISSR_208000976_PL_SALE_ASSETS">#REF!</definedName>
    <definedName name="L_KEYWORD_ISSR_208000976_PREF_SH">#REF!</definedName>
    <definedName name="L_KEYWORD_ISSR_208000976_PROFIT_ON_DISP">#REF!</definedName>
    <definedName name="L_KEYWORD_ISSR_208000976_PT_PROF">#REF!</definedName>
    <definedName name="L_KEYWORD_ISSR_208000976_RD_EXP">#REF!</definedName>
    <definedName name="L_KEYWORD_ISSR_208000976_REV_FIN_SEGMENT">#REF!</definedName>
    <definedName name="L_KEYWORD_ISSR_208000976_SALES">#REF!</definedName>
    <definedName name="L_KEYWORD_ISSR_208000976_SALES_ARGENTINA">#REF!</definedName>
    <definedName name="L_KEYWORD_ISSR_208000976_SALES_BRAZIL">#REF!</definedName>
    <definedName name="L_KEYWORD_ISSR_208000976_SALES_CANADA">#REF!</definedName>
    <definedName name="L_KEYWORD_ISSR_208000976_SALES_CEE">#REF!</definedName>
    <definedName name="L_KEYWORD_ISSR_208000976_SALES_CHILE">#REF!</definedName>
    <definedName name="L_KEYWORD_ISSR_208000976_SALES_CHINA">#REF!</definedName>
    <definedName name="L_KEYWORD_ISSR_208000976_SALES_COLOMBIA">#REF!</definedName>
    <definedName name="L_KEYWORD_ISSR_208000976_SALES_CONS">#REF!</definedName>
    <definedName name="L_KEYWORD_ISSR_208000976_SALES_EU_EX_UK">#REF!</definedName>
    <definedName name="L_KEYWORD_ISSR_208000976_SALES_FINAN">#REF!</definedName>
    <definedName name="L_KEYWORD_ISSR_208000976_SALES_FX_ARS">#REF!</definedName>
    <definedName name="L_KEYWORD_ISSR_208000976_SALES_FX_BRL">#REF!</definedName>
    <definedName name="L_KEYWORD_ISSR_208000976_SALES_FX_CAD">#REF!</definedName>
    <definedName name="L_KEYWORD_ISSR_208000976_SALES_FX_CLP">#REF!</definedName>
    <definedName name="L_KEYWORD_ISSR_208000976_SALES_FX_CNY">#REF!</definedName>
    <definedName name="L_KEYWORD_ISSR_208000976_SALES_FX_COP">#REF!</definedName>
    <definedName name="L_KEYWORD_ISSR_208000976_SALES_FX_EUR">#REF!</definedName>
    <definedName name="L_KEYWORD_ISSR_208000976_SALES_FX_GPB">#REF!</definedName>
    <definedName name="L_KEYWORD_ISSR_208000976_SALES_FX_INR">#REF!</definedName>
    <definedName name="L_KEYWORD_ISSR_208000976_SALES_FX_MXN">#REF!</definedName>
    <definedName name="L_KEYWORD_ISSR_208000976_SALES_FX_OTH">#REF!</definedName>
    <definedName name="L_KEYWORD_ISSR_208000976_SALES_FX_RUB">#REF!</definedName>
    <definedName name="L_KEYWORD_ISSR_208000976_SALES_FX_USD">#REF!</definedName>
    <definedName name="L_KEYWORD_ISSR_208000976_SALES_FX_VEF">#REF!</definedName>
    <definedName name="L_KEYWORD_ISSR_208000976_SALES_FX_YEN">#REF!</definedName>
    <definedName name="L_KEYWORD_ISSR_208000976_SALES_GOV">#REF!</definedName>
    <definedName name="L_KEYWORD_ISSR_208000976_SALES_IND">#REF!</definedName>
    <definedName name="L_KEYWORD_ISSR_208000976_SALES_INDIA">#REF!</definedName>
    <definedName name="L_KEYWORD_ISSR_208000976_SALES_JAPAN">#REF!</definedName>
    <definedName name="L_KEYWORD_ISSR_208000976_SALES_ME">#REF!</definedName>
    <definedName name="L_KEYWORD_ISSR_208000976_SALES_MEXICO">#REF!</definedName>
    <definedName name="L_KEYWORD_ISSR_208000976_SALES_OTH_AEJ">#REF!</definedName>
    <definedName name="L_KEYWORD_ISSR_208000976_SALES_OTH_AM">#REF!</definedName>
    <definedName name="L_KEYWORD_ISSR_208000976_SALES_OTH_EMEA">#REF!</definedName>
    <definedName name="L_KEYWORD_ISSR_208000976_SALES_OTHER">#REF!</definedName>
    <definedName name="L_KEYWORD_ISSR_208000976_SALES_RUSSIA">#REF!</definedName>
    <definedName name="L_KEYWORD_ISSR_208000976_SALES_SMB">#REF!</definedName>
    <definedName name="L_KEYWORD_ISSR_208000976_SALES_TOT_AFRICA">#REF!</definedName>
    <definedName name="L_KEYWORD_ISSR_208000976_SALES_TOT_AM">#REF!</definedName>
    <definedName name="L_KEYWORD_ISSR_208000976_SALES_TOT_ASIA">#REF!</definedName>
    <definedName name="L_KEYWORD_ISSR_208000976_SALES_TOT_EMEA">#REF!</definedName>
    <definedName name="L_KEYWORD_ISSR_208000976_SALES_UK">#REF!</definedName>
    <definedName name="L_KEYWORD_ISSR_208000976_SALES_US">#REF!</definedName>
    <definedName name="L_KEYWORD_ISSR_208000976_SALES_VENEZUELA">#REF!</definedName>
    <definedName name="L_KEYWORD_ISSR_208000976_SEL_GL_AD">#REF!</definedName>
    <definedName name="L_KEYWORD_ISSR_208000976_SH_REPUR">#REF!</definedName>
    <definedName name="L_KEYWORD_ISSR_208000976_SHORT_T_DEBT">#REF!</definedName>
    <definedName name="L_KEYWORD_ISSR_208000976_SHORT_TERM_LIABS">#REF!</definedName>
    <definedName name="L_KEYWORD_ISSR_208000976_STOCKS">#REF!</definedName>
    <definedName name="L_KEYWORD_ISSR_208000976_TOT_ASSET">#REF!</definedName>
    <definedName name="L_KEYWORD_ISSR_208000976_TOT_CF">#REF!</definedName>
    <definedName name="L_KEYWORD_ISSR_208000976_TOT_LIAB">#REF!</definedName>
    <definedName name="L_KEYWORD_ISSR_208000976_TOT_LIAB_EQ">#REF!</definedName>
    <definedName name="L_KEYWORD_ISSR_208000976_TOT_LT_LIAB">#REF!</definedName>
    <definedName name="L_KEYWORD_ISSR_208000976_TOT_OPS_EXP">#REF!</definedName>
    <definedName name="L_KEYWORD_ISSR_208000976_TOT_OPS_EXP_DDA">#REF!</definedName>
    <definedName name="L_KEYWORD_ISSR_208000976_UNF_PENS">#REF!</definedName>
    <definedName name="L_KEYWORD_ISSR_208000976_UNF_PENS_LIAB_OTH">#REF!</definedName>
    <definedName name="L_KEYWORD_ISSR_208000976_UNF_PENS_OFF">#REF!</definedName>
    <definedName name="L_KEYWORD_ISSR_208000976_WORK_CAP">#REF!</definedName>
    <definedName name="L_KEYWORD_ISSR_208001048_ORG_REV_GRTH">#REF!</definedName>
    <definedName name="L_KEYWORD_ISSR_208001258_ACC_AMORT">#REF!</definedName>
    <definedName name="L_KEYWORD_ISSR_208001258_ACC_DDA">#REF!</definedName>
    <definedName name="L_KEYWORD_ISSR_208001258_ACC_END_DATE">#REF!</definedName>
    <definedName name="L_KEYWORD_ISSR_208001258_ACC_PAY_GQ">#REF!</definedName>
    <definedName name="L_KEYWORD_ISSR_208001258_ACQ">#REF!</definedName>
    <definedName name="L_KEYWORD_ISSR_208001258_ADJ_UNF_PENS_GOOD">#REF!</definedName>
    <definedName name="L_KEYWORD_ISSR_208001258_ASSOC_JV_ADDBK">#REF!</definedName>
    <definedName name="L_KEYWORD_ISSR_208001258_ASSOCIATE">#REF!</definedName>
    <definedName name="L_KEYWORD_ISSR_208001258_ASSOCIATE_OP">#REF!</definedName>
    <definedName name="L_KEYWORD_ISSR_208001258_BAL_MINO_INT">#REF!</definedName>
    <definedName name="L_KEYWORD_ISSR_208001258_CAP_LEASES">#REF!</definedName>
    <definedName name="L_KEYWORD_ISSR_208001258_CAPEX">#REF!</definedName>
    <definedName name="L_KEYWORD_ISSR_208001258_CAPEX_EXPANSION">#REF!</definedName>
    <definedName name="L_KEYWORD_ISSR_208001258_CAPEX_MAINTENANCE">#REF!</definedName>
    <definedName name="L_KEYWORD_ISSR_208001258_CASH_EQ">#REF!</definedName>
    <definedName name="L_KEYWORD_ISSR_208001258_CASH_INT_EXP">#REF!</definedName>
    <definedName name="L_KEYWORD_ISSR_208001258_CASH_PCT_OS_US">#REF!</definedName>
    <definedName name="L_KEYWORD_ISSR_208001258_CASH_TAX_EXP">#REF!</definedName>
    <definedName name="L_KEYWORD_ISSR_208001258_CF_FIN">#REF!</definedName>
    <definedName name="L_KEYWORD_ISSR_208001258_CF_INC_MINORITY">#REF!</definedName>
    <definedName name="L_KEYWORD_ISSR_208001258_CF_INV">#REF!</definedName>
    <definedName name="L_KEYWORD_ISSR_208001258_CF_OPS">#REF!</definedName>
    <definedName name="L_KEYWORD_ISSR_208001258_CHG_LT_DEBT">#REF!</definedName>
    <definedName name="L_KEYWORD_ISSR_208001258_CO_BOR_MARGIN">#REF!</definedName>
    <definedName name="L_KEYWORD_ISSR_208001258_COST_GD_SD">#REF!</definedName>
    <definedName name="L_KEYWORD_ISSR_208001258_CUR_ASS">#REF!</definedName>
    <definedName name="L_KEYWORD_ISSR_208001258_CURRENCY_ISO">#REF!</definedName>
    <definedName name="L_KEYWORD_ISSR_208001258_DEBTORS">#REF!</definedName>
    <definedName name="L_KEYWORD_ISSR_208001258_DEF_INC_TAX">#REF!</definedName>
    <definedName name="L_KEYWORD_ISSR_208001258_DEPR_AMORT">#REF!</definedName>
    <definedName name="L_KEYWORD_ISSR_208001258_DEPREC">#REF!</definedName>
    <definedName name="L_KEYWORD_ISSR_208001258_DIV_PAID">#REF!</definedName>
    <definedName name="L_KEYWORD_ISSR_208001258_DIVDS_ASSOC_JV">#REF!</definedName>
    <definedName name="L_KEYWORD_ISSR_208001258_DIVDS_PD_MINORITIES">#REF!</definedName>
    <definedName name="L_KEYWORD_ISSR_208001258_DIVEST">#REF!</definedName>
    <definedName name="L_KEYWORD_ISSR_208001258_EBIT">#REF!</definedName>
    <definedName name="L_KEYWORD_ISSR_208001258_EBIT_FIN_SEGMENT">#REF!</definedName>
    <definedName name="L_KEYWORD_ISSR_208001258_EBITDA_CALC">#REF!</definedName>
    <definedName name="L_KEYWORD_ISSR_208001258_EMPLOYEES">#REF!</definedName>
    <definedName name="L_KEYWORD_ISSR_208001258_EQ">#REF!</definedName>
    <definedName name="L_KEYWORD_ISSR_208001258_ESO_PRE_TAX">#REF!</definedName>
    <definedName name="L_KEYWORD_ISSR_208001258_EXP_ALUMINIUM">#REF!</definedName>
    <definedName name="L_KEYWORD_ISSR_208001258_EXP_COPPER">#REF!</definedName>
    <definedName name="L_KEYWORD_ISSR_208001258_EXP_GLASS">#REF!</definedName>
    <definedName name="L_KEYWORD_ISSR_208001258_EXP_GOLD">#REF!</definedName>
    <definedName name="L_KEYWORD_ISSR_208001258_EXP_NICKEL">#REF!</definedName>
    <definedName name="L_KEYWORD_ISSR_208001258_EXP_OIL_DERIV_NGLS_PLASTICS">#REF!</definedName>
    <definedName name="L_KEYWORD_ISSR_208001258_EXP_OIL_PETRO_FUEL">#REF!</definedName>
    <definedName name="L_KEYWORD_ISSR_208001258_EXP_OTH_COMMODITY">#REF!</definedName>
    <definedName name="L_KEYWORD_ISSR_208001258_EXP_OTH_COST">#REF!</definedName>
    <definedName name="L_KEYWORD_ISSR_208001258_EXP_PALLADIUM">#REF!</definedName>
    <definedName name="L_KEYWORD_ISSR_208001258_EXP_PAPER_PULP">#REF!</definedName>
    <definedName name="L_KEYWORD_ISSR_208001258_EXP_PLATINUM">#REF!</definedName>
    <definedName name="L_KEYWORD_ISSR_208001258_EXP_SILVER">#REF!</definedName>
    <definedName name="L_KEYWORD_ISSR_208001258_EXP_WATER">#REF!</definedName>
    <definedName name="L_KEYWORD_ISSR_208001258_EXP_ZINC">#REF!</definedName>
    <definedName name="L_KEYWORD_ISSR_208001258_FIX_ASS_INV">#REF!</definedName>
    <definedName name="L_KEYWORD_ISSR_208001258_GCI_INFL">#REF!</definedName>
    <definedName name="L_KEYWORD_ISSR_208001258_GOODWILL_AMORT">#REF!</definedName>
    <definedName name="L_KEYWORD_ISSR_208001258_GR_FIX_ASS">#REF!</definedName>
    <definedName name="L_KEYWORD_ISSR_208001258_GR_INTANG">#REF!</definedName>
    <definedName name="L_KEYWORD_ISSR_208001258_INT_EXP_IND">#REF!</definedName>
    <definedName name="L_KEYWORD_ISSR_208001258_INT_INC_IND">#REF!</definedName>
    <definedName name="L_KEYWORD_ISSR_208001258_INV_SECUR">#REF!</definedName>
    <definedName name="L_KEYWORD_ISSR_208001258_Issuer_Name">#REF!</definedName>
    <definedName name="L_KEYWORD_ISSR_208001258_LEASE_DEEM_DEPR">#REF!</definedName>
    <definedName name="L_KEYWORD_ISSR_208001258_LEASE_DEEM_INT">#REF!</definedName>
    <definedName name="L_KEYWORD_ISSR_208001258_LEASE_PAY">#REF!</definedName>
    <definedName name="L_KEYWORD_ISSR_208001258_LT_DEBT">#REF!</definedName>
    <definedName name="L_KEYWORD_ISSR_208001258_MA_PROB">#REF!</definedName>
    <definedName name="L_KEYWORD_ISSR_208001258_MINORITIES">#REF!</definedName>
    <definedName name="L_KEYWORD_ISSR_208001258_MV_ASSOCIATES">#REF!</definedName>
    <definedName name="L_KEYWORD_ISSR_208001258_NET_DEBT">#REF!</definedName>
    <definedName name="L_KEYWORD_ISSR_208001258_NET_DEBT_ADJ">#REF!</definedName>
    <definedName name="L_KEYWORD_ISSR_208001258_NET_FIX_ASS">#REF!</definedName>
    <definedName name="L_KEYWORD_ISSR_208001258_NET_INT_CH">#REF!</definedName>
    <definedName name="L_KEYWORD_ISSR_208001258_NET_INT_EXP">#REF!</definedName>
    <definedName name="L_KEYWORD_ISSR_208001258_NET_INTANG">#REF!</definedName>
    <definedName name="L_KEYWORD_ISSR_208001258_NONPPE_CAPEX">#REF!</definedName>
    <definedName name="L_KEYWORD_ISSR_208001258_OP_COST">#REF!</definedName>
    <definedName name="L_KEYWORD_ISSR_208001258_ORD_SH_FUND">#REF!</definedName>
    <definedName name="L_KEYWORD_ISSR_208001258_ORG_REV_GRTH">#REF!</definedName>
    <definedName name="L_KEYWORD_ISSR_208001258_OTH_COST_INC">#REF!</definedName>
    <definedName name="L_KEYWORD_ISSR_208001258_OTH_CUR_ASS">#REF!</definedName>
    <definedName name="L_KEYWORD_ISSR_208001258_OTH_CUR_LIABS">#REF!</definedName>
    <definedName name="L_KEYWORD_ISSR_208001258_OTH_DACF_ADJ">#REF!</definedName>
    <definedName name="L_KEYWORD_ISSR_208001258_OTH_FIN_CF">#REF!</definedName>
    <definedName name="L_KEYWORD_ISSR_208001258_OTH_GCI_ADJ">#REF!</definedName>
    <definedName name="L_KEYWORD_ISSR_208001258_OTH_INV_CF">#REF!</definedName>
    <definedName name="L_KEYWORD_ISSR_208001258_OTH_LT_ASS">#REF!</definedName>
    <definedName name="L_KEYWORD_ISSR_208001258_OTH_LT_CRED_GQ">#REF!</definedName>
    <definedName name="L_KEYWORD_ISSR_208001258_OTH_NONCASH_ADJ">#REF!</definedName>
    <definedName name="L_KEYWORD_ISSR_208001258_OTH_OP_CF">#REF!</definedName>
    <definedName name="L_KEYWORD_ISSR_208001258_OTH_OP_INC_EXP">#REF!</definedName>
    <definedName name="L_KEYWORD_ISSR_208001258_PERIOD_MILESTONE">#REF!</definedName>
    <definedName name="L_KEYWORD_ISSR_208001258_PL_SALE_ASSETS">#REF!</definedName>
    <definedName name="L_KEYWORD_ISSR_208001258_PREF_SH">#REF!</definedName>
    <definedName name="L_KEYWORD_ISSR_208001258_PROFIT_ON_DISP">#REF!</definedName>
    <definedName name="L_KEYWORD_ISSR_208001258_PT_PROF">#REF!</definedName>
    <definedName name="L_KEYWORD_ISSR_208001258_RD_EXP">#REF!</definedName>
    <definedName name="L_KEYWORD_ISSR_208001258_REV_FIN_SEGMENT">#REF!</definedName>
    <definedName name="L_KEYWORD_ISSR_208001258_SALES">#REF!</definedName>
    <definedName name="L_KEYWORD_ISSR_208001258_SALES_ARGENTINA">#REF!</definedName>
    <definedName name="L_KEYWORD_ISSR_208001258_SALES_BRAZIL">#REF!</definedName>
    <definedName name="L_KEYWORD_ISSR_208001258_SALES_CANADA">#REF!</definedName>
    <definedName name="L_KEYWORD_ISSR_208001258_SALES_CEE">#REF!</definedName>
    <definedName name="L_KEYWORD_ISSR_208001258_SALES_CHILE">#REF!</definedName>
    <definedName name="L_KEYWORD_ISSR_208001258_SALES_CHINA">#REF!</definedName>
    <definedName name="L_KEYWORD_ISSR_208001258_SALES_COLOMBIA">#REF!</definedName>
    <definedName name="L_KEYWORD_ISSR_208001258_SALES_CONS">#REF!</definedName>
    <definedName name="L_KEYWORD_ISSR_208001258_SALES_EU_EX_UK">#REF!</definedName>
    <definedName name="L_KEYWORD_ISSR_208001258_SALES_FINAN">#REF!</definedName>
    <definedName name="L_KEYWORD_ISSR_208001258_SALES_FX_ARS">#REF!</definedName>
    <definedName name="L_KEYWORD_ISSR_208001258_SALES_FX_BRL">#REF!</definedName>
    <definedName name="L_KEYWORD_ISSR_208001258_SALES_FX_CAD">#REF!</definedName>
    <definedName name="L_KEYWORD_ISSR_208001258_SALES_FX_CLP">#REF!</definedName>
    <definedName name="L_KEYWORD_ISSR_208001258_SALES_FX_CNY">#REF!</definedName>
    <definedName name="L_KEYWORD_ISSR_208001258_SALES_FX_COP">#REF!</definedName>
    <definedName name="L_KEYWORD_ISSR_208001258_SALES_FX_EUR">#REF!</definedName>
    <definedName name="L_KEYWORD_ISSR_208001258_SALES_FX_GPB">#REF!</definedName>
    <definedName name="L_KEYWORD_ISSR_208001258_SALES_FX_INR">#REF!</definedName>
    <definedName name="L_KEYWORD_ISSR_208001258_SALES_FX_MXN">#REF!</definedName>
    <definedName name="L_KEYWORD_ISSR_208001258_SALES_FX_OTH">#REF!</definedName>
    <definedName name="L_KEYWORD_ISSR_208001258_SALES_FX_RUB">#REF!</definedName>
    <definedName name="L_KEYWORD_ISSR_208001258_SALES_FX_USD">#REF!</definedName>
    <definedName name="L_KEYWORD_ISSR_208001258_SALES_FX_VEF">#REF!</definedName>
    <definedName name="L_KEYWORD_ISSR_208001258_SALES_FX_YEN">#REF!</definedName>
    <definedName name="L_KEYWORD_ISSR_208001258_SALES_GOV">#REF!</definedName>
    <definedName name="L_KEYWORD_ISSR_208001258_SALES_IND">#REF!</definedName>
    <definedName name="L_KEYWORD_ISSR_208001258_SALES_INDIA">#REF!</definedName>
    <definedName name="L_KEYWORD_ISSR_208001258_SALES_JAPAN">#REF!</definedName>
    <definedName name="L_KEYWORD_ISSR_208001258_SALES_ME">#REF!</definedName>
    <definedName name="L_KEYWORD_ISSR_208001258_SALES_MEXICO">#REF!</definedName>
    <definedName name="L_KEYWORD_ISSR_208001258_SALES_OTH_AEJ">#REF!</definedName>
    <definedName name="L_KEYWORD_ISSR_208001258_SALES_OTH_AM">#REF!</definedName>
    <definedName name="L_KEYWORD_ISSR_208001258_SALES_OTH_EMEA">#REF!</definedName>
    <definedName name="L_KEYWORD_ISSR_208001258_SALES_OTHER">#REF!</definedName>
    <definedName name="L_KEYWORD_ISSR_208001258_SALES_RUSSIA">#REF!</definedName>
    <definedName name="L_KEYWORD_ISSR_208001258_SALES_SMB">#REF!</definedName>
    <definedName name="L_KEYWORD_ISSR_208001258_SALES_TOT_AFRICA">#REF!</definedName>
    <definedName name="L_KEYWORD_ISSR_208001258_SALES_TOT_AM">#REF!</definedName>
    <definedName name="L_KEYWORD_ISSR_208001258_SALES_TOT_ASIA">#REF!</definedName>
    <definedName name="L_KEYWORD_ISSR_208001258_SALES_TOT_EMEA">#REF!</definedName>
    <definedName name="L_KEYWORD_ISSR_208001258_SALES_UK">#REF!</definedName>
    <definedName name="L_KEYWORD_ISSR_208001258_SALES_US">#REF!</definedName>
    <definedName name="L_KEYWORD_ISSR_208001258_SALES_VENEZUELA">#REF!</definedName>
    <definedName name="L_KEYWORD_ISSR_208001258_SEL_GL_AD">#REF!</definedName>
    <definedName name="L_KEYWORD_ISSR_208001258_SH_REPUR">#REF!</definedName>
    <definedName name="L_KEYWORD_ISSR_208001258_SHORT_T_DEBT">#REF!</definedName>
    <definedName name="L_KEYWORD_ISSR_208001258_SHORT_TERM_LIABS">#REF!</definedName>
    <definedName name="L_KEYWORD_ISSR_208001258_STOCKS">#REF!</definedName>
    <definedName name="L_KEYWORD_ISSR_208001258_TOT_ASSET">#REF!</definedName>
    <definedName name="L_KEYWORD_ISSR_208001258_TOT_CF">#REF!</definedName>
    <definedName name="L_KEYWORD_ISSR_208001258_TOT_LIAB">#REF!</definedName>
    <definedName name="L_KEYWORD_ISSR_208001258_TOT_LIAB_EQ">#REF!</definedName>
    <definedName name="L_KEYWORD_ISSR_208001258_TOT_LT_LIAB">#REF!</definedName>
    <definedName name="L_KEYWORD_ISSR_208001258_TOT_OPS_EXP">#REF!</definedName>
    <definedName name="L_KEYWORD_ISSR_208001258_TOT_OPS_EXP_DDA">#REF!</definedName>
    <definedName name="L_KEYWORD_ISSR_208001258_UNF_PENS">#REF!</definedName>
    <definedName name="L_KEYWORD_ISSR_208001258_UNF_PENS_LIAB_OTH">#REF!</definedName>
    <definedName name="L_KEYWORD_ISSR_208001258_UNF_PENS_OFF">#REF!</definedName>
    <definedName name="L_KEYWORD_ISSR_208001258_WORK_CAP">#REF!</definedName>
    <definedName name="L_KEYWORD_ISSR_208009722_ACC_AMORT">#REF!</definedName>
    <definedName name="L_KEYWORD_ISSR_208009722_ACC_DDA">#REF!</definedName>
    <definedName name="L_KEYWORD_ISSR_208009722_ACC_END_DATE">#REF!</definedName>
    <definedName name="L_KEYWORD_ISSR_208009722_ACC_PAY_GQ">#REF!</definedName>
    <definedName name="L_KEYWORD_ISSR_208009722_ACQ">#REF!</definedName>
    <definedName name="L_KEYWORD_ISSR_208009722_ADJ_UNF_PENS_GOOD">#REF!</definedName>
    <definedName name="L_KEYWORD_ISSR_208009722_ASSOC_JV_ADDBK">#REF!</definedName>
    <definedName name="L_KEYWORD_ISSR_208009722_ASSOCIATE">#REF!</definedName>
    <definedName name="L_KEYWORD_ISSR_208009722_ASSOCIATE_OP">#REF!</definedName>
    <definedName name="L_KEYWORD_ISSR_208009722_BAL_MINO_INT">#REF!</definedName>
    <definedName name="L_KEYWORD_ISSR_208009722_CAP_LEASES">#REF!</definedName>
    <definedName name="L_KEYWORD_ISSR_208009722_CAPEX">#REF!</definedName>
    <definedName name="L_KEYWORD_ISSR_208009722_CAPEX_EXPANSION">#REF!</definedName>
    <definedName name="L_KEYWORD_ISSR_208009722_CAPEX_MAINTENANCE">#REF!</definedName>
    <definedName name="L_KEYWORD_ISSR_208009722_CASH_EQ">#REF!</definedName>
    <definedName name="L_KEYWORD_ISSR_208009722_CASH_INT_EXP">#REF!</definedName>
    <definedName name="L_KEYWORD_ISSR_208009722_CASH_TAX_EXP">#REF!</definedName>
    <definedName name="L_KEYWORD_ISSR_208009722_CF_FIN">#REF!</definedName>
    <definedName name="L_KEYWORD_ISSR_208009722_CF_INC_MINORITY">#REF!</definedName>
    <definedName name="L_KEYWORD_ISSR_208009722_CF_INV">#REF!</definedName>
    <definedName name="L_KEYWORD_ISSR_208009722_CF_OPS">#REF!</definedName>
    <definedName name="L_KEYWORD_ISSR_208009722_CHG_LT_DEBT">#REF!</definedName>
    <definedName name="L_KEYWORD_ISSR_208009722_CO_BOR_MARGIN">#REF!</definedName>
    <definedName name="L_KEYWORD_ISSR_208009722_COST_GD_SD">#REF!</definedName>
    <definedName name="L_KEYWORD_ISSR_208009722_CUR_ASS">#REF!</definedName>
    <definedName name="L_KEYWORD_ISSR_208009722_CURRENCY_ISO">#REF!</definedName>
    <definedName name="L_KEYWORD_ISSR_208009722_DEBTORS">#REF!</definedName>
    <definedName name="L_KEYWORD_ISSR_208009722_DEF_INC_TAX">#REF!</definedName>
    <definedName name="L_KEYWORD_ISSR_208009722_DEPR_AMORT">#REF!</definedName>
    <definedName name="L_KEYWORD_ISSR_208009722_DEPREC">#REF!</definedName>
    <definedName name="L_KEYWORD_ISSR_208009722_DIV_PAID">#REF!</definedName>
    <definedName name="L_KEYWORD_ISSR_208009722_DIVDS_ASSOC_JV">#REF!</definedName>
    <definedName name="L_KEYWORD_ISSR_208009722_DIVDS_PD_MINORITIES">#REF!</definedName>
    <definedName name="L_KEYWORD_ISSR_208009722_DIVEST">#REF!</definedName>
    <definedName name="L_KEYWORD_ISSR_208009722_EBIT">#REF!</definedName>
    <definedName name="L_KEYWORD_ISSR_208009722_EBIT_FIN_SEGMENT">#REF!</definedName>
    <definedName name="L_KEYWORD_ISSR_208009722_EBITDA_CALC">#REF!</definedName>
    <definedName name="L_KEYWORD_ISSR_208009722_EMPLOYEES">#REF!</definedName>
    <definedName name="L_KEYWORD_ISSR_208009722_EQ">#REF!</definedName>
    <definedName name="L_KEYWORD_ISSR_208009722_ESO_PRE_TAX">#REF!</definedName>
    <definedName name="L_KEYWORD_ISSR_208009722_FIX_ASS_INV">#REF!</definedName>
    <definedName name="L_KEYWORD_ISSR_208009722_GCI_INFL">#REF!</definedName>
    <definedName name="L_KEYWORD_ISSR_208009722_GOODWILL_AMORT">#REF!</definedName>
    <definedName name="L_KEYWORD_ISSR_208009722_GR_FIX_ASS">#REF!</definedName>
    <definedName name="L_KEYWORD_ISSR_208009722_GR_INTANG">#REF!</definedName>
    <definedName name="L_KEYWORD_ISSR_208009722_INT_EXP_IND">#REF!</definedName>
    <definedName name="L_KEYWORD_ISSR_208009722_INT_INC_IND">#REF!</definedName>
    <definedName name="L_KEYWORD_ISSR_208009722_INV_SECUR">#REF!</definedName>
    <definedName name="L_KEYWORD_ISSR_208009722_Issuer_Name">#REF!</definedName>
    <definedName name="L_KEYWORD_ISSR_208009722_LEASE_DEEM_DEPR">#REF!</definedName>
    <definedName name="L_KEYWORD_ISSR_208009722_LEASE_DEEM_INT">#REF!</definedName>
    <definedName name="L_KEYWORD_ISSR_208009722_LEASE_PAY">#REF!</definedName>
    <definedName name="L_KEYWORD_ISSR_208009722_LT_DEBT">#REF!</definedName>
    <definedName name="L_KEYWORD_ISSR_208009722_MA_PROB">#REF!</definedName>
    <definedName name="L_KEYWORD_ISSR_208009722_MINORITIES">#REF!</definedName>
    <definedName name="L_KEYWORD_ISSR_208009722_MV_ASSOCIATES">#REF!</definedName>
    <definedName name="L_KEYWORD_ISSR_208009722_NET_DEBT">#REF!</definedName>
    <definedName name="L_KEYWORD_ISSR_208009722_NET_DEBT_ADJ">#REF!</definedName>
    <definedName name="L_KEYWORD_ISSR_208009722_NET_FIX_ASS">#REF!</definedName>
    <definedName name="L_KEYWORD_ISSR_208009722_NET_INT_CH">#REF!</definedName>
    <definedName name="L_KEYWORD_ISSR_208009722_NET_INT_EXP">#REF!</definedName>
    <definedName name="L_KEYWORD_ISSR_208009722_NET_INTANG">#REF!</definedName>
    <definedName name="L_KEYWORD_ISSR_208009722_NONPPE_CAPEX">#REF!</definedName>
    <definedName name="L_KEYWORD_ISSR_208009722_OP_AUSTRA">#REF!</definedName>
    <definedName name="L_KEYWORD_ISSR_208009722_OP_AUSTRIA">#REF!</definedName>
    <definedName name="L_KEYWORD_ISSR_208009722_OP_BEL">#REF!</definedName>
    <definedName name="L_KEYWORD_ISSR_208009722_OP_BRAZIL">#REF!</definedName>
    <definedName name="L_KEYWORD_ISSR_208009722_OP_CANADA">#REF!</definedName>
    <definedName name="L_KEYWORD_ISSR_208009722_OP_CEE">#REF!</definedName>
    <definedName name="L_KEYWORD_ISSR_208009722_OP_CHINA">#REF!</definedName>
    <definedName name="L_KEYWORD_ISSR_208009722_OP_CONS">#REF!</definedName>
    <definedName name="L_KEYWORD_ISSR_208009722_OP_COST">#REF!</definedName>
    <definedName name="L_KEYWORD_ISSR_208009722_OP_DEN">#REF!</definedName>
    <definedName name="L_KEYWORD_ISSR_208009722_OP_EU_EX_UK">#REF!</definedName>
    <definedName name="L_KEYWORD_ISSR_208009722_OP_FIN">#REF!</definedName>
    <definedName name="L_KEYWORD_ISSR_208009722_OP_FRA">#REF!</definedName>
    <definedName name="L_KEYWORD_ISSR_208009722_OP_GER">#REF!</definedName>
    <definedName name="L_KEYWORD_ISSR_208009722_OP_GOV">#REF!</definedName>
    <definedName name="L_KEYWORD_ISSR_208009722_OP_GRE">#REF!</definedName>
    <definedName name="L_KEYWORD_ISSR_208009722_OP_ICE">#REF!</definedName>
    <definedName name="L_KEYWORD_ISSR_208009722_OP_IND">#REF!</definedName>
    <definedName name="L_KEYWORD_ISSR_208009722_OP_INDIA">#REF!</definedName>
    <definedName name="L_KEYWORD_ISSR_208009722_OP_IRE">#REF!</definedName>
    <definedName name="L_KEYWORD_ISSR_208009722_OP_ITA">#REF!</definedName>
    <definedName name="L_KEYWORD_ISSR_208009722_OP_JAPAN">#REF!</definedName>
    <definedName name="L_KEYWORD_ISSR_208009722_OP_ME">#REF!</definedName>
    <definedName name="L_KEYWORD_ISSR_208009722_OP_NETH">#REF!</definedName>
    <definedName name="L_KEYWORD_ISSR_208009722_OP_NOR">#REF!</definedName>
    <definedName name="L_KEYWORD_ISSR_208009722_OP_NZ">#REF!</definedName>
    <definedName name="L_KEYWORD_ISSR_208009722_OP_OTH_AEJ">#REF!</definedName>
    <definedName name="L_KEYWORD_ISSR_208009722_OP_OTH_AM">#REF!</definedName>
    <definedName name="L_KEYWORD_ISSR_208009722_OP_OTH_EMEA">#REF!</definedName>
    <definedName name="L_KEYWORD_ISSR_208009722_OP_OTHER">#REF!</definedName>
    <definedName name="L_KEYWORD_ISSR_208009722_OP_POR">#REF!</definedName>
    <definedName name="L_KEYWORD_ISSR_208009722_OP_RUSSIA">#REF!</definedName>
    <definedName name="L_KEYWORD_ISSR_208009722_OP_SK">#REF!</definedName>
    <definedName name="L_KEYWORD_ISSR_208009722_OP_SPA">#REF!</definedName>
    <definedName name="L_KEYWORD_ISSR_208009722_OP_SWE">#REF!</definedName>
    <definedName name="L_KEYWORD_ISSR_208009722_OP_SWIT">#REF!</definedName>
    <definedName name="L_KEYWORD_ISSR_208009722_OP_TOT_AM">#REF!</definedName>
    <definedName name="L_KEYWORD_ISSR_208009722_OP_TOT_ASIA">#REF!</definedName>
    <definedName name="L_KEYWORD_ISSR_208009722_OP_TOT_EMEA">#REF!</definedName>
    <definedName name="L_KEYWORD_ISSR_208009722_OP_UK">#REF!</definedName>
    <definedName name="L_KEYWORD_ISSR_208009722_OP_US">#REF!</definedName>
    <definedName name="L_KEYWORD_ISSR_208009722_ORD_SH_FUND">#REF!</definedName>
    <definedName name="L_KEYWORD_ISSR_208009722_ORG_REV_GRTH">#REF!</definedName>
    <definedName name="L_KEYWORD_ISSR_208009722_OTH_COST_INC">#REF!</definedName>
    <definedName name="L_KEYWORD_ISSR_208009722_OTH_CUR_ASS">#REF!</definedName>
    <definedName name="L_KEYWORD_ISSR_208009722_OTH_CUR_LIABS">#REF!</definedName>
    <definedName name="L_KEYWORD_ISSR_208009722_OTH_DACF_ADJ">#REF!</definedName>
    <definedName name="L_KEYWORD_ISSR_208009722_OTH_FIN_CF">#REF!</definedName>
    <definedName name="L_KEYWORD_ISSR_208009722_OTH_GCI_ADJ">#REF!</definedName>
    <definedName name="L_KEYWORD_ISSR_208009722_OTH_INV_CF">#REF!</definedName>
    <definedName name="L_KEYWORD_ISSR_208009722_OTH_LT_ASS">#REF!</definedName>
    <definedName name="L_KEYWORD_ISSR_208009722_OTH_LT_CRED_GQ">#REF!</definedName>
    <definedName name="L_KEYWORD_ISSR_208009722_OTH_NONCASH_ADJ">#REF!</definedName>
    <definedName name="L_KEYWORD_ISSR_208009722_OTH_OP_CF">#REF!</definedName>
    <definedName name="L_KEYWORD_ISSR_208009722_OTH_OP_INC_EXP">#REF!</definedName>
    <definedName name="L_KEYWORD_ISSR_208009722_PERIOD_MILESTONE">#REF!</definedName>
    <definedName name="L_KEYWORD_ISSR_208009722_PL_SALE_ASSETS">#REF!</definedName>
    <definedName name="L_KEYWORD_ISSR_208009722_PREF_SH">#REF!</definedName>
    <definedName name="L_KEYWORD_ISSR_208009722_PROFIT_ON_DISP">#REF!</definedName>
    <definedName name="L_KEYWORD_ISSR_208009722_PT_PROF">#REF!</definedName>
    <definedName name="L_KEYWORD_ISSR_208009722_RD_EXP">#REF!</definedName>
    <definedName name="L_KEYWORD_ISSR_208009722_REV_FIN_SEGMENT">#REF!</definedName>
    <definedName name="L_KEYWORD_ISSR_208009722_SALES">#REF!</definedName>
    <definedName name="L_KEYWORD_ISSR_208009722_SALES_AUSTRA">#REF!</definedName>
    <definedName name="L_KEYWORD_ISSR_208009722_SALES_AUSTRIA">#REF!</definedName>
    <definedName name="L_KEYWORD_ISSR_208009722_SALES_BEL">#REF!</definedName>
    <definedName name="L_KEYWORD_ISSR_208009722_SALES_BRAZIL">#REF!</definedName>
    <definedName name="L_KEYWORD_ISSR_208009722_SALES_CANADA">#REF!</definedName>
    <definedName name="L_KEYWORD_ISSR_208009722_SALES_CEE">#REF!</definedName>
    <definedName name="L_KEYWORD_ISSR_208009722_SALES_CHINA">#REF!</definedName>
    <definedName name="L_KEYWORD_ISSR_208009722_SALES_CONS">#REF!</definedName>
    <definedName name="L_KEYWORD_ISSR_208009722_SALES_DEN">#REF!</definedName>
    <definedName name="L_KEYWORD_ISSR_208009722_SALES_EU_EX_UK">#REF!</definedName>
    <definedName name="L_KEYWORD_ISSR_208009722_SALES_FIN">#REF!</definedName>
    <definedName name="L_KEYWORD_ISSR_208009722_SALES_FINAN">#REF!</definedName>
    <definedName name="L_KEYWORD_ISSR_208009722_SALES_FRA">#REF!</definedName>
    <definedName name="L_KEYWORD_ISSR_208009722_SALES_GER">#REF!</definedName>
    <definedName name="L_KEYWORD_ISSR_208009722_SALES_GOV">#REF!</definedName>
    <definedName name="L_KEYWORD_ISSR_208009722_SALES_GRE">#REF!</definedName>
    <definedName name="L_KEYWORD_ISSR_208009722_SALES_ICE">#REF!</definedName>
    <definedName name="L_KEYWORD_ISSR_208009722_SALES_IND">#REF!</definedName>
    <definedName name="L_KEYWORD_ISSR_208009722_SALES_INDIA">#REF!</definedName>
    <definedName name="L_KEYWORD_ISSR_208009722_SALES_IRE">#REF!</definedName>
    <definedName name="L_KEYWORD_ISSR_208009722_SALES_ITA">#REF!</definedName>
    <definedName name="L_KEYWORD_ISSR_208009722_SALES_JAPAN">#REF!</definedName>
    <definedName name="L_KEYWORD_ISSR_208009722_SALES_ME">#REF!</definedName>
    <definedName name="L_KEYWORD_ISSR_208009722_SALES_NETH">#REF!</definedName>
    <definedName name="L_KEYWORD_ISSR_208009722_SALES_NOR">#REF!</definedName>
    <definedName name="L_KEYWORD_ISSR_208009722_SALES_NZ">#REF!</definedName>
    <definedName name="L_KEYWORD_ISSR_208009722_SALES_OTH_AEJ">#REF!</definedName>
    <definedName name="L_KEYWORD_ISSR_208009722_SALES_OTH_AM">#REF!</definedName>
    <definedName name="L_KEYWORD_ISSR_208009722_SALES_OTH_EMEA">#REF!</definedName>
    <definedName name="L_KEYWORD_ISSR_208009722_SALES_OTHER">#REF!</definedName>
    <definedName name="L_KEYWORD_ISSR_208009722_SALES_POR">#REF!</definedName>
    <definedName name="L_KEYWORD_ISSR_208009722_SALES_RUSSIA">#REF!</definedName>
    <definedName name="L_KEYWORD_ISSR_208009722_SALES_SK">#REF!</definedName>
    <definedName name="L_KEYWORD_ISSR_208009722_SALES_SMB">#REF!</definedName>
    <definedName name="L_KEYWORD_ISSR_208009722_SALES_SPA">#REF!</definedName>
    <definedName name="L_KEYWORD_ISSR_208009722_SALES_SWE">#REF!</definedName>
    <definedName name="L_KEYWORD_ISSR_208009722_SALES_SWIT">#REF!</definedName>
    <definedName name="L_KEYWORD_ISSR_208009722_SALES_TOT_AM">#REF!</definedName>
    <definedName name="L_KEYWORD_ISSR_208009722_SALES_TOT_ASIA">#REF!</definedName>
    <definedName name="L_KEYWORD_ISSR_208009722_SALES_TOT_EMEA">#REF!</definedName>
    <definedName name="L_KEYWORD_ISSR_208009722_SALES_UK">#REF!</definedName>
    <definedName name="L_KEYWORD_ISSR_208009722_SALES_US">#REF!</definedName>
    <definedName name="L_KEYWORD_ISSR_208009722_SEL_GL_AD">#REF!</definedName>
    <definedName name="L_KEYWORD_ISSR_208009722_SH_REPUR">#REF!</definedName>
    <definedName name="L_KEYWORD_ISSR_208009722_SHORT_T_DEBT">#REF!</definedName>
    <definedName name="L_KEYWORD_ISSR_208009722_SHORT_TERM_LIABS">#REF!</definedName>
    <definedName name="L_KEYWORD_ISSR_208009722_STOCKS">#REF!</definedName>
    <definedName name="L_KEYWORD_ISSR_208009722_TOT_ASSET">#REF!</definedName>
    <definedName name="L_KEYWORD_ISSR_208009722_TOT_CF">#REF!</definedName>
    <definedName name="L_KEYWORD_ISSR_208009722_TOT_LIAB">#REF!</definedName>
    <definedName name="L_KEYWORD_ISSR_208009722_TOT_LIAB_EQ">#REF!</definedName>
    <definedName name="L_KEYWORD_ISSR_208009722_TOT_LT_LIAB">#REF!</definedName>
    <definedName name="L_KEYWORD_ISSR_208009722_TOT_OPS_EXP">#REF!</definedName>
    <definedName name="L_KEYWORD_ISSR_208009722_TOT_OPS_EXP_DDA">#REF!</definedName>
    <definedName name="L_KEYWORD_ISSR_208009722_UNF_PENS">#REF!</definedName>
    <definedName name="L_KEYWORD_ISSR_208009722_UNF_PENS_LIAB_OTH">#REF!</definedName>
    <definedName name="L_KEYWORD_ISSR_208009722_UNF_PENS_OFF">#REF!</definedName>
    <definedName name="L_KEYWORD_ISSR_208009722_WORK_CAP">#REF!</definedName>
    <definedName name="L_KEYWORD_ISSR_208011556_ACC_AMORT">#REF!</definedName>
    <definedName name="L_KEYWORD_ISSR_208011556_ACC_DDA">#REF!</definedName>
    <definedName name="L_KEYWORD_ISSR_208011556_ACC_END_DATE">#REF!</definedName>
    <definedName name="L_KEYWORD_ISSR_208011556_ACC_PAY_GQ">#REF!</definedName>
    <definedName name="L_KEYWORD_ISSR_208011556_ACQ">#REF!</definedName>
    <definedName name="L_KEYWORD_ISSR_208011556_ADJ_UNF_PENS_GOOD">#REF!</definedName>
    <definedName name="L_KEYWORD_ISSR_208011556_ASSOC_JV_ADDBK">#REF!</definedName>
    <definedName name="L_KEYWORD_ISSR_208011556_ASSOCIATE">#REF!</definedName>
    <definedName name="L_KEYWORD_ISSR_208011556_ASSOCIATE_OP">#REF!</definedName>
    <definedName name="L_KEYWORD_ISSR_208011556_BAL_MINO_INT">#REF!</definedName>
    <definedName name="L_KEYWORD_ISSR_208011556_CAP_LEASES">#REF!</definedName>
    <definedName name="L_KEYWORD_ISSR_208011556_CAPEX">#REF!</definedName>
    <definedName name="L_KEYWORD_ISSR_208011556_CAPEX_EXPANSION">#REF!</definedName>
    <definedName name="L_KEYWORD_ISSR_208011556_CAPEX_MAINTENANCE">#REF!</definedName>
    <definedName name="L_KEYWORD_ISSR_208011556_CASH_EQ">#REF!</definedName>
    <definedName name="L_KEYWORD_ISSR_208011556_CASH_INT_EXP">#REF!</definedName>
    <definedName name="L_KEYWORD_ISSR_208011556_CASH_PCT_OS_US">#REF!</definedName>
    <definedName name="L_KEYWORD_ISSR_208011556_CASH_TAX_EXP">#REF!</definedName>
    <definedName name="L_KEYWORD_ISSR_208011556_CF_FIN">#REF!</definedName>
    <definedName name="L_KEYWORD_ISSR_208011556_CF_INC_MINORITY">#REF!</definedName>
    <definedName name="L_KEYWORD_ISSR_208011556_CF_INV">#REF!</definedName>
    <definedName name="L_KEYWORD_ISSR_208011556_CF_OPS">#REF!</definedName>
    <definedName name="L_KEYWORD_ISSR_208011556_CHG_LT_DEBT">#REF!</definedName>
    <definedName name="L_KEYWORD_ISSR_208011556_CO_BOR_MARGIN">#REF!</definedName>
    <definedName name="L_KEYWORD_ISSR_208011556_CONTRIB_MARGIN_RATIO">#REF!</definedName>
    <definedName name="L_KEYWORD_ISSR_208011556_COST_GD_SD">#REF!</definedName>
    <definedName name="L_KEYWORD_ISSR_208011556_CUR_ASS">#REF!</definedName>
    <definedName name="L_KEYWORD_ISSR_208011556_CURRENCY_ISO">#REF!</definedName>
    <definedName name="L_KEYWORD_ISSR_208011556_DEBTORS">#REF!</definedName>
    <definedName name="L_KEYWORD_ISSR_208011556_DEF_INC_TAX">#REF!</definedName>
    <definedName name="L_KEYWORD_ISSR_208011556_DEPR_AMORT">#REF!</definedName>
    <definedName name="L_KEYWORD_ISSR_208011556_DEPREC">#REF!</definedName>
    <definedName name="L_KEYWORD_ISSR_208011556_DIV_PAID">#REF!</definedName>
    <definedName name="L_KEYWORD_ISSR_208011556_DIVDS_ASSOC_JV">#REF!</definedName>
    <definedName name="L_KEYWORD_ISSR_208011556_DIVDS_PD_MINORITIES">#REF!</definedName>
    <definedName name="L_KEYWORD_ISSR_208011556_DIVEST">#REF!</definedName>
    <definedName name="L_KEYWORD_ISSR_208011556_EBIT">#REF!</definedName>
    <definedName name="L_KEYWORD_ISSR_208011556_EBIT_FIN_SEGMENT">#REF!</definedName>
    <definedName name="L_KEYWORD_ISSR_208011556_EBITDA_CALC">#REF!</definedName>
    <definedName name="L_KEYWORD_ISSR_208011556_EMPLOYEES">#REF!</definedName>
    <definedName name="L_KEYWORD_ISSR_208011556_EQ">#REF!</definedName>
    <definedName name="L_KEYWORD_ISSR_208011556_ESO_PRE_TAX">#REF!</definedName>
    <definedName name="L_KEYWORD_ISSR_208011556_EXP_ALUMINIUM">#REF!</definedName>
    <definedName name="L_KEYWORD_ISSR_208011556_EXP_COPPER">#REF!</definedName>
    <definedName name="L_KEYWORD_ISSR_208011556_EXP_GLASS">#REF!</definedName>
    <definedName name="L_KEYWORD_ISSR_208011556_EXP_GOLD">#REF!</definedName>
    <definedName name="L_KEYWORD_ISSR_208011556_EXP_NICKEL">#REF!</definedName>
    <definedName name="L_KEYWORD_ISSR_208011556_EXP_OIL_DERIV_NGLS_PLASTICS">#REF!</definedName>
    <definedName name="L_KEYWORD_ISSR_208011556_EXP_OIL_PETRO_FUEL">#REF!</definedName>
    <definedName name="L_KEYWORD_ISSR_208011556_EXP_OTH_COMMODITY">#REF!</definedName>
    <definedName name="L_KEYWORD_ISSR_208011556_EXP_OTH_COST">#REF!</definedName>
    <definedName name="L_KEYWORD_ISSR_208011556_EXP_PALLADIUM">#REF!</definedName>
    <definedName name="L_KEYWORD_ISSR_208011556_EXP_PAPER_PULP">#REF!</definedName>
    <definedName name="L_KEYWORD_ISSR_208011556_EXP_PLATINUM">#REF!</definedName>
    <definedName name="L_KEYWORD_ISSR_208011556_EXP_SILVER">#REF!</definedName>
    <definedName name="L_KEYWORD_ISSR_208011556_EXP_WATER">#REF!</definedName>
    <definedName name="L_KEYWORD_ISSR_208011556_EXP_ZINC">#REF!</definedName>
    <definedName name="L_KEYWORD_ISSR_208011556_FIX_ASS_INV">#REF!</definedName>
    <definedName name="L_KEYWORD_ISSR_208011556_GCI_INFL">#REF!</definedName>
    <definedName name="L_KEYWORD_ISSR_208011556_GOODWILL_AMORT">#REF!</definedName>
    <definedName name="L_KEYWORD_ISSR_208011556_GR_FIX_ASS">#REF!</definedName>
    <definedName name="L_KEYWORD_ISSR_208011556_GR_INTANG">#REF!</definedName>
    <definedName name="L_KEYWORD_ISSR_208011556_INT_EXP_IND">#REF!</definedName>
    <definedName name="L_KEYWORD_ISSR_208011556_INT_INC_IND">#REF!</definedName>
    <definedName name="L_KEYWORD_ISSR_208011556_INV_SECUR">#REF!</definedName>
    <definedName name="L_KEYWORD_ISSR_208011556_Issuer_Name">#REF!</definedName>
    <definedName name="L_KEYWORD_ISSR_208011556_LEASE_DEEM_DEPR">#REF!</definedName>
    <definedName name="L_KEYWORD_ISSR_208011556_LEASE_DEEM_INT">#REF!</definedName>
    <definedName name="L_KEYWORD_ISSR_208011556_LEASE_PAY">#REF!</definedName>
    <definedName name="L_KEYWORD_ISSR_208011556_LT_DEBT">#REF!</definedName>
    <definedName name="L_KEYWORD_ISSR_208011556_MA_PROB">#REF!</definedName>
    <definedName name="L_KEYWORD_ISSR_208011556_MINORITIES">#REF!</definedName>
    <definedName name="L_KEYWORD_ISSR_208011556_MV_ASSOCIATES">#REF!</definedName>
    <definedName name="L_KEYWORD_ISSR_208011556_NET_DEBT">#REF!</definedName>
    <definedName name="L_KEYWORD_ISSR_208011556_NET_DEBT_ADJ">#REF!</definedName>
    <definedName name="L_KEYWORD_ISSR_208011556_NET_FIX_ASS">#REF!</definedName>
    <definedName name="L_KEYWORD_ISSR_208011556_NET_INT_CH">#REF!</definedName>
    <definedName name="L_KEYWORD_ISSR_208011556_NET_INT_EXP">#REF!</definedName>
    <definedName name="L_KEYWORD_ISSR_208011556_NET_INTANG">#REF!</definedName>
    <definedName name="L_KEYWORD_ISSR_208011556_NONPPE_CAPEX">#REF!</definedName>
    <definedName name="L_KEYWORD_ISSR_208011556_OP_COST">#REF!</definedName>
    <definedName name="L_KEYWORD_ISSR_208011556_ORD_SH_FUND">#REF!</definedName>
    <definedName name="L_KEYWORD_ISSR_208011556_OTH_COST_INC">#REF!</definedName>
    <definedName name="L_KEYWORD_ISSR_208011556_OTH_CUR_ASS">#REF!</definedName>
    <definedName name="L_KEYWORD_ISSR_208011556_OTH_CUR_LIABS">#REF!</definedName>
    <definedName name="L_KEYWORD_ISSR_208011556_OTH_DACF_ADJ">#REF!</definedName>
    <definedName name="L_KEYWORD_ISSR_208011556_OTH_FIN_CF">#REF!</definedName>
    <definedName name="L_KEYWORD_ISSR_208011556_OTH_GCI_ADJ">#REF!</definedName>
    <definedName name="L_KEYWORD_ISSR_208011556_OTH_INV_CF">#REF!</definedName>
    <definedName name="L_KEYWORD_ISSR_208011556_OTH_LT_ASS">#REF!</definedName>
    <definedName name="L_KEYWORD_ISSR_208011556_OTH_LT_CRED_GQ">#REF!</definedName>
    <definedName name="L_KEYWORD_ISSR_208011556_OTH_NONCASH_ADJ">#REF!</definedName>
    <definedName name="L_KEYWORD_ISSR_208011556_OTH_OP_CF">#REF!</definedName>
    <definedName name="L_KEYWORD_ISSR_208011556_OTH_OP_INC_EXP">#REF!</definedName>
    <definedName name="L_KEYWORD_ISSR_208011556_PERIOD_MILESTONE">#REF!</definedName>
    <definedName name="L_KEYWORD_ISSR_208011556_PL_SALE_ASSETS">#REF!</definedName>
    <definedName name="L_KEYWORD_ISSR_208011556_PREF_SH">#REF!</definedName>
    <definedName name="L_KEYWORD_ISSR_208011556_PROFIT_ON_DISP">#REF!</definedName>
    <definedName name="L_KEYWORD_ISSR_208011556_PT_PROF">#REF!</definedName>
    <definedName name="L_KEYWORD_ISSR_208011556_RD_EXP">#REF!</definedName>
    <definedName name="L_KEYWORD_ISSR_208011556_REV_FIN_SEGMENT">#REF!</definedName>
    <definedName name="L_KEYWORD_ISSR_208011556_SALES">#REF!</definedName>
    <definedName name="L_KEYWORD_ISSR_208011556_SALES_ARGENTINA">#REF!</definedName>
    <definedName name="L_KEYWORD_ISSR_208011556_SALES_BRAZIL">#REF!</definedName>
    <definedName name="L_KEYWORD_ISSR_208011556_SALES_CANADA">#REF!</definedName>
    <definedName name="L_KEYWORD_ISSR_208011556_SALES_CEE">#REF!</definedName>
    <definedName name="L_KEYWORD_ISSR_208011556_SALES_CHILE">#REF!</definedName>
    <definedName name="L_KEYWORD_ISSR_208011556_SALES_CHINA">#REF!</definedName>
    <definedName name="L_KEYWORD_ISSR_208011556_SALES_COLOMBIA">#REF!</definedName>
    <definedName name="L_KEYWORD_ISSR_208011556_SALES_CONS">#REF!</definedName>
    <definedName name="L_KEYWORD_ISSR_208011556_SALES_EU_EX_UK">#REF!</definedName>
    <definedName name="L_KEYWORD_ISSR_208011556_SALES_FINAN">#REF!</definedName>
    <definedName name="L_KEYWORD_ISSR_208011556_SALES_FX_ARS">#REF!</definedName>
    <definedName name="L_KEYWORD_ISSR_208011556_SALES_FX_BRL">#REF!</definedName>
    <definedName name="L_KEYWORD_ISSR_208011556_SALES_FX_CAD">#REF!</definedName>
    <definedName name="L_KEYWORD_ISSR_208011556_SALES_FX_CLP">#REF!</definedName>
    <definedName name="L_KEYWORD_ISSR_208011556_SALES_FX_CNY">#REF!</definedName>
    <definedName name="L_KEYWORD_ISSR_208011556_SALES_FX_COP">#REF!</definedName>
    <definedName name="L_KEYWORD_ISSR_208011556_SALES_FX_EUR">#REF!</definedName>
    <definedName name="L_KEYWORD_ISSR_208011556_SALES_FX_GPB">#REF!</definedName>
    <definedName name="L_KEYWORD_ISSR_208011556_SALES_FX_INR">#REF!</definedName>
    <definedName name="L_KEYWORD_ISSR_208011556_SALES_FX_MXN">#REF!</definedName>
    <definedName name="L_KEYWORD_ISSR_208011556_SALES_FX_OTH">#REF!</definedName>
    <definedName name="L_KEYWORD_ISSR_208011556_SALES_FX_RUB">#REF!</definedName>
    <definedName name="L_KEYWORD_ISSR_208011556_SALES_FX_USD">#REF!</definedName>
    <definedName name="L_KEYWORD_ISSR_208011556_SALES_FX_VEF">#REF!</definedName>
    <definedName name="L_KEYWORD_ISSR_208011556_SALES_FX_YEN">#REF!</definedName>
    <definedName name="L_KEYWORD_ISSR_208011556_SALES_GOV">#REF!</definedName>
    <definedName name="L_KEYWORD_ISSR_208011556_SALES_IND">#REF!</definedName>
    <definedName name="L_KEYWORD_ISSR_208011556_SALES_INDIA">#REF!</definedName>
    <definedName name="L_KEYWORD_ISSR_208011556_SALES_JAPAN">#REF!</definedName>
    <definedName name="L_KEYWORD_ISSR_208011556_SALES_ME">#REF!</definedName>
    <definedName name="L_KEYWORD_ISSR_208011556_SALES_MEXICO">#REF!</definedName>
    <definedName name="L_KEYWORD_ISSR_208011556_SALES_OTH_AEJ">#REF!</definedName>
    <definedName name="L_KEYWORD_ISSR_208011556_SALES_OTH_AM">#REF!</definedName>
    <definedName name="L_KEYWORD_ISSR_208011556_SALES_OTH_EMEA">#REF!</definedName>
    <definedName name="L_KEYWORD_ISSR_208011556_SALES_OTHER">#REF!</definedName>
    <definedName name="L_KEYWORD_ISSR_208011556_SALES_RUSSIA">#REF!</definedName>
    <definedName name="L_KEYWORD_ISSR_208011556_SALES_SMB">#REF!</definedName>
    <definedName name="L_KEYWORD_ISSR_208011556_SALES_TOT_AFRICA">#REF!</definedName>
    <definedName name="L_KEYWORD_ISSR_208011556_SALES_TOT_AM">#REF!</definedName>
    <definedName name="L_KEYWORD_ISSR_208011556_SALES_TOT_ASIA">#REF!</definedName>
    <definedName name="L_KEYWORD_ISSR_208011556_SALES_TOT_EMEA">#REF!</definedName>
    <definedName name="L_KEYWORD_ISSR_208011556_SALES_UK">#REF!</definedName>
    <definedName name="L_KEYWORD_ISSR_208011556_SALES_US">#REF!</definedName>
    <definedName name="L_KEYWORD_ISSR_208011556_SALES_VENEZUELA">#REF!</definedName>
    <definedName name="L_KEYWORD_ISSR_208011556_SEL_GL_AD">#REF!</definedName>
    <definedName name="L_KEYWORD_ISSR_208011556_SH_REPUR">#REF!</definedName>
    <definedName name="L_KEYWORD_ISSR_208011556_SHORT_T_DEBT">#REF!</definedName>
    <definedName name="L_KEYWORD_ISSR_208011556_SHORT_TERM_LIABS">#REF!</definedName>
    <definedName name="L_KEYWORD_ISSR_208011556_STOCKS">#REF!</definedName>
    <definedName name="L_KEYWORD_ISSR_208011556_TOT_ASSET">#REF!</definedName>
    <definedName name="L_KEYWORD_ISSR_208011556_TOT_CF">#REF!</definedName>
    <definedName name="L_KEYWORD_ISSR_208011556_TOT_LIAB">#REF!</definedName>
    <definedName name="L_KEYWORD_ISSR_208011556_TOT_LIAB_EQ">#REF!</definedName>
    <definedName name="L_KEYWORD_ISSR_208011556_TOT_LT_LIAB">#REF!</definedName>
    <definedName name="L_KEYWORD_ISSR_208011556_TOT_OPS_EXP">#REF!</definedName>
    <definedName name="L_KEYWORD_ISSR_208011556_TOT_OPS_EXP_DDA">#REF!</definedName>
    <definedName name="L_KEYWORD_ISSR_208011556_UNF_PENS">#REF!</definedName>
    <definedName name="L_KEYWORD_ISSR_208011556_UNF_PENS_LIAB_OTH">#REF!</definedName>
    <definedName name="L_KEYWORD_ISSR_208011556_UNF_PENS_OFF">#REF!</definedName>
    <definedName name="L_KEYWORD_ISSR_208011556_WORK_CAP">#REF!</definedName>
    <definedName name="L_LIVEDATA_EQTY_200001646">#REF!</definedName>
    <definedName name="L_LIVEDATA_EQTY_200002831">#REF!</definedName>
    <definedName name="L_LIVEDATA_EQTY_200004419">#REF!</definedName>
    <definedName name="L_LIVEDATA_EQTY_200012762">#REF!</definedName>
    <definedName name="L_LIVEDATA_EQTY_200014750">#REF!</definedName>
    <definedName name="L_LIVEDATA_ISSR_208000603">#REF!</definedName>
    <definedName name="L_LIVEDATA_ISSR_208000976">#REF!</definedName>
    <definedName name="L_LIVEDATA_ISSR_208001258">#REF!</definedName>
    <definedName name="L_LIVEDATA_ISSR_208009722">#REF!</definedName>
    <definedName name="L_LIVEDATA_ISSR_208011556">#REF!</definedName>
    <definedName name="L_PERIOD_2002">#REF!</definedName>
    <definedName name="L_PERIOD_2003">#REF!</definedName>
    <definedName name="L_PERIOD_2003_Q1">#REF!</definedName>
    <definedName name="L_PERIOD_2003_Q2">#REF!</definedName>
    <definedName name="L_PERIOD_2003_Q3">#REF!</definedName>
    <definedName name="L_PERIOD_2003_Q4">#REF!</definedName>
    <definedName name="L_PERIOD_2004">#REF!</definedName>
    <definedName name="L_PERIOD_2004_Q1">#REF!</definedName>
    <definedName name="L_PERIOD_2004_Q2">#REF!</definedName>
    <definedName name="L_PERIOD_2004_Q3">#REF!</definedName>
    <definedName name="L_PERIOD_2004_Q4">#REF!</definedName>
    <definedName name="L_PERIOD_2005">#REF!</definedName>
    <definedName name="L_PERIOD_2005_Q1">#REF!</definedName>
    <definedName name="L_PERIOD_2005_Q2">#REF!</definedName>
    <definedName name="L_PERIOD_2005_Q3">#REF!</definedName>
    <definedName name="L_PERIOD_2005_Q4">#REF!</definedName>
    <definedName name="L_PERIOD_2006_Q1">#REF!</definedName>
    <definedName name="L_PERIOD_2006_Q2">#REF!</definedName>
    <definedName name="L_PERIOD_2006_Q3">#REF!</definedName>
    <definedName name="L_PERIOD_2006_Q4">#REF!</definedName>
    <definedName name="L_SECTION_EQTY_200001646_1314">#REF!</definedName>
    <definedName name="L_SECTION_EQTY_200001646_1319">#REF!</definedName>
    <definedName name="L_SECTION_EQTY_200001646_131E">#REF!</definedName>
    <definedName name="L_SECTION_EQTY_200001646_131O">#REF!</definedName>
    <definedName name="L_SECTION_EQTY_200001646_131P">#REF!</definedName>
    <definedName name="L_SECTION_EQTY_200001646_13A">#REF!</definedName>
    <definedName name="L_SECTION_EQTY_200001646_13K">#REF!</definedName>
    <definedName name="L_SECTION_EQTY_200001646_13U">#REF!</definedName>
    <definedName name="L_SECTION_EQTY_200001646_13V">#REF!</definedName>
    <definedName name="L_SECTION_EQTY_200001646_13W">#REF!</definedName>
    <definedName name="L_SECTION_EQTY_200001646_Reference_Data">#REF!</definedName>
    <definedName name="L_SECTION_EQTY_200002831_1314">#REF!</definedName>
    <definedName name="L_SECTION_EQTY_200002831_1319">#REF!</definedName>
    <definedName name="L_SECTION_EQTY_200002831_131E">#REF!</definedName>
    <definedName name="L_SECTION_EQTY_200002831_131O">#REF!</definedName>
    <definedName name="L_SECTION_EQTY_200002831_13A">#REF!</definedName>
    <definedName name="L_SECTION_EQTY_200002831_13K">#REF!</definedName>
    <definedName name="L_SECTION_EQTY_200002831_13U">#REF!</definedName>
    <definedName name="L_SECTION_EQTY_200002831_13V">#REF!</definedName>
    <definedName name="L_SECTION_EQTY_200002831_13W">#REF!</definedName>
    <definedName name="L_SECTION_EQTY_200002831_Reference_Data">#REF!</definedName>
    <definedName name="L_SECTION_EQTY_200004419_1314">#REF!</definedName>
    <definedName name="L_SECTION_EQTY_200004419_1319">#REF!</definedName>
    <definedName name="L_SECTION_EQTY_200004419_131E">#REF!</definedName>
    <definedName name="L_SECTION_EQTY_200004419_131O">#REF!</definedName>
    <definedName name="L_SECTION_EQTY_200004419_13A">#REF!</definedName>
    <definedName name="L_SECTION_EQTY_200004419_13K">#REF!</definedName>
    <definedName name="L_SECTION_EQTY_200004419_13U">#REF!</definedName>
    <definedName name="L_SECTION_EQTY_200004419_13V">#REF!</definedName>
    <definedName name="L_SECTION_EQTY_200004419_13W">#REF!</definedName>
    <definedName name="L_SECTION_EQTY_200004419_Reference_Data">#REF!</definedName>
    <definedName name="L_SECTION_EQTY_200012762_1314">#REF!</definedName>
    <definedName name="L_SECTION_EQTY_200012762_1319">#REF!</definedName>
    <definedName name="L_SECTION_EQTY_200012762_131E">#REF!</definedName>
    <definedName name="L_SECTION_EQTY_200012762_131O">#REF!</definedName>
    <definedName name="L_SECTION_EQTY_200012762_13A">#REF!</definedName>
    <definedName name="L_SECTION_EQTY_200012762_13K">#REF!</definedName>
    <definedName name="L_SECTION_EQTY_200012762_13U">#REF!</definedName>
    <definedName name="L_SECTION_EQTY_200012762_13V">#REF!</definedName>
    <definedName name="L_SECTION_EQTY_200012762_13W">#REF!</definedName>
    <definedName name="L_SECTION_EQTY_200012762_Reference_Data">#REF!</definedName>
    <definedName name="L_SECTION_EQTY_200014750_1314">#REF!</definedName>
    <definedName name="L_SECTION_EQTY_200014750_1319">#REF!</definedName>
    <definedName name="L_SECTION_EQTY_200014750_131E">#REF!</definedName>
    <definedName name="L_SECTION_EQTY_200014750_131O">#REF!</definedName>
    <definedName name="L_SECTION_EQTY_200014750_13A">#REF!</definedName>
    <definedName name="L_SECTION_EQTY_200014750_13K">#REF!</definedName>
    <definedName name="L_SECTION_EQTY_200014750_13U">#REF!</definedName>
    <definedName name="L_SECTION_EQTY_200014750_13V">#REF!</definedName>
    <definedName name="L_SECTION_EQTY_200014750_13W">#REF!</definedName>
    <definedName name="L_SECTION_EQTY_200014750_Reference_Data">#REF!</definedName>
    <definedName name="L_SECTION_ISSR_208000603_1314">#REF!</definedName>
    <definedName name="L_SECTION_ISSR_208000603_13168">#REF!</definedName>
    <definedName name="L_SECTION_ISSR_208000603_1319">#REF!</definedName>
    <definedName name="L_SECTION_ISSR_208000603_131E">#REF!</definedName>
    <definedName name="L_SECTION_ISSR_208000603_131J">#REF!</definedName>
    <definedName name="L_SECTION_ISSR_208000603_131O">#REF!</definedName>
    <definedName name="L_SECTION_ISSR_208000603_131P">#REF!</definedName>
    <definedName name="L_SECTION_ISSR_208000603_13A">#REF!</definedName>
    <definedName name="L_SECTION_ISSR_208000603_13U">#REF!</definedName>
    <definedName name="L_SECTION_ISSR_208000603_13V">#REF!</definedName>
    <definedName name="L_SECTION_ISSR_208000603_Reference_Data">#REF!</definedName>
    <definedName name="L_SECTION_ISSR_208000976_1314">#REF!</definedName>
    <definedName name="L_SECTION_ISSR_208000976_13168">#REF!</definedName>
    <definedName name="L_SECTION_ISSR_208000976_1316T">#REF!</definedName>
    <definedName name="L_SECTION_ISSR_208000976_1316U">#REF!</definedName>
    <definedName name="L_SECTION_ISSR_208000976_1319">#REF!</definedName>
    <definedName name="L_SECTION_ISSR_208000976_131E">#REF!</definedName>
    <definedName name="L_SECTION_ISSR_208000976_131J">#REF!</definedName>
    <definedName name="L_SECTION_ISSR_208000976_131O">#REF!</definedName>
    <definedName name="L_SECTION_ISSR_208000976_13A">#REF!</definedName>
    <definedName name="L_SECTION_ISSR_208000976_13U">#REF!</definedName>
    <definedName name="L_SECTION_ISSR_208000976_13V">#REF!</definedName>
    <definedName name="L_SECTION_ISSR_208000976_Reference_Data">#REF!</definedName>
    <definedName name="L_SECTION_ISSR_208001258_1314">#REF!</definedName>
    <definedName name="L_SECTION_ISSR_208001258_13168">#REF!</definedName>
    <definedName name="L_SECTION_ISSR_208001258_1316T">#REF!</definedName>
    <definedName name="L_SECTION_ISSR_208001258_1316U">#REF!</definedName>
    <definedName name="L_SECTION_ISSR_208001258_1319">#REF!</definedName>
    <definedName name="L_SECTION_ISSR_208001258_131E">#REF!</definedName>
    <definedName name="L_SECTION_ISSR_208001258_131J">#REF!</definedName>
    <definedName name="L_SECTION_ISSR_208001258_131O">#REF!</definedName>
    <definedName name="L_SECTION_ISSR_208001258_13A">#REF!</definedName>
    <definedName name="L_SECTION_ISSR_208001258_13U">#REF!</definedName>
    <definedName name="L_SECTION_ISSR_208001258_13V">#REF!</definedName>
    <definedName name="L_SECTION_ISSR_208001258_Reference_Data">#REF!</definedName>
    <definedName name="L_SECTION_ISSR_208009722_1314">#REF!</definedName>
    <definedName name="L_SECTION_ISSR_208009722_13168">#REF!</definedName>
    <definedName name="L_SECTION_ISSR_208009722_1319">#REF!</definedName>
    <definedName name="L_SECTION_ISSR_208009722_131E">#REF!</definedName>
    <definedName name="L_SECTION_ISSR_208009722_131J">#REF!</definedName>
    <definedName name="L_SECTION_ISSR_208009722_131O">#REF!</definedName>
    <definedName name="L_SECTION_ISSR_208009722_13A">#REF!</definedName>
    <definedName name="L_SECTION_ISSR_208009722_13U">#REF!</definedName>
    <definedName name="L_SECTION_ISSR_208009722_13V">#REF!</definedName>
    <definedName name="L_SECTION_ISSR_208009722_Reference_Data">#REF!</definedName>
    <definedName name="L_SECTION_ISSR_208011556_1314">#REF!</definedName>
    <definedName name="L_SECTION_ISSR_208011556_13168">#REF!</definedName>
    <definedName name="L_SECTION_ISSR_208011556_1316T">#REF!</definedName>
    <definedName name="L_SECTION_ISSR_208011556_1316U">#REF!</definedName>
    <definedName name="L_SECTION_ISSR_208011556_1319">#REF!</definedName>
    <definedName name="L_SECTION_ISSR_208011556_131E">#REF!</definedName>
    <definedName name="L_SECTION_ISSR_208011556_131J">#REF!</definedName>
    <definedName name="L_SECTION_ISSR_208011556_131O">#REF!</definedName>
    <definedName name="L_SECTION_ISSR_208011556_13A">#REF!</definedName>
    <definedName name="L_SECTION_ISSR_208011556_13U">#REF!</definedName>
    <definedName name="L_SECTION_ISSR_208011556_13V">#REF!</definedName>
    <definedName name="L_SECTION_ISSR_208011556_Reference_Data">#REF!</definedName>
    <definedName name="L_T_obligations_under_cap_leases">#REF!</definedName>
    <definedName name="LA_Add">#REF!</definedName>
    <definedName name="LA_Bank">#REF!</definedName>
    <definedName name="LA_Date">#REF!</definedName>
    <definedName name="LA_Sell">#REF!</definedName>
    <definedName name="Labor">#REF!</definedName>
    <definedName name="last">#REF!</definedName>
    <definedName name="last_earnings_release_date">#REF!</definedName>
    <definedName name="last_reported_qtr">#REF!</definedName>
    <definedName name="last_reported_year">#REF!</definedName>
    <definedName name="Last_Results">#REF!</definedName>
    <definedName name="Last_Results_Quarter">#REF!</definedName>
    <definedName name="Last_Results_Year">#REF!</definedName>
    <definedName name="LastListUpdate">0</definedName>
    <definedName name="lastq">#REF!</definedName>
    <definedName name="lastqy">#REF!</definedName>
    <definedName name="LastRefreshed">#REF!</definedName>
    <definedName name="LastSummaryQuarter">#REF!</definedName>
    <definedName name="Latin_American_Domestic_Revenues">#REF!</definedName>
    <definedName name="Latin_American_Non_Domestic_Revenues">#REF!</definedName>
    <definedName name="Latin_American_Total_Revenues">#REF!</definedName>
    <definedName name="LCCY_Find">#REF!</definedName>
    <definedName name="LCI_5YRGROWTH">#REF!</definedName>
    <definedName name="lease_disc">#REF!</definedName>
    <definedName name="lease_disc05">#REF!</definedName>
    <definedName name="lease_perc">#REF!</definedName>
    <definedName name="Lease_thereafter">#REF!</definedName>
    <definedName name="Lease_years">#REF!</definedName>
    <definedName name="Lease_yr_1">#REF!</definedName>
    <definedName name="Lease_yr_2">#REF!</definedName>
    <definedName name="Lease_yr_3">#REF!</definedName>
    <definedName name="Lease_yr_4">#REF!</definedName>
    <definedName name="Lease_yr_5">#REF!</definedName>
    <definedName name="leftcol">#REF!</definedName>
    <definedName name="Lehigh_Add">#REF!</definedName>
    <definedName name="Lehigh_Bank">#REF!</definedName>
    <definedName name="Lehigh_Date">#REF!</definedName>
    <definedName name="Lehigh_Sell">#REF!</definedName>
    <definedName name="LGPhillips">#REF!</definedName>
    <definedName name="Libor_2002">#REF!</definedName>
    <definedName name="Libor_2003">#REF!</definedName>
    <definedName name="License_Rev">#REF!</definedName>
    <definedName name="License_Revenue">#REF!</definedName>
    <definedName name="License_Revenue_Existing_Customers">#REF!</definedName>
    <definedName name="License_Revenue_New_Customers">#REF!</definedName>
    <definedName name="LicenseGrowth">#REF!</definedName>
    <definedName name="life">#REF!</definedName>
    <definedName name="life2">#REF!</definedName>
    <definedName name="LIFO_Reserve">#REF!</definedName>
    <definedName name="linetable">#REF!</definedName>
    <definedName name="Linking_1">#REF!</definedName>
    <definedName name="Linking_2">#REF!</definedName>
    <definedName name="list">#REF!</definedName>
    <definedName name="LIST1">#REF!</definedName>
    <definedName name="listone">#REF!</definedName>
    <definedName name="Loan_Loss_Provision_fore">#REF!</definedName>
    <definedName name="Local_Sector">#REF!</definedName>
    <definedName name="Logic">#REF!</definedName>
    <definedName name="Long_Term_Debt">#REF!</definedName>
    <definedName name="Long_Term_Growth">#REF!</definedName>
    <definedName name="LongTerm">#REF!</definedName>
    <definedName name="Longterm_Deferred_Revenue">#REF!</definedName>
    <definedName name="LookupGartnerXrates">#REF!</definedName>
    <definedName name="LosDatos">#REF!</definedName>
    <definedName name="Loss_On_Fixed_Asset_Sales">#REF!</definedName>
    <definedName name="LowestAllowedPE">#REF!</definedName>
    <definedName name="LT_debt">#REF!</definedName>
    <definedName name="LT_debt_growth_fore">#REF!</definedName>
    <definedName name="LT_Deferred_Rev">#REF!</definedName>
    <definedName name="LT_EPS">#REF!</definedName>
    <definedName name="ltdebt">#REF!</definedName>
    <definedName name="LTEL_AdjustedEV">#REF!</definedName>
    <definedName name="LTEL_AssociatesMinorities">#REF!</definedName>
    <definedName name="LTEL_UnleveredFCF">#REF!</definedName>
    <definedName name="ltmax">#REF!</definedName>
    <definedName name="ltmcapexdepr">#REF!</definedName>
    <definedName name="ltmcapexopcf">#REF!</definedName>
    <definedName name="ltmcapexpct">#REF!</definedName>
    <definedName name="ltmebitda">#REF!</definedName>
    <definedName name="ltmebitdagr">#REF!</definedName>
    <definedName name="ltmebitdam">#REF!</definedName>
    <definedName name="ltmebitdaps">#REF!</definedName>
    <definedName name="ltmeps">#REF!</definedName>
    <definedName name="ltmepsgr">#REF!</definedName>
    <definedName name="ltmfax">#REF!</definedName>
    <definedName name="ltmfrcf">#REF!</definedName>
    <definedName name="ltmfrcfgr">#REF!</definedName>
    <definedName name="ltmfrcfps">#REF!</definedName>
    <definedName name="ltmgm">#REF!</definedName>
    <definedName name="ltminvx">#REF!</definedName>
    <definedName name="ltmom">#REF!</definedName>
    <definedName name="ltmomch">#REF!</definedName>
    <definedName name="ltmrev">#REF!</definedName>
    <definedName name="ltmrevgr">#REF!</definedName>
    <definedName name="ltmrndpct">#REF!</definedName>
    <definedName name="ltmroa">#REF!</definedName>
    <definedName name="ltmroe">#REF!</definedName>
    <definedName name="ltmspe">#REF!</definedName>
    <definedName name="ltmspegr">#REF!</definedName>
    <definedName name="ltmspsqft">#REF!</definedName>
    <definedName name="ltmspsqftgr">#REF!</definedName>
    <definedName name="ltmwcx">#REF!</definedName>
    <definedName name="lucurr">#REF!</definedName>
    <definedName name="lucurrffq">#REF!</definedName>
    <definedName name="luhi">#REF!</definedName>
    <definedName name="lulow">#REF!</definedName>
    <definedName name="lupegrelavg">#REF!</definedName>
    <definedName name="lupegrelcurr">#REF!</definedName>
    <definedName name="lupegrowthavg">#REF!</definedName>
    <definedName name="lupegrowthcurr">#REF!</definedName>
    <definedName name="lupegrowthhi">#REF!</definedName>
    <definedName name="lupegrowthlow">#REF!</definedName>
    <definedName name="lushares">#REF!</definedName>
    <definedName name="luttmavg">#REF!</definedName>
    <definedName name="luttmcurr">#REF!</definedName>
    <definedName name="luttmhi">#REF!</definedName>
    <definedName name="luttmlow">#REF!</definedName>
    <definedName name="luttmrelavg">#REF!</definedName>
    <definedName name="luttmrelcurr">#REF!</definedName>
    <definedName name="luttmrelhi">#REF!</definedName>
    <definedName name="luttmrellow">#REF!</definedName>
    <definedName name="luvprice">#REF!</definedName>
    <definedName name="luvshares">#REF!</definedName>
    <definedName name="LWSN">#REF!</definedName>
    <definedName name="LYN">#REF!</definedName>
    <definedName name="m">1000</definedName>
    <definedName name="M1_Seasonality">0.3</definedName>
    <definedName name="M2_Seasonality">0.3</definedName>
    <definedName name="M3_Seasonality">0.4</definedName>
    <definedName name="ma">#REF!</definedName>
    <definedName name="Macro1">#REF!</definedName>
    <definedName name="Main_ConvR_FileMode">#REF!</definedName>
    <definedName name="Main_Toolbar">#REF!</definedName>
    <definedName name="maincust.">#REF!</definedName>
    <definedName name="MainDialog.Auto_Open">#N/A</definedName>
    <definedName name="Maint_Rev">#REF!</definedName>
    <definedName name="Maintenance_Capital_Expenditure">#REF!</definedName>
    <definedName name="Maintenance_Revenue">#REF!</definedName>
    <definedName name="Maintenance_Writedown_Acquisitions">#REF!</definedName>
    <definedName name="Management">#REF!</definedName>
    <definedName name="Manhattan_Add">#REF!</definedName>
    <definedName name="MANUAL" hidden="1">#REF!</definedName>
    <definedName name="margin">#REF!</definedName>
    <definedName name="margin_adjustment02">#REF!</definedName>
    <definedName name="Market">#REF!</definedName>
    <definedName name="Market_Capital">#REF!</definedName>
    <definedName name="Market_capitalization">#REF!</definedName>
    <definedName name="Market_Index">#REF!</definedName>
    <definedName name="marketcap">#REF!</definedName>
    <definedName name="MATRIX">#REF!</definedName>
    <definedName name="MB">#REF!</definedName>
    <definedName name="MCCRKEVA">#REF!</definedName>
    <definedName name="mci_growth">#REF!</definedName>
    <definedName name="mci_tab">#REF!</definedName>
    <definedName name="mci_tracker">#REF!</definedName>
    <definedName name="MDCE">#REF!</definedName>
    <definedName name="med_value">#REF!</definedName>
    <definedName name="MediaList">#REF!</definedName>
    <definedName name="Mega_Bank">#REF!</definedName>
    <definedName name="Mega_Date">#REF!</definedName>
    <definedName name="Mega_Sell">#REF!</definedName>
    <definedName name="MegMode">#REF!</definedName>
    <definedName name="MerrillPrintIt" hidden="1">#REF!</definedName>
    <definedName name="methacurr">#REF!</definedName>
    <definedName name="methadate">#REF!</definedName>
    <definedName name="methadown">#REF!</definedName>
    <definedName name="methadownsup">#REF!</definedName>
    <definedName name="methaeps98">#REF!</definedName>
    <definedName name="methaeps99">#REF!</definedName>
    <definedName name="methafy1cons">#REF!</definedName>
    <definedName name="methafy2cons">#REF!</definedName>
    <definedName name="methahi">#REF!</definedName>
    <definedName name="methahilo">#REF!</definedName>
    <definedName name="methalow">#REF!</definedName>
    <definedName name="methamktcap">#REF!</definedName>
    <definedName name="methapegrowthavg">#REF!</definedName>
    <definedName name="methapegrowthcurr">#REF!</definedName>
    <definedName name="methapegrowthhi">#REF!</definedName>
    <definedName name="methapegrowthlow">#REF!</definedName>
    <definedName name="methaprice">#REF!</definedName>
    <definedName name="metharpe">#REF!</definedName>
    <definedName name="methashares">#REF!</definedName>
    <definedName name="methatprice">#REF!</definedName>
    <definedName name="methattmavg">#REF!</definedName>
    <definedName name="methattmcurr">#REF!</definedName>
    <definedName name="methattmhi">#REF!</definedName>
    <definedName name="methattmlow">#REF!</definedName>
    <definedName name="methattmrelavg">#REF!</definedName>
    <definedName name="methattmrelcurr">#REF!</definedName>
    <definedName name="methattmrelhi">#REF!</definedName>
    <definedName name="methattmrellow">#REF!</definedName>
    <definedName name="methaup">#REF!</definedName>
    <definedName name="methaupsup">#REF!</definedName>
    <definedName name="methavol">#REF!</definedName>
    <definedName name="methayield">#REF!</definedName>
    <definedName name="Metric_Type">OFFSET(#REF!,0,0,COUNTA(#REF!)-1)</definedName>
    <definedName name="metric1">#REF!</definedName>
    <definedName name="Metric2">#REF!</definedName>
    <definedName name="Metric3">#REF!</definedName>
    <definedName name="Metric4">#REF!</definedName>
    <definedName name="Metric5">#REF!</definedName>
    <definedName name="Metric6">#REF!</definedName>
    <definedName name="Metric7">#REF!</definedName>
    <definedName name="Metric8">#REF!</definedName>
    <definedName name="metrics1">#REF!</definedName>
    <definedName name="metrics2">#REF!</definedName>
    <definedName name="metrics3">#REF!</definedName>
    <definedName name="Mexico1">#REF!</definedName>
    <definedName name="Mexico2">#REF!</definedName>
    <definedName name="mfnx">#REF!</definedName>
    <definedName name="mfnx_g">#REF!</definedName>
    <definedName name="mfnx_is">#REF!</definedName>
    <definedName name="mgmtown">#REF!</definedName>
    <definedName name="MGN">#REF!</definedName>
    <definedName name="miavg">#REF!</definedName>
    <definedName name="michg">#REF!</definedName>
    <definedName name="Microperipherals">#REF!</definedName>
    <definedName name="Microprocessors">#REF!</definedName>
    <definedName name="Microsoft_FY_June">#REF!</definedName>
    <definedName name="micrpe">#REF!</definedName>
    <definedName name="micurr">#REF!</definedName>
    <definedName name="midate">#REF!</definedName>
    <definedName name="midown">#REF!</definedName>
    <definedName name="midownsup">#REF!</definedName>
    <definedName name="MidPoint">#REF!</definedName>
    <definedName name="mieps99">#REF!</definedName>
    <definedName name="mify1cons">#REF!</definedName>
    <definedName name="mify2cons">#REF!</definedName>
    <definedName name="mihi">#REF!</definedName>
    <definedName name="mihilo">#REF!</definedName>
    <definedName name="Millions_Or_Billions">#REF!</definedName>
    <definedName name="milow">#REF!</definedName>
    <definedName name="mimktcap">#REF!</definedName>
    <definedName name="Minority_Interests">#REF!</definedName>
    <definedName name="Minority_Interests_Balance_Sheet">#REF!</definedName>
    <definedName name="mipegrowthavg">#REF!</definedName>
    <definedName name="mipegrowthcurr">#REF!</definedName>
    <definedName name="mipegrowthhi">#REF!</definedName>
    <definedName name="mipegrowthlow">#REF!</definedName>
    <definedName name="miprice">#REF!</definedName>
    <definedName name="mirpe">#REF!</definedName>
    <definedName name="misc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mishares">#REF!</definedName>
    <definedName name="mitprice">#REF!</definedName>
    <definedName name="mittmavg">#REF!</definedName>
    <definedName name="mittmcurr">#REF!</definedName>
    <definedName name="mittmhi">#REF!</definedName>
    <definedName name="mittmlow">#REF!</definedName>
    <definedName name="mittmrelavg">#REF!</definedName>
    <definedName name="mittmrelcurr">#REF!</definedName>
    <definedName name="mittmrelhi">#REF!</definedName>
    <definedName name="mittmrellow">#REF!</definedName>
    <definedName name="miup">#REF!</definedName>
    <definedName name="miupsup">#REF!</definedName>
    <definedName name="mivol">#REF!</definedName>
    <definedName name="miyield">#REF!</definedName>
    <definedName name="mkt_cap">#REF!</definedName>
    <definedName name="MKT_PREM">#REF!</definedName>
    <definedName name="mktsh_1Q0">#REF!</definedName>
    <definedName name="mktsh_1Q00">#REF!</definedName>
    <definedName name="mktsh_1Q01">#REF!</definedName>
    <definedName name="mktsh_1Q02">#REF!</definedName>
    <definedName name="mktsh_1Q03">#REF!</definedName>
    <definedName name="mktsh_1Q04">#REF!</definedName>
    <definedName name="mktsh_1Q05">#REF!</definedName>
    <definedName name="mktsh_1Q06">#REF!</definedName>
    <definedName name="mktsh_1Q07">#REF!</definedName>
    <definedName name="mktsh_1Q98">#REF!</definedName>
    <definedName name="mktsh_1Q99">#REF!</definedName>
    <definedName name="mktsh_2Q00">#REF!</definedName>
    <definedName name="mktsh_2Q01">#REF!</definedName>
    <definedName name="mktsh_2Q02">#REF!</definedName>
    <definedName name="mktsh_2Q03">#REF!</definedName>
    <definedName name="mktsh_2Q04">#REF!</definedName>
    <definedName name="mktsh_2Q05">#REF!</definedName>
    <definedName name="mktsh_2Q06">#REF!</definedName>
    <definedName name="mktsh_2Q07">#REF!</definedName>
    <definedName name="mktsh_2Q98">#REF!</definedName>
    <definedName name="mktsh_2Q99">#REF!</definedName>
    <definedName name="mktsh_3Q00">#REF!</definedName>
    <definedName name="mktsh_3Q01">#REF!</definedName>
    <definedName name="mktsh_3Q02">#REF!</definedName>
    <definedName name="mktsh_3Q03">#REF!</definedName>
    <definedName name="mktsh_3Q04">#REF!</definedName>
    <definedName name="mktsh_3Q05">#REF!</definedName>
    <definedName name="mktsh_3Q06">#REF!</definedName>
    <definedName name="mktsh_3Q07">#REF!</definedName>
    <definedName name="mktsh_3Q98">#REF!</definedName>
    <definedName name="mktsh_3Q99">#REF!</definedName>
    <definedName name="mktsh_4Q00">#REF!</definedName>
    <definedName name="mktsh_4Q01">#REF!</definedName>
    <definedName name="mktsh_4Q02">#REF!</definedName>
    <definedName name="mktsh_4Q03">#REF!</definedName>
    <definedName name="mktsh_4Q04">#REF!</definedName>
    <definedName name="mktsh_4Q05">#REF!</definedName>
    <definedName name="mktsh_4Q06">#REF!</definedName>
    <definedName name="mktsh_4Q07">#REF!</definedName>
    <definedName name="mktsh_4Q98">#REF!</definedName>
    <definedName name="MktSum.">#REF!</definedName>
    <definedName name="mktvalue">#REF!</definedName>
    <definedName name="mktvalueuro">#REF!</definedName>
    <definedName name="mm" hidden="1">{#N/A,#N/A,FALSE,"Output";#N/A,#N/A,FALSE,"Cover Sheet";#N/A,#N/A,FALSE,"Current Mkt. Projections"}</definedName>
    <definedName name="MOBILEASP">#REF!</definedName>
    <definedName name="MOBILEREV">#REF!</definedName>
    <definedName name="MOBILESHIP.">#REF!</definedName>
    <definedName name="Model">#REF!</definedName>
    <definedName name="molxamktcap">#REF!</definedName>
    <definedName name="molxape1">#REF!</definedName>
    <definedName name="molxape2">#REF!</definedName>
    <definedName name="molxarating">#REF!</definedName>
    <definedName name="molxashares">#REF!</definedName>
    <definedName name="molxatprice">#REF!</definedName>
    <definedName name="molxavg">#REF!</definedName>
    <definedName name="molxchg">#REF!</definedName>
    <definedName name="molxcrpe">#REF!</definedName>
    <definedName name="molxcurr">#REF!</definedName>
    <definedName name="molxdate">#REF!</definedName>
    <definedName name="molxdown">#REF!</definedName>
    <definedName name="molxdownsup">#REF!</definedName>
    <definedName name="molxevebitda">#REF!</definedName>
    <definedName name="molxffqpeavg">#REF!</definedName>
    <definedName name="molxffqpecurr">#REF!</definedName>
    <definedName name="molxfy1cons">#REF!</definedName>
    <definedName name="molxfy2cons">#REF!</definedName>
    <definedName name="molxhi">#REF!</definedName>
    <definedName name="molxlo">#REF!</definedName>
    <definedName name="molxpegrowthavg">#REF!</definedName>
    <definedName name="molxpegrowthcurr">#REF!</definedName>
    <definedName name="molxpegrowthmax">#REF!</definedName>
    <definedName name="molxpegrowthmin">#REF!</definedName>
    <definedName name="molxperelavg">#REF!</definedName>
    <definedName name="molxperelcurr">#REF!</definedName>
    <definedName name="molxprice">#REF!</definedName>
    <definedName name="molxqv">#REF!</definedName>
    <definedName name="molxrpe">#REF!</definedName>
    <definedName name="molxtech">#REF!</definedName>
    <definedName name="molxttmavg">#REF!</definedName>
    <definedName name="molxttmcurr">#REF!</definedName>
    <definedName name="molxttmhi">#REF!</definedName>
    <definedName name="molxttmlo">#REF!</definedName>
    <definedName name="molxttmrelavg">#REF!</definedName>
    <definedName name="molxttmrelcurr">#REF!</definedName>
    <definedName name="molxttmrelhi">#REF!</definedName>
    <definedName name="molxttmrello">#REF!</definedName>
    <definedName name="molxup">#REF!</definedName>
    <definedName name="molxupsup">#REF!</definedName>
    <definedName name="molxvol">#REF!</definedName>
    <definedName name="molxyield">#REF!</definedName>
    <definedName name="Monetary_Gains">#REF!</definedName>
    <definedName name="month">#REF!</definedName>
    <definedName name="motchg">#REF!</definedName>
    <definedName name="motcurr">#REF!</definedName>
    <definedName name="motcurrffq">#REF!</definedName>
    <definedName name="motpegrelavg">#REF!</definedName>
    <definedName name="motpegrelcurr">#REF!</definedName>
    <definedName name="motpegrowthavg">#REF!</definedName>
    <definedName name="motpegrowthcurr">#REF!</definedName>
    <definedName name="motshares">#REF!</definedName>
    <definedName name="MRDisk">#REF!</definedName>
    <definedName name="MSFT">#REF!</definedName>
    <definedName name="MSTAR_AssociatesMinorities">#REF!</definedName>
    <definedName name="MusicMarket">#REF!</definedName>
    <definedName name="MYTDVOL">14</definedName>
    <definedName name="n" hidden="1">{"IS",#N/A,FALSE,"IS";"RPTIS",#N/A,FALSE,"RPTIS";"STATS",#N/A,FALSE,"STATS";"BS",#N/A,FALSE,"BS"}</definedName>
    <definedName name="N_A">#REF!</definedName>
    <definedName name="N601_">#N/A</definedName>
    <definedName name="NA">#REF!</definedName>
    <definedName name="NAEVA">#REF!</definedName>
    <definedName name="name">#REF!</definedName>
    <definedName name="NarrowedDataRange">#N/A</definedName>
    <definedName name="NarrowedDataRangeDates">#N/A</definedName>
    <definedName name="NAS">#REF!</definedName>
    <definedName name="nck" localSheetId="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ck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cn" localSheetId="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cn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ND00">#REF!</definedName>
    <definedName name="NDLit03">#REF!</definedName>
    <definedName name="NDLit04">#REF!</definedName>
    <definedName name="NEC">#REF!</definedName>
    <definedName name="net">#REF!</definedName>
    <definedName name="Net_Acquisitions">#REF!</definedName>
    <definedName name="Net_Adj_capitalized_expenses">#REF!</definedName>
    <definedName name="Net_adj_for_capitalized_expenses">#REF!</definedName>
    <definedName name="net_cash">#REF!</definedName>
    <definedName name="Net_Cash_From_Financing">#REF!</definedName>
    <definedName name="Net_Cash_From_Operations">#REF!</definedName>
    <definedName name="Net_Cash_Used_For_Investment">#REF!</definedName>
    <definedName name="Net_Change_In_Working_Capital">#REF!</definedName>
    <definedName name="net_debt">#REF!</definedName>
    <definedName name="Net_Income">#REF!</definedName>
    <definedName name="Net_income_adj_cap_expenses">#REF!</definedName>
    <definedName name="Net_Income_Adj_Earnings_PreAbnormal_Goodwill_Amort">#REF!</definedName>
    <definedName name="Net_Income_Common_Shareholders">#REF!</definedName>
    <definedName name="Net_income_fore">#REF!</definedName>
    <definedName name="Net_income_growth">#REF!</definedName>
    <definedName name="Net_income_growth_avg">#REF!</definedName>
    <definedName name="Net_Intangible_Fixed_Assets">#REF!</definedName>
    <definedName name="Net_Interest">#REF!</definedName>
    <definedName name="Net_Lit03">#REF!</definedName>
    <definedName name="Net_margin">#REF!</definedName>
    <definedName name="Net_margin_fore">#REF!</definedName>
    <definedName name="Net_PPE">#REF!</definedName>
    <definedName name="Net_PPE_DCF">#REF!</definedName>
    <definedName name="Net_PPE_growth_fore">#REF!</definedName>
    <definedName name="net_profit_postabs_pretelstra">#REF!</definedName>
    <definedName name="net_profit_pretelstra">#REF!</definedName>
    <definedName name="Net_property_under_capital_leases">#REF!</definedName>
    <definedName name="net_revenue_00">#REF!</definedName>
    <definedName name="net_revenue_06">#REF!</definedName>
    <definedName name="net_revenue_07">#REF!</definedName>
    <definedName name="net_revenue_08">#REF!</definedName>
    <definedName name="net_revenue_94">#REF!</definedName>
    <definedName name="Net_Revenues">#REF!</definedName>
    <definedName name="Net_sales">#REF!</definedName>
    <definedName name="Net_sales_DCF">#REF!</definedName>
    <definedName name="Net_sales_fore">#REF!</definedName>
    <definedName name="Net_sales_growth_fore">#REF!</definedName>
    <definedName name="Net_Tangible_Fixed_Assets">#REF!</definedName>
    <definedName name="Net_Tax_Benefit_of_Non_Op_Charges_Gains">#REF!</definedName>
    <definedName name="Net_Unrealized_Gains_Losses">#REF!</definedName>
    <definedName name="Net_working_capital">#REF!</definedName>
    <definedName name="Net_working_capital_DCF">#REF!</definedName>
    <definedName name="Net_Working_Capital_Inflation">#REF!</definedName>
    <definedName name="Net_working_capital_turns">#REF!</definedName>
    <definedName name="Net_working_capital_turns_DCF">#REF!</definedName>
    <definedName name="Net00">#REF!</definedName>
    <definedName name="netcash99">#REF!</definedName>
    <definedName name="netdebt">#REF!</definedName>
    <definedName name="NetDebt00">#REF!</definedName>
    <definedName name="NetDebt01">#REF!</definedName>
    <definedName name="NetDebt02">#REF!</definedName>
    <definedName name="NetDebt03">#REF!</definedName>
    <definedName name="NetDebt04">#REF!</definedName>
    <definedName name="NetDebt98">#REF!</definedName>
    <definedName name="NetDebt99">#REF!</definedName>
    <definedName name="NetDebtPerShare">#REF!</definedName>
    <definedName name="NetExEqtyCons1997">#REF!</definedName>
    <definedName name="NetExEqtyCons1998">#REF!</definedName>
    <definedName name="NetExEqtyCons1999">#REF!</definedName>
    <definedName name="NetExEqtyCons2000">#REF!</definedName>
    <definedName name="NetExEqtyCons2001">#REF!</definedName>
    <definedName name="NetIncome_Lit03">#REF!</definedName>
    <definedName name="NetIncome01">#REF!</definedName>
    <definedName name="NetIncome02">#REF!</definedName>
    <definedName name="NetIncome1997">#REF!</definedName>
    <definedName name="NetIncome1998">#REF!</definedName>
    <definedName name="NetIncome1999">#REF!</definedName>
    <definedName name="NetIncome2000">#REF!</definedName>
    <definedName name="NetIncome2001">#REF!</definedName>
    <definedName name="NetIncome96">#REF!</definedName>
    <definedName name="NetIncomeExEqtyAssets1997">#REF!</definedName>
    <definedName name="NetIncomeExEqtyAssets1998">#REF!</definedName>
    <definedName name="NetIncomeExEqtyAssets1999">#REF!</definedName>
    <definedName name="NetIncomeExEqtyAssets2000">#REF!</definedName>
    <definedName name="NetIncomeExEqtyAssets2001">#REF!</definedName>
    <definedName name="netint">#REF!</definedName>
    <definedName name="NetLit03">#REF!</definedName>
    <definedName name="NetLit04">#REF!</definedName>
    <definedName name="NetWC_turns_fore">#REF!</definedName>
    <definedName name="NETWORKING">#REF!</definedName>
    <definedName name="New_Customers">#REF!</definedName>
    <definedName name="NEW_GROWTH">#REF!</definedName>
    <definedName name="New_Options_Granted">#REF!</definedName>
    <definedName name="newbel" hidden="1">{"IS",#N/A,FALSE,"IS";"RPTIS",#N/A,FALSE,"RPTIS";"STATS",#N/A,FALSE,"STATS";"CELL",#N/A,FALSE,"CELL";"BS",#N/A,FALSE,"BS"}</definedName>
    <definedName name="Newmaterial">#REF!</definedName>
    <definedName name="NewRange" hidden="1">#REF!</definedName>
    <definedName name="NEWSPAPERS">#REF!</definedName>
    <definedName name="next">#REF!</definedName>
    <definedName name="next_earnings_release_date">#REF!</definedName>
    <definedName name="Next_Event">#REF!</definedName>
    <definedName name="Next_Event_Type">#REF!</definedName>
    <definedName name="next_qtr_eps">#REF!</definedName>
    <definedName name="next_qtr_rev">#REF!</definedName>
    <definedName name="next_results_type">#REF!</definedName>
    <definedName name="NextButton">"Button 18"</definedName>
    <definedName name="nextq">#REF!</definedName>
    <definedName name="nextqy">#REF!</definedName>
    <definedName name="NIBCLs">#REF!</definedName>
    <definedName name="nio_96">#REF!</definedName>
    <definedName name="nio_97">#REF!</definedName>
    <definedName name="nio_98">#REF!</definedName>
    <definedName name="NIS">#REF!</definedName>
    <definedName name="No_Options_Exercised">#REF!</definedName>
    <definedName name="no_shares">#REF!</definedName>
    <definedName name="No_Shares_Repurchased">#REF!</definedName>
    <definedName name="nokavg">#REF!</definedName>
    <definedName name="nokavgffq">#REF!</definedName>
    <definedName name="nokchg">#REF!</definedName>
    <definedName name="nokcurr">#REF!</definedName>
    <definedName name="nokcurrffq">#REF!</definedName>
    <definedName name="nokpegrelavg">#REF!</definedName>
    <definedName name="nokpegrelcurr">#REF!</definedName>
    <definedName name="nokpegrowthavg">#REF!</definedName>
    <definedName name="nokpegrowthcurr">#REF!</definedName>
    <definedName name="nokshares">#REF!</definedName>
    <definedName name="NOL">#REF!</definedName>
    <definedName name="Non_Recurring_loss_gain">#REF!</definedName>
    <definedName name="NonTVRev96">#REF!</definedName>
    <definedName name="NonTVRev97">#REF!</definedName>
    <definedName name="NonTVRev98">#REF!</definedName>
    <definedName name="NOPAT">#REF!</definedName>
    <definedName name="NOPAT_DCF">#REF!</definedName>
    <definedName name="NOPAT_fore">#REF!</definedName>
    <definedName name="NOPAT_growth">#REF!</definedName>
    <definedName name="NOPAT_growth_avg">#REF!</definedName>
    <definedName name="NOPAT_margin">#REF!</definedName>
    <definedName name="NOPAT_margin_fore">#REF!</definedName>
    <definedName name="NOPAT_Share">#REF!</definedName>
    <definedName name="NOPBT">#REF!</definedName>
    <definedName name="NOPBT_fore">#REF!</definedName>
    <definedName name="Norm_forecast_11_15">#REF!</definedName>
    <definedName name="Norm_forecast_16_25">#REF!</definedName>
    <definedName name="Norm_forecast_4_5">#REF!</definedName>
    <definedName name="Norm_forecast_6_10">#REF!</definedName>
    <definedName name="Normal" hidden="1">{"Annual_Income",#N/A,FALSE,"Report Page";"Balance_Cash_Flow",#N/A,FALSE,"Report Page";"Quarterly_Income",#N/A,FALSE,"Report Page"}</definedName>
    <definedName name="North_American_Revenues">#REF!</definedName>
    <definedName name="Notes">#REF!</definedName>
    <definedName name="Notes1">#REF!</definedName>
    <definedName name="NPT_1">#REF!</definedName>
    <definedName name="NPT_10">#REF!</definedName>
    <definedName name="NPT_11">#REF!</definedName>
    <definedName name="NPT_12">#REF!</definedName>
    <definedName name="NPT_13">#REF!</definedName>
    <definedName name="NPT_14">#REF!</definedName>
    <definedName name="NPT_2">#REF!</definedName>
    <definedName name="NPT_3">#REF!</definedName>
    <definedName name="NPT_4">#REF!</definedName>
    <definedName name="NPT_5">#REF!</definedName>
    <definedName name="NPT_6">#REF!</definedName>
    <definedName name="NPT_7">#REF!</definedName>
    <definedName name="NPT_8">#REF!</definedName>
    <definedName name="NPT_9">#REF!</definedName>
    <definedName name="NPT_EY1">#REF!</definedName>
    <definedName name="NPT_EY2">#REF!</definedName>
    <definedName name="NPT_EY3">#REF!</definedName>
    <definedName name="NPT_P">#REF!</definedName>
    <definedName name="NPV_calc">#REF!</definedName>
    <definedName name="ntavg">#REF!</definedName>
    <definedName name="ntavgffq">#REF!</definedName>
    <definedName name="ntchg">#REF!</definedName>
    <definedName name="ntcurr">#REF!</definedName>
    <definedName name="ntcurrffq">#REF!</definedName>
    <definedName name="ntpegrelavg">#REF!</definedName>
    <definedName name="ntpegrelcurr">#REF!</definedName>
    <definedName name="ntpegrowthavg">#REF!</definedName>
    <definedName name="ntpegrowthcurr">#REF!</definedName>
    <definedName name="ntroavg">#REF!</definedName>
    <definedName name="ntroavgffq">#REF!</definedName>
    <definedName name="ntrochg">#REF!</definedName>
    <definedName name="ntrocurr">#REF!</definedName>
    <definedName name="ntrocurrffq">#REF!</definedName>
    <definedName name="ntropegrelavg">#REF!</definedName>
    <definedName name="ntropegrelcurr">#REF!</definedName>
    <definedName name="ntropegrowthavg">#REF!</definedName>
    <definedName name="ntropegrowthcurr">#REF!</definedName>
    <definedName name="ntshares">#REF!</definedName>
    <definedName name="NUFO_1Pager">#REF!</definedName>
    <definedName name="Number_of_Shares">#REF!</definedName>
    <definedName name="NumberArea">#REF!</definedName>
    <definedName name="NvsASD">"V2000-06-30"</definedName>
    <definedName name="NvsAutoDrillOk">"VN"</definedName>
    <definedName name="NvsElapsedTime">0.0000983796271611936</definedName>
    <definedName name="NvsEndTime">36761.3950292824</definedName>
    <definedName name="NvsInstSpec">"%,FBUSINESS_UNIT,TBUSUNIT_ROLLUP,NINTRALINKS,FCURRENCY_CD,VUSD"</definedName>
    <definedName name="NvsLayoutType">"M3"</definedName>
    <definedName name="NvsNplSpec">"%,X,RZF..,CZF.."</definedName>
    <definedName name="NvsPanelEffdt">"V1900-01-01"</definedName>
    <definedName name="NvsPanelSetid">"VCORP1"</definedName>
    <definedName name="NvsReqBU">"VCORP1"</definedName>
    <definedName name="NvsReqBUOnly">"VN"</definedName>
    <definedName name="NvsSheetType">"M"</definedName>
    <definedName name="NvsTransLed">"VN"</definedName>
    <definedName name="NvsTreeASD">"V2000-06-30"</definedName>
    <definedName name="NvsValTbl.ACCOUNT">"GL_ACCOUNT_TBL"</definedName>
    <definedName name="nwacprice">#REF!</definedName>
    <definedName name="nwacshares">#REF!</definedName>
    <definedName name="nxtvavg">#REF!</definedName>
    <definedName name="nxtvavgffq">#REF!</definedName>
    <definedName name="nxtvchg">#REF!</definedName>
    <definedName name="nxtvcurr">#REF!</definedName>
    <definedName name="nxtvcurrffq">#REF!</definedName>
    <definedName name="nxtvpegrelavg">#REF!</definedName>
    <definedName name="nxtvpegrelcurr">#REF!</definedName>
    <definedName name="nxtvpegrowthavg">#REF!</definedName>
    <definedName name="nxtvpegrowthcurr">#REF!</definedName>
    <definedName name="oakavg">#REF!</definedName>
    <definedName name="oakchg">#REF!</definedName>
    <definedName name="oakcrpe">#REF!</definedName>
    <definedName name="oakcurr">#REF!</definedName>
    <definedName name="oakdate">#REF!</definedName>
    <definedName name="oakdown">#REF!</definedName>
    <definedName name="oakdownsup">#REF!</definedName>
    <definedName name="oakevebitda">#REF!</definedName>
    <definedName name="oakffqpeavg">#REF!</definedName>
    <definedName name="oakffqpecurr">#REF!</definedName>
    <definedName name="oakfy1cons">#REF!</definedName>
    <definedName name="oakfy2cons">#REF!</definedName>
    <definedName name="oakhi">#REF!</definedName>
    <definedName name="oakhilo">#REF!</definedName>
    <definedName name="oaklow">#REF!</definedName>
    <definedName name="oakmktcap">#REF!</definedName>
    <definedName name="oakpe1">#REF!</definedName>
    <definedName name="oakpe2">#REF!</definedName>
    <definedName name="oakpegrowthavg">#REF!</definedName>
    <definedName name="oakpegrowthcurr">#REF!</definedName>
    <definedName name="oakpegrowthhi">#REF!</definedName>
    <definedName name="oakpegrowthlow">#REF!</definedName>
    <definedName name="oakperelavg">#REF!</definedName>
    <definedName name="oakperelcurr">#REF!</definedName>
    <definedName name="oakprice">#REF!</definedName>
    <definedName name="oakrating">#REF!</definedName>
    <definedName name="oakrpe">#REF!</definedName>
    <definedName name="oakshares">#REF!</definedName>
    <definedName name="oaktprice">#REF!</definedName>
    <definedName name="oakttmavg">#REF!</definedName>
    <definedName name="oakttmcurr">#REF!</definedName>
    <definedName name="oakttmhi">#REF!</definedName>
    <definedName name="oakttmlow">#REF!</definedName>
    <definedName name="oakttmrelavg">#REF!</definedName>
    <definedName name="oakttmrelcurr">#REF!</definedName>
    <definedName name="oakttmrelhi">#REF!</definedName>
    <definedName name="oakttmrellow">#REF!</definedName>
    <definedName name="oakup">#REF!</definedName>
    <definedName name="oakupsup">#REF!</definedName>
    <definedName name="oakvol">#REF!</definedName>
    <definedName name="oakyield">#REF!</definedName>
    <definedName name="OEMDist">#REF!</definedName>
    <definedName name="OEMrev">#REF!</definedName>
    <definedName name="Off_B_S_Income">#REF!</definedName>
    <definedName name="Off_B_S_Income_DCF">#REF!</definedName>
    <definedName name="Off_B_S_Income_fore">#REF!</definedName>
    <definedName name="Off_B_S_Income_growth_fore">#REF!</definedName>
    <definedName name="Off_High_Cov">#REF!</definedName>
    <definedName name="offpr">#REF!</definedName>
    <definedName name="OFFSETREF">#REF!</definedName>
    <definedName name="OIM">#REF!</definedName>
    <definedName name="OL_1">#REF!</definedName>
    <definedName name="OL_10">#REF!</definedName>
    <definedName name="OL_11">#REF!</definedName>
    <definedName name="OL_12">#REF!</definedName>
    <definedName name="OL_13">#REF!</definedName>
    <definedName name="OL_14">#REF!</definedName>
    <definedName name="OL_2">#REF!</definedName>
    <definedName name="OL_3">#REF!</definedName>
    <definedName name="OL_4">#REF!</definedName>
    <definedName name="OL_5">#REF!</definedName>
    <definedName name="OL_6">#REF!</definedName>
    <definedName name="OL_7">#REF!</definedName>
    <definedName name="OL_8">#REF!</definedName>
    <definedName name="OL_9">#REF!</definedName>
    <definedName name="OL_P">#REF!</definedName>
    <definedName name="ONIS_BS">#REF!</definedName>
    <definedName name="ONIS_CF">#REF!</definedName>
    <definedName name="ONIS_IS">#REF!</definedName>
    <definedName name="OP_CF_GROWTH_RATE">#REF!</definedName>
    <definedName name="OP_CF_YIELD">#REF!</definedName>
    <definedName name="opcagr">#REF!</definedName>
    <definedName name="opcfnetinc">#REF!</definedName>
    <definedName name="Oper_Inc">#REF!</definedName>
    <definedName name="Operating_Expenses">#REF!</definedName>
    <definedName name="Operating_Free_Cash_Flow">#REF!</definedName>
    <definedName name="Operating_income">#REF!</definedName>
    <definedName name="Operating_Income_Division_1">#REF!</definedName>
    <definedName name="Operating_Income_Division_2">#REF!</definedName>
    <definedName name="Operating_Income_Division_3">#REF!</definedName>
    <definedName name="Operating_Income_Division_4">#REF!</definedName>
    <definedName name="Operating_Income_Division_5">#REF!</definedName>
    <definedName name="Operating_Income_Division_6">#REF!</definedName>
    <definedName name="Operating_income_fore">#REF!</definedName>
    <definedName name="Operating_Lease_Expense">#REF!</definedName>
    <definedName name="Operating_Lease_Expense_fore">#REF!</definedName>
    <definedName name="OperatingMargin">#REF!</definedName>
    <definedName name="Opex">#REF!</definedName>
    <definedName name="opexp">#REF!</definedName>
    <definedName name="opinc">#REF!</definedName>
    <definedName name="OPM">#REF!</definedName>
    <definedName name="opm00">#REF!</definedName>
    <definedName name="opmargin">#REF!</definedName>
    <definedName name="Option_Expiry_Period">#REF!</definedName>
    <definedName name="Options">#REF!</definedName>
    <definedName name="Options_Forfeited_Employee_Termination">#REF!</definedName>
    <definedName name="Options_Outstanding">#REF!</definedName>
    <definedName name="ORA_AdjustedEV">#REF!</definedName>
    <definedName name="ORA_AssociatesMinorities">#REF!</definedName>
    <definedName name="ORA_UnleveredFCF">#REF!</definedName>
    <definedName name="Oracle">#REF!</definedName>
    <definedName name="Oracle_geography">#REF!</definedName>
    <definedName name="Oracle_License_Chart">#REF!</definedName>
    <definedName name="ORCL">#REF!</definedName>
    <definedName name="ORCL_LargeDealSize">#REF!</definedName>
    <definedName name="ORCL_ProductPricing">#REF!</definedName>
    <definedName name="orctfy1cons">#REF!</definedName>
    <definedName name="orctfy2cons">#REF!</definedName>
    <definedName name="orcthi">#REF!</definedName>
    <definedName name="orctlow">#REF!</definedName>
    <definedName name="orctpegrowthavg">#REF!</definedName>
    <definedName name="orctpegrowthcurr">#REF!</definedName>
    <definedName name="orctpegrowthhi">#REF!</definedName>
    <definedName name="orctpegrowthlow">#REF!</definedName>
    <definedName name="orctprice">#REF!</definedName>
    <definedName name="orctshares">#REF!</definedName>
    <definedName name="orctttmavg">#REF!</definedName>
    <definedName name="orctttmcurr">#REF!</definedName>
    <definedName name="orctttmhi">#REF!</definedName>
    <definedName name="orctttmlow">#REF!</definedName>
    <definedName name="orctttmrelavg">#REF!</definedName>
    <definedName name="orctttmrelcurr">#REF!</definedName>
    <definedName name="orctttmrelhi">#REF!</definedName>
    <definedName name="orctttmrellow">#REF!</definedName>
    <definedName name="ord_price">#REF!</definedName>
    <definedName name="ord_shares">#REF!</definedName>
    <definedName name="ord_shares99">#REF!</definedName>
    <definedName name="ord_target99">#REF!</definedName>
    <definedName name="orddiv_99">#REF!</definedName>
    <definedName name="ordersBacklog">#REF!</definedName>
    <definedName name="ortlavg">#REF!</definedName>
    <definedName name="ortlchg">#REF!</definedName>
    <definedName name="ortlcrpe">#REF!</definedName>
    <definedName name="ortlcurr">#REF!</definedName>
    <definedName name="ortldown">#REF!</definedName>
    <definedName name="ortldownsup">#REF!</definedName>
    <definedName name="ortleps98">#REF!</definedName>
    <definedName name="ortleps99">#REF!</definedName>
    <definedName name="ortlfy1cons">#REF!</definedName>
    <definedName name="ortlfy2cons">#REF!</definedName>
    <definedName name="ortlhi">#REF!</definedName>
    <definedName name="ortlhilo">#REF!</definedName>
    <definedName name="ortllow">#REF!</definedName>
    <definedName name="ortlmktcap">#REF!</definedName>
    <definedName name="ortlpegrowthavg">#REF!</definedName>
    <definedName name="ortlpegrowthcurr">#REF!</definedName>
    <definedName name="ortlpegrowthhi">#REF!</definedName>
    <definedName name="ortlpegrowthlow">#REF!</definedName>
    <definedName name="ortlprice">#REF!</definedName>
    <definedName name="ortlrpe">#REF!</definedName>
    <definedName name="ortlshares">#REF!</definedName>
    <definedName name="ortltprice">#REF!</definedName>
    <definedName name="ortlttmavg">#REF!</definedName>
    <definedName name="ortlttmcurr">#REF!</definedName>
    <definedName name="ortlttmhi">#REF!</definedName>
    <definedName name="ortlttmlow">#REF!</definedName>
    <definedName name="ortlttmrelavg">#REF!</definedName>
    <definedName name="ortlttmrelcurr">#REF!</definedName>
    <definedName name="ortlttmrelhi">#REF!</definedName>
    <definedName name="ortlttmrellow">#REF!</definedName>
    <definedName name="ortlup">#REF!</definedName>
    <definedName name="ortlupsup">#REF!</definedName>
    <definedName name="ortlvol">#REF!</definedName>
    <definedName name="ortlyield">#REF!</definedName>
    <definedName name="oth_inv">#REF!</definedName>
    <definedName name="OTHER">#REF!</definedName>
    <definedName name="Other_asset_turns">#REF!</definedName>
    <definedName name="Other_asset_turns_DCF">#REF!</definedName>
    <definedName name="Other_asset_turns_fore">#REF!</definedName>
    <definedName name="Other_assets">#REF!</definedName>
    <definedName name="Other_assets_DCF">#REF!</definedName>
    <definedName name="Other_Assets2">#REF!</definedName>
    <definedName name="Other_Cash_Flow">#REF!</definedName>
    <definedName name="Other_Cash_From_Financing">#REF!</definedName>
    <definedName name="Other_current_assets">#REF!</definedName>
    <definedName name="Other_current_assets_growth_fore">#REF!</definedName>
    <definedName name="Other_Current_Assets2">#REF!</definedName>
    <definedName name="Other_current_liabilities">#REF!</definedName>
    <definedName name="Other_current_liabilities_growth_fore">#REF!</definedName>
    <definedName name="Other_Current_Liabilities2">#REF!</definedName>
    <definedName name="Other_DCF">#REF!</definedName>
    <definedName name="Other_dividends">#REF!</definedName>
    <definedName name="Other_Expenses">#REF!</definedName>
    <definedName name="Other_Expenses_fore">#REF!</definedName>
    <definedName name="Other_expenses_gains">#REF!</definedName>
    <definedName name="Other_expenses_gains_fore">#REF!</definedName>
    <definedName name="Other_expenses_growth_fore">#REF!</definedName>
    <definedName name="Other_fixed_asset_turns">#REF!</definedName>
    <definedName name="Other_fixed_asset_turns_fore">#REF!</definedName>
    <definedName name="Other_fixed_assets">#REF!</definedName>
    <definedName name="Other_fixed_assets_growth_fore">#REF!</definedName>
    <definedName name="Other_fixed_assets2">#REF!</definedName>
    <definedName name="Other_growth_fore">#REF!</definedName>
    <definedName name="Other_inc_exp_fore">#REF!</definedName>
    <definedName name="Other_Income">#REF!</definedName>
    <definedName name="Other_income_growth_fore">#REF!</definedName>
    <definedName name="Other_Intangible_Assets">#REF!</definedName>
    <definedName name="Other_Investment">#REF!</definedName>
    <definedName name="Other_Item_1">#REF!</definedName>
    <definedName name="Other_Item_10">#REF!</definedName>
    <definedName name="Other_Item_11">#REF!</definedName>
    <definedName name="Other_Item_12">#REF!</definedName>
    <definedName name="Other_Item_13">#REF!</definedName>
    <definedName name="Other_Item_14">#REF!</definedName>
    <definedName name="Other_Item_15">#REF!</definedName>
    <definedName name="Other_Item_16">#REF!</definedName>
    <definedName name="Other_Item_2">#REF!</definedName>
    <definedName name="Other_Item_3">#REF!</definedName>
    <definedName name="Other_Item_4">#REF!</definedName>
    <definedName name="Other_Item_5">#REF!</definedName>
    <definedName name="Other_Item_6">#REF!</definedName>
    <definedName name="Other_Item_7">#REF!</definedName>
    <definedName name="Other_Item_8">#REF!</definedName>
    <definedName name="Other_Item_9">#REF!</definedName>
    <definedName name="Other_liabilities">#REF!</definedName>
    <definedName name="Other_liabilities_growth_fore">#REF!</definedName>
    <definedName name="Other_liabilities2">#REF!</definedName>
    <definedName name="Other_Long_Term_Liabilities">#REF!</definedName>
    <definedName name="Other_LT_Debt">#REF!</definedName>
    <definedName name="Other_ncome_expenses">#REF!</definedName>
    <definedName name="other_Progcost_96">#REF!</definedName>
    <definedName name="Other_progcost_97">#REF!</definedName>
    <definedName name="Other_progcost_98">#REF!</definedName>
    <definedName name="Other_reserves">#REF!</definedName>
    <definedName name="Other_Segment_Revenues">#REF!</definedName>
    <definedName name="Other_ST_Debt">#REF!</definedName>
    <definedName name="Other1">#REF!</definedName>
    <definedName name="othernet">#REF!</definedName>
    <definedName name="OtherPCShipRank">#REF!</definedName>
    <definedName name="OtherPhoneShipRank">#REF!</definedName>
    <definedName name="otherrev">#REF!</definedName>
    <definedName name="Otherrev_96">#REF!</definedName>
    <definedName name="Otherrev97">#REF!</definedName>
    <definedName name="Otherrev98">#REF!</definedName>
    <definedName name="OtherUMTShipRank">#REF!</definedName>
    <definedName name="otto_ord">#REF!</definedName>
    <definedName name="otto_sav">#REF!</definedName>
    <definedName name="p" hidden="1">{"External_Annual_Income",#N/A,FALSE,"External";"External_Quarterly_Income",#N/A,FALSE,"External"}</definedName>
    <definedName name="p_am_good">#REF!</definedName>
    <definedName name="p_cost_of_sales">#REF!</definedName>
    <definedName name="p_ebit">#REF!</definedName>
    <definedName name="p_exep_items">#REF!</definedName>
    <definedName name="p_extr_items">#REF!</definedName>
    <definedName name="p_gross_profit">#REF!</definedName>
    <definedName name="P_Income1">#REF!</definedName>
    <definedName name="P_Income2">#REF!</definedName>
    <definedName name="p_interest">#REF!</definedName>
    <definedName name="p_min_intr">#REF!</definedName>
    <definedName name="p_n_op_prof">#REF!</definedName>
    <definedName name="p_net_prof">#REF!</definedName>
    <definedName name="p_net_sales">#REF!</definedName>
    <definedName name="p_op_prof">#REF!</definedName>
    <definedName name="p_oth_op_inc">#REF!</definedName>
    <definedName name="P_PL_BS">#REF!,#REF!</definedName>
    <definedName name="p_pre_tax_prof">#REF!</definedName>
    <definedName name="P_Product">#REF!</definedName>
    <definedName name="p_tax">#REF!</definedName>
    <definedName name="p_tax_percent">#REF!</definedName>
    <definedName name="P_Tear">#REF!</definedName>
    <definedName name="PACIFIC_NET">#REF!,#REF!,#REF!</definedName>
    <definedName name="Page1">#REF!</definedName>
    <definedName name="Page12">#REF!</definedName>
    <definedName name="Page2">#REF!</definedName>
    <definedName name="pairavg">#REF!</definedName>
    <definedName name="pairchg">#REF!</definedName>
    <definedName name="paircurr">#REF!</definedName>
    <definedName name="pairfy1cons">#REF!</definedName>
    <definedName name="pairfy2cons">#REF!</definedName>
    <definedName name="pairhi">#REF!</definedName>
    <definedName name="pairlow">#REF!</definedName>
    <definedName name="pairpegrowthavg">#REF!</definedName>
    <definedName name="pairpegrowthcurr">#REF!</definedName>
    <definedName name="pairpegrowthhi">#REF!</definedName>
    <definedName name="pairpegrowthlow">#REF!</definedName>
    <definedName name="pairprice">#REF!</definedName>
    <definedName name="pairshares">#REF!</definedName>
    <definedName name="pairttmavg">#REF!</definedName>
    <definedName name="pairttmcurr">#REF!</definedName>
    <definedName name="pairttmhi">#REF!</definedName>
    <definedName name="pairttmlow">#REF!</definedName>
    <definedName name="pairttmrelavg">#REF!</definedName>
    <definedName name="pairttmrelcurr">#REF!</definedName>
    <definedName name="pairttmrelhi">#REF!</definedName>
    <definedName name="pairttmrellow">#REF!</definedName>
    <definedName name="panamprice">#REF!</definedName>
    <definedName name="panamshares">#REF!</definedName>
    <definedName name="PANr_AdjustedEV">#REF!</definedName>
    <definedName name="PANr_AssociatesMinorities">#REF!</definedName>
    <definedName name="PANr_UnleveredFCF">#REF!</definedName>
    <definedName name="Partial_year">#REF!</definedName>
    <definedName name="passrev">#REF!</definedName>
    <definedName name="Paste1">#REF!</definedName>
    <definedName name="Paste2">#REF!</definedName>
    <definedName name="Paste3">#REF!</definedName>
    <definedName name="Paste4">#REF!</definedName>
    <definedName name="Paste5">#REF!</definedName>
    <definedName name="Paste6">#REF!</definedName>
    <definedName name="Paste7">#REF!</definedName>
    <definedName name="Paste8">#REF!</definedName>
    <definedName name="PAT_1Q98">#REF!</definedName>
    <definedName name="Payout_ratio_on_underlying">#REF!</definedName>
    <definedName name="pb_fee_comm">#REF!</definedName>
    <definedName name="pb_loan_loss_prov">#REF!</definedName>
    <definedName name="pb_tot_inc_banks">#REF!</definedName>
    <definedName name="pb_trad_inc">#REF!</definedName>
    <definedName name="pb_wd_sec">#REF!</definedName>
    <definedName name="PCS_share_price">#REF!</definedName>
    <definedName name="PCShipmentsPivot">#REF!</definedName>
    <definedName name="PCShipPosToRank">#REF!</definedName>
    <definedName name="PCVendorShipmentsList">#REF!</definedName>
    <definedName name="pdyncurr">#REF!</definedName>
    <definedName name="pdyncurrffq">#REF!</definedName>
    <definedName name="pdynpegrelavg">#REF!</definedName>
    <definedName name="pdynpegrelcurr">#REF!</definedName>
    <definedName name="pdynpegrowthavg">#REF!</definedName>
    <definedName name="pdynpegrowthcurr">#REF!</definedName>
    <definedName name="PE_2004">#REF!</definedName>
    <definedName name="PE_2005">#REF!</definedName>
    <definedName name="PE_2006">#REF!</definedName>
    <definedName name="peganic">#REF!</definedName>
    <definedName name="pegapcc">#REF!</definedName>
    <definedName name="pegaph">#REF!</definedName>
    <definedName name="pegarw">#REF!</definedName>
    <definedName name="pegatsn">#REF!</definedName>
    <definedName name="pegavt">#REF!</definedName>
    <definedName name="pegavx">#REF!</definedName>
    <definedName name="pegaxe">#REF!</definedName>
    <definedName name="pegbwc">#REF!</definedName>
    <definedName name="pegcdt">#REF!</definedName>
    <definedName name="pegcls">#REF!</definedName>
    <definedName name="pegctv">#REF!</definedName>
    <definedName name="pegetek">#REF!</definedName>
    <definedName name="pegflex">#REF!</definedName>
    <definedName name="peggcn">#REF!</definedName>
    <definedName name="pegglw">#REF!</definedName>
    <definedName name="pegjbl">#REF!</definedName>
    <definedName name="pegjds">#REF!</definedName>
    <definedName name="pegjdsu">#REF!</definedName>
    <definedName name="pegkmet">#REF!</definedName>
    <definedName name="pegknt">#REF!</definedName>
    <definedName name="pegmetha">#REF!</definedName>
    <definedName name="pegmi">#REF!</definedName>
    <definedName name="pegmolx">#REF!</definedName>
    <definedName name="pegoak">#REF!</definedName>
    <definedName name="pegortl">#REF!</definedName>
    <definedName name="pegryc">#REF!</definedName>
    <definedName name="pegsanm">#REF!</definedName>
    <definedName name="pegsci">#REF!</definedName>
    <definedName name="pegsdli">#REF!</definedName>
    <definedName name="pegslr">#REF!</definedName>
    <definedName name="pegsmod">#REF!</definedName>
    <definedName name="pegsut">#REF!</definedName>
    <definedName name="pegtnb">#REF!</definedName>
    <definedName name="pegunph">#REF!</definedName>
    <definedName name="pegvsh">#REF!</definedName>
    <definedName name="Penetration">#REF!</definedName>
    <definedName name="Pension_Provisions_Etc">#REF!</definedName>
    <definedName name="Peoplesoft__Inc.">#REF!</definedName>
    <definedName name="percent_change">#REF!</definedName>
    <definedName name="Percent_Employees_Eligible_For_Options">#REF!</definedName>
    <definedName name="Percent_Impact_FX_On_Earnings">#REF!</definedName>
    <definedName name="Percent_Impact_FX_On_Revenues">#REF!</definedName>
    <definedName name="percent_of_revenue">IF(ISBLANK(#REF!),"          NM",#REF!/#REF!)</definedName>
    <definedName name="PERCENT90_91">#REF!</definedName>
    <definedName name="Perf_97">#REF!</definedName>
    <definedName name="Perf_98">#REF!</definedName>
    <definedName name="Perf_99">#REF!</definedName>
    <definedName name="Performance">#REF!</definedName>
    <definedName name="Peripheral_Assets">#REF!</definedName>
    <definedName name="perpetmax">#REF!</definedName>
    <definedName name="perpetmed">#REF!</definedName>
    <definedName name="perpetmin">#REF!</definedName>
    <definedName name="Personnel96">#REF!</definedName>
    <definedName name="Personnel97">#REF!</definedName>
    <definedName name="pertax98">#REF!</definedName>
    <definedName name="PETicker">#REF!</definedName>
    <definedName name="PFPRICE">#REF!</definedName>
    <definedName name="PFPRICE2">#REF!</definedName>
    <definedName name="PG1_D">#REF!</definedName>
    <definedName name="PG1_S">#REF!</definedName>
    <definedName name="PG10_D">#REF!</definedName>
    <definedName name="PG10_S">#REF!</definedName>
    <definedName name="PG11A_S">#REF!</definedName>
    <definedName name="PG11B_S">#REF!</definedName>
    <definedName name="PG12_S">#REF!</definedName>
    <definedName name="PG13_S">#REF!</definedName>
    <definedName name="PG14_D">#REF!</definedName>
    <definedName name="PG14_O">#REF!</definedName>
    <definedName name="PG14_S">#REF!</definedName>
    <definedName name="PG15A_S">#REF!</definedName>
    <definedName name="PG15B_S">#REF!</definedName>
    <definedName name="PG16A_S">#REF!</definedName>
    <definedName name="PG16B_S">#REF!</definedName>
    <definedName name="PG17A_S">#REF!</definedName>
    <definedName name="PG17B_S">#REF!</definedName>
    <definedName name="PG18_S">#REF!</definedName>
    <definedName name="PG19_D">#REF!</definedName>
    <definedName name="PG19_O">#REF!</definedName>
    <definedName name="PG19_S">#REF!</definedName>
    <definedName name="PG2_D">#REF!</definedName>
    <definedName name="PG2_S">#REF!</definedName>
    <definedName name="PG20_D">#REF!</definedName>
    <definedName name="PG20_S">#REF!</definedName>
    <definedName name="PG21_D">#REF!</definedName>
    <definedName name="PG21_S">#REF!</definedName>
    <definedName name="PG22_D">#REF!</definedName>
    <definedName name="PG22_S">#REF!</definedName>
    <definedName name="PG23_D">#REF!</definedName>
    <definedName name="PG23_O">#REF!</definedName>
    <definedName name="PG23_S">#REF!</definedName>
    <definedName name="PG24_D">#REF!</definedName>
    <definedName name="PG24_O">#REF!</definedName>
    <definedName name="PG24_S">#REF!</definedName>
    <definedName name="PG25_D">#REF!</definedName>
    <definedName name="PG25_O">#REF!</definedName>
    <definedName name="PG25_S">#REF!</definedName>
    <definedName name="PG26_D">#REF!</definedName>
    <definedName name="PG26_O">#REF!</definedName>
    <definedName name="PG26_S">#REF!</definedName>
    <definedName name="PG27_O">#REF!</definedName>
    <definedName name="PG27_S">#REF!</definedName>
    <definedName name="PG28_D">#REF!</definedName>
    <definedName name="PG28_S">#REF!</definedName>
    <definedName name="PG29_D">#REF!</definedName>
    <definedName name="PG29_S">#REF!</definedName>
    <definedName name="PG3_D">#REF!</definedName>
    <definedName name="PG3_S">#REF!</definedName>
    <definedName name="PG30_D">#REF!</definedName>
    <definedName name="PG30_S">#REF!</definedName>
    <definedName name="PG31_D">#REF!</definedName>
    <definedName name="PG31_S">#REF!</definedName>
    <definedName name="PG32_S">#REF!</definedName>
    <definedName name="PG33_D">#REF!</definedName>
    <definedName name="PG33_O">#REF!</definedName>
    <definedName name="PG33_S">#REF!</definedName>
    <definedName name="PG34_O">#REF!</definedName>
    <definedName name="PG34_S">#REF!</definedName>
    <definedName name="PG35_0">#REF!</definedName>
    <definedName name="PG35_O">#REF!</definedName>
    <definedName name="PG35_S">#REF!</definedName>
    <definedName name="PG4_D">#REF!</definedName>
    <definedName name="PG4_S">#REF!</definedName>
    <definedName name="PG5_D">#REF!</definedName>
    <definedName name="PG5_S">#REF!</definedName>
    <definedName name="PG6_D">#REF!</definedName>
    <definedName name="PG6_S">#REF!</definedName>
    <definedName name="PG7_D">#REF!</definedName>
    <definedName name="PG7_S">#REF!</definedName>
    <definedName name="PG8_O">#REF!</definedName>
    <definedName name="PG8_S">#REF!</definedName>
    <definedName name="PG9A_S">#REF!</definedName>
    <definedName name="PG9B_S">#REF!</definedName>
    <definedName name="PGEX_5YRGROWTH">#REF!</definedName>
    <definedName name="PH_email">"phuang@isigrp.com"</definedName>
    <definedName name="PH_phone">"(212) 446-9467"</definedName>
    <definedName name="Philadelphia_Add">#REF!</definedName>
    <definedName name="PhoneShipmentsPivot">#REF!</definedName>
    <definedName name="PhoneShipPosToRank">#REF!</definedName>
    <definedName name="PhoneVendorShipmentList">#REF!</definedName>
    <definedName name="pi_inv_inc">#REF!</definedName>
    <definedName name="pi_life_prof">#REF!</definedName>
    <definedName name="pi_nl_claims">#REF!</definedName>
    <definedName name="pi_nl_prem_inc">#REF!</definedName>
    <definedName name="pi_nl_prof">#REF!</definedName>
    <definedName name="pi_nl_uw_res">#REF!</definedName>
    <definedName name="Pictur9">"Picture 9"</definedName>
    <definedName name="Picture1">"Picture 1"</definedName>
    <definedName name="Picture10">"Picture 10"</definedName>
    <definedName name="Picture11">"Picture 11"</definedName>
    <definedName name="Picture2">"Picture 2"</definedName>
    <definedName name="Picture4">"Picture 4"</definedName>
    <definedName name="Picture5">"Picture 5"</definedName>
    <definedName name="Picture6">"Picture 6"</definedName>
    <definedName name="piedmontprice">#REF!</definedName>
    <definedName name="piedmontshares">#REF!</definedName>
    <definedName name="PL">#REF!</definedName>
    <definedName name="PL_93_95">#REF!</definedName>
    <definedName name="PL_AM">#REF!</definedName>
    <definedName name="PL_BS">#REF!,#REF!</definedName>
    <definedName name="PL_CG">#REF!</definedName>
    <definedName name="PL_CG_CT">#REF!</definedName>
    <definedName name="PL_CG_DS">#REF!</definedName>
    <definedName name="PL_CP">#REF!</definedName>
    <definedName name="PL_DAB">#REF!</definedName>
    <definedName name="PL_DE">#REF!</definedName>
    <definedName name="PL_DE_M">#REF!</definedName>
    <definedName name="PL_EBIT">#REF!</definedName>
    <definedName name="PL_EBIT_DS">#REF!</definedName>
    <definedName name="PL_EBIT_HS">#REF!</definedName>
    <definedName name="PL_EBIT_M">#REF!</definedName>
    <definedName name="PL_EBITDA">#REF!</definedName>
    <definedName name="PL_EBITDA_HS">#REF!</definedName>
    <definedName name="PL_EI_DS">#REF!</definedName>
    <definedName name="PL_EI_DS_M">#REF!</definedName>
    <definedName name="PL_EM_M">#REF!</definedName>
    <definedName name="PL_EN_AV">#REF!</definedName>
    <definedName name="PL_H1NP">#REF!</definedName>
    <definedName name="PL_H1P">#REF!</definedName>
    <definedName name="PL_H1R">#REF!</definedName>
    <definedName name="PL_IC_AS">#REF!</definedName>
    <definedName name="PL_IC_OT">#REF!</definedName>
    <definedName name="PL_IN">#REF!</definedName>
    <definedName name="PL_IN_HS">#REF!</definedName>
    <definedName name="PL_IN_PY">#REF!</definedName>
    <definedName name="PL_IN_RC">#REF!</definedName>
    <definedName name="PL_Metric">OFFSET(#REF!,0,0,COUNTA(#REF!)-1)</definedName>
    <definedName name="PL_NE">#REF!</definedName>
    <definedName name="PL_NE_OD">#REF!</definedName>
    <definedName name="PL_NE_SD">#REF!</definedName>
    <definedName name="PL_NP">#REF!</definedName>
    <definedName name="PL_NP_DI">#REF!</definedName>
    <definedName name="PL_NP_HS">#REF!</definedName>
    <definedName name="PL_NP_MI">#REF!</definedName>
    <definedName name="PL_NP_OD">#REF!</definedName>
    <definedName name="PL_PAT">#REF!</definedName>
    <definedName name="PL_PAT_HS">#REF!</definedName>
    <definedName name="PL_PBT">#REF!</definedName>
    <definedName name="PL_PBT_HS">#REF!</definedName>
    <definedName name="PL_Q1NP">#REF!</definedName>
    <definedName name="PL_Q1P">#REF!</definedName>
    <definedName name="PL_Q1R">#REF!</definedName>
    <definedName name="PL_Q2NP">#REF!</definedName>
    <definedName name="PL_Q2P">#REF!</definedName>
    <definedName name="PL_Q2R">#REF!</definedName>
    <definedName name="PL_Q3NP">#REF!</definedName>
    <definedName name="PL_Q3P">#REF!</definedName>
    <definedName name="PL_Q3R">#REF!</definedName>
    <definedName name="PL_Q4NP">#REF!</definedName>
    <definedName name="PL_Q4P">#REF!</definedName>
    <definedName name="PL_Q4R">#REF!</definedName>
    <definedName name="PL_RP">#REF!</definedName>
    <definedName name="PL_RV">#REF!</definedName>
    <definedName name="PL_RV_CT">#REF!</definedName>
    <definedName name="PL_RV_DS">#REF!</definedName>
    <definedName name="PL_TE">#REF!</definedName>
    <definedName name="PL_TE_AE">#REF!</definedName>
    <definedName name="PL_TE_EI">#REF!</definedName>
    <definedName name="PL_TE_EI_M">#REF!</definedName>
    <definedName name="PL_TE_OL">#REF!</definedName>
    <definedName name="PL_TE_OP">#REF!</definedName>
    <definedName name="PL_TE_OT">#REF!</definedName>
    <definedName name="PL_TE_PD">#REF!</definedName>
    <definedName name="PL_TE_PE">#REF!</definedName>
    <definedName name="PL_TE_PF">#REF!</definedName>
    <definedName name="PL_TE_RC">#REF!</definedName>
    <definedName name="PL_TE_RD">#REF!</definedName>
    <definedName name="PL_TE_RM">#REF!</definedName>
    <definedName name="PL_TE_SC">#REF!</definedName>
    <definedName name="PL_TE_VC">#REF!</definedName>
    <definedName name="PL_TN">#REF!</definedName>
    <definedName name="PL_TN_HS">#REF!</definedName>
    <definedName name="PL_TX">#REF!</definedName>
    <definedName name="PL_TX_HS">#REF!</definedName>
    <definedName name="plant_table">#REF!</definedName>
    <definedName name="PNL_corp_ohead">#REF!</definedName>
    <definedName name="pops">#REF!</definedName>
    <definedName name="pops02">#REF!</definedName>
    <definedName name="Portable">#REF!</definedName>
    <definedName name="Post_Employment_Benefits">#REF!</definedName>
    <definedName name="Post_tax_stock_gains_losses">#REF!</definedName>
    <definedName name="PPnE_turns_fore">#REF!</definedName>
    <definedName name="PRDATA">#REF!</definedName>
    <definedName name="pre_or_net_profits">#REF!</definedName>
    <definedName name="Pre_Tax_Income">#REF!</definedName>
    <definedName name="Preference_Dividend">#REF!</definedName>
    <definedName name="Preferred_book_value">#REF!</definedName>
    <definedName name="Preferred_Dividends">#REF!</definedName>
    <definedName name="Preferred_stock">#REF!</definedName>
    <definedName name="Preferred_stock_growth_fore">#REF!</definedName>
    <definedName name="Prefix1">OFFSET(#REF!,0,0,COUNTA(#REF!)-1,1)</definedName>
    <definedName name="Prefix10">OFFSET(#REF!,0,0,COUNTA(#REF!)-1,1)</definedName>
    <definedName name="Prefix2">OFFSET(#REF!,0,0,COUNTA(#REF!)-1,1)</definedName>
    <definedName name="Prefix3">OFFSET(#REF!,0,0,COUNTA(#REF!)-1,1)</definedName>
    <definedName name="Prefix4">OFFSET(#REF!,0,0,COUNTA(#REF!)-1,1)</definedName>
    <definedName name="Prefix5">OFFSET(#REF!,0,0,COUNTA(#REF!)-1,1)</definedName>
    <definedName name="Prefix6">OFFSET(#REF!,0,0,COUNTA(#REF!)-1,1)</definedName>
    <definedName name="Prefix7">OFFSET(#REF!,0,0,COUNTA(#REF!)-1,1)</definedName>
    <definedName name="Prefix8">OFFSET(#REF!,0,0,COUNTA(#REF!)-1,1)</definedName>
    <definedName name="Prefix9">OFFSET(#REF!,0,0,COUNTA(#REF!)-1,1)</definedName>
    <definedName name="PrefixAnalyses">OFFSET(#REF!,0,0,COUNTA(#REF!)-1,1)</definedName>
    <definedName name="prefstock">#REF!</definedName>
    <definedName name="Prelim_10">#REF!</definedName>
    <definedName name="Prelim_102">#REF!</definedName>
    <definedName name="Present_Value_Oper_lease">#REF!</definedName>
    <definedName name="PresentationNormalA4">#REF!</definedName>
    <definedName name="pretax">#REF!</definedName>
    <definedName name="Pretax_income">#REF!</definedName>
    <definedName name="pretax_income_06">#REF!</definedName>
    <definedName name="PreTax_Income_Adj">#REF!</definedName>
    <definedName name="Pretax_income_fore">#REF!</definedName>
    <definedName name="pretax00">#REF!</definedName>
    <definedName name="pretax01">#REF!</definedName>
    <definedName name="pretax02">#REF!</definedName>
    <definedName name="pretax2000">#REF!</definedName>
    <definedName name="pretax2001">#REF!</definedName>
    <definedName name="pretax2002">#REF!</definedName>
    <definedName name="pretax2003">#REF!</definedName>
    <definedName name="pretax2004">#REF!</definedName>
    <definedName name="pretax98">#REF!</definedName>
    <definedName name="pretax99">#REF!</definedName>
    <definedName name="PreTaxIncome">#REF!</definedName>
    <definedName name="pretaxLit03">#REF!</definedName>
    <definedName name="pretaxLit04">#REF!</definedName>
    <definedName name="PreviousButton">"Button 19"</definedName>
    <definedName name="Pri_EPSGrowth">#REF!</definedName>
    <definedName name="pric">#REF!</definedName>
    <definedName name="price">#REF!</definedName>
    <definedName name="Price_AsAt">#REF!</definedName>
    <definedName name="price_euro">#REF!</definedName>
    <definedName name="price_history_table">#REF!</definedName>
    <definedName name="Price_Prim">#REF!</definedName>
    <definedName name="Price_Sec">#REF!</definedName>
    <definedName name="price_target_12m">#REF!</definedName>
    <definedName name="price_target_date">#REF!</definedName>
    <definedName name="Price_Tert">#REF!</definedName>
    <definedName name="pricebook">OFFSET(#REF!,0,0,COUNTA(#REF!),1)</definedName>
    <definedName name="PriceDate">#REF!</definedName>
    <definedName name="PriceRef">#REF!</definedName>
    <definedName name="PricesUsed">#REF!</definedName>
    <definedName name="priceuro">#REF!</definedName>
    <definedName name="pricext5">#REF!</definedName>
    <definedName name="PricingData">#REF!</definedName>
    <definedName name="PricingHomeCell1">#REF!</definedName>
    <definedName name="primary_source_id">#REF!</definedName>
    <definedName name="PRIMEVIEW">#REF!</definedName>
    <definedName name="PRIMTH">2</definedName>
    <definedName name="Print">#REF!</definedName>
    <definedName name="print_all_stat">#REF!,#REF!,#REF!</definedName>
    <definedName name="_xlnm.Print_Area" localSheetId="5">Automotive!$A$2:$BW$21</definedName>
    <definedName name="_xlnm.Print_Area" localSheetId="2">NVDA!$A$2:$DV$58</definedName>
    <definedName name="_xlnm.Print_Area" localSheetId="1">Worksheet!$A$3:$EO$102</definedName>
    <definedName name="_xlnm.Print_Area">#REF!</definedName>
    <definedName name="Print_Area_MI">#REF!</definedName>
    <definedName name="print_pl">#REF!</definedName>
    <definedName name="_xlnm.Print_Titles" localSheetId="2">NVDA!$A:$A,NVDA!$1:$4</definedName>
    <definedName name="_xlnm.Print_Titles">#REF!</definedName>
    <definedName name="PrintBS">#REF!</definedName>
    <definedName name="PrintConclusion">#REF!</definedName>
    <definedName name="PrintDCF">#REF!</definedName>
    <definedName name="PrintDCFAssumptions">#REF!</definedName>
    <definedName name="PrintDCFWorkingCap">#REF!</definedName>
    <definedName name="PrintGuideCoBS">#REF!</definedName>
    <definedName name="PrintGuideCoHistoryPage1">#REF!</definedName>
    <definedName name="PrintGuideCoHistoryPage2">#REF!</definedName>
    <definedName name="PrintGuideCoIS">#REF!</definedName>
    <definedName name="PrintGuideCoMultiples">#REF!</definedName>
    <definedName name="PrintGuideCoRatios">#REF!</definedName>
    <definedName name="PrintGuideCoValueSummary">#REF!</definedName>
    <definedName name="PrintGuideSummaryRange">#REF!</definedName>
    <definedName name="PRINTING">#REF!</definedName>
    <definedName name="PrintIS">#REF!</definedName>
    <definedName name="PrintMenu">#REF!</definedName>
    <definedName name="printrange">#REF!</definedName>
    <definedName name="PrintTab">#REF!</definedName>
    <definedName name="PrintTav">#REF!</definedName>
    <definedName name="PRIVOL">4</definedName>
    <definedName name="PRIWEEK">2</definedName>
    <definedName name="Prod.rev">#REF!</definedName>
    <definedName name="ProdPurposeSummaryPivot">#REF!</definedName>
    <definedName name="ProdTypeSummaryPivot">#REF!</definedName>
    <definedName name="ProductPricingORCL">#REF!</definedName>
    <definedName name="prof">#REF!</definedName>
    <definedName name="profitability">#REF!</definedName>
    <definedName name="ProgCosts">#REF!</definedName>
    <definedName name="progright_96">#REF!</definedName>
    <definedName name="progright_97">#REF!</definedName>
    <definedName name="progright_98">#REF!</definedName>
    <definedName name="PROINC1292">#REF!</definedName>
    <definedName name="Proj_Fin">#REF!</definedName>
    <definedName name="Promos_97">#REF!</definedName>
    <definedName name="Promos_98">#REF!</definedName>
    <definedName name="Promos_Euro97">#REF!</definedName>
    <definedName name="Promos_Euro98">#REF!</definedName>
    <definedName name="Promos_rev96">#REF!</definedName>
    <definedName name="Provisions">#REF!</definedName>
    <definedName name="PRTL_5YRGROWTH">#REF!</definedName>
    <definedName name="PSD_Period_End_Shares_In_Issue">#REF!</definedName>
    <definedName name="PSG">#REF!</definedName>
    <definedName name="PTA_X">#REF!</definedName>
    <definedName name="PTABLN_X">#REF!</definedName>
    <definedName name="pubtitle">#REF!</definedName>
    <definedName name="pubtitle3">#REF!</definedName>
    <definedName name="PV_of_Economic_Profit">#REF!</definedName>
    <definedName name="PV_of_FCF">#REF!</definedName>
    <definedName name="PV_of_Residual_Value">#REF!</definedName>
    <definedName name="PV_Oper_lease">#REF!</definedName>
    <definedName name="q">#REF!</definedName>
    <definedName name="Q.Q" hidden="1">{"Annual_Income",#N/A,FALSE,"Report Page";"Balance_Cash_Flow",#N/A,FALSE,"Report Page";"Quarterly_Income",#N/A,FALSE,"Report Page"}</definedName>
    <definedName name="Q_1GrossMargin">#REF!</definedName>
    <definedName name="Q_1NetIncome">#REF!</definedName>
    <definedName name="Q_1OpsIncome">#REF!</definedName>
    <definedName name="Q_1OpsMargin">#REF!</definedName>
    <definedName name="Q_1Rev">#REF!</definedName>
    <definedName name="Q_2GrossMargin">#REF!</definedName>
    <definedName name="Q_2NetIncome">#REF!</definedName>
    <definedName name="Q_2OpsIncome">#REF!</definedName>
    <definedName name="Q_2OpsMargin">#REF!</definedName>
    <definedName name="Q_2Rev">#REF!</definedName>
    <definedName name="Q_3GrossMargin">#REF!</definedName>
    <definedName name="Q_3NetIncome">#REF!</definedName>
    <definedName name="Q_3OpsIncome">#REF!</definedName>
    <definedName name="Q_3OpsMargin">#REF!</definedName>
    <definedName name="Q_3Rev">#REF!</definedName>
    <definedName name="Q_4GrossMargin">#REF!</definedName>
    <definedName name="Q_4NetIncome">#REF!</definedName>
    <definedName name="Q_4OpsIncome">#REF!</definedName>
    <definedName name="Q_4OpsMargin">#REF!</definedName>
    <definedName name="Q_4Rev">#REF!</definedName>
    <definedName name="q_access_lines">#REF!</definedName>
    <definedName name="Q_CON">#REF!,#REF!,#REF!,#REF!,#REF!,#REF!</definedName>
    <definedName name="Q_CON_CUM">#REF!,#REF!,#REF!,#REF!,#REF!,#REF!</definedName>
    <definedName name="Q_detail">#REF!,#REF!,#REF!,#REF!,#REF!,#REF!,#REF!</definedName>
    <definedName name="Q_NOM">#REF!,#REF!,#REF!,#REF!,#REF!,#REF!,#REF!,#REF!</definedName>
    <definedName name="Q_NOM_CUM">#REF!,#REF!,#REF!,#REF!,#REF!,#REF!</definedName>
    <definedName name="q_vge">#REF!</definedName>
    <definedName name="q_wireless_subs">#REF!</definedName>
    <definedName name="Q0GrossMargin">#REF!</definedName>
    <definedName name="Q0NetIncome">#REF!</definedName>
    <definedName name="Q0OpsIncome">#REF!</definedName>
    <definedName name="Q0OpsMargin">#REF!</definedName>
    <definedName name="Q0Rev">#REF!</definedName>
    <definedName name="q1.00">#REF!</definedName>
    <definedName name="q1.01">#REF!</definedName>
    <definedName name="Q1.1997.04">#REF!</definedName>
    <definedName name="Q1.1998.04">#REF!</definedName>
    <definedName name="Q1.1999.04">#REF!</definedName>
    <definedName name="Q1.2000.04">#REF!</definedName>
    <definedName name="Q1.2001.04">#REF!</definedName>
    <definedName name="Q1.2002.04">#REF!</definedName>
    <definedName name="Q1.2003.04">#REF!</definedName>
    <definedName name="Q1.2004.04">#REF!</definedName>
    <definedName name="Q1.2005.04">#REF!</definedName>
    <definedName name="Q1.2006.04">#REF!</definedName>
    <definedName name="Q1.2007.03">#REF!</definedName>
    <definedName name="Q1.2007.04">#REF!</definedName>
    <definedName name="Q1.2008.02">#REF!</definedName>
    <definedName name="Q1.2008.03">#REF!</definedName>
    <definedName name="Q1.2008.10">#REF!</definedName>
    <definedName name="Q1.2009.02">#REF!</definedName>
    <definedName name="Q1.2009.03">#REF!</definedName>
    <definedName name="Q1.2010.01">#REF!</definedName>
    <definedName name="Q1.2010.02">#REF!</definedName>
    <definedName name="Q1.2010.03">#REF!</definedName>
    <definedName name="Q1.2011.01">#REF!</definedName>
    <definedName name="Q1.2011.02">#REF!</definedName>
    <definedName name="Q1.2011.03">#REF!</definedName>
    <definedName name="Q1.2012.01">#REF!</definedName>
    <definedName name="Q1.2012.02">#REF!</definedName>
    <definedName name="Q1.2012.03">#REF!</definedName>
    <definedName name="Q1.2013.01">#REF!</definedName>
    <definedName name="Q1.2013.02">#REF!</definedName>
    <definedName name="Q1.2013.03">#REF!</definedName>
    <definedName name="Q1.2014.01">#REF!</definedName>
    <definedName name="Q1.2014.02">#REF!</definedName>
    <definedName name="q1.95">#REF!</definedName>
    <definedName name="q1.99">#REF!</definedName>
    <definedName name="Q1_86">#REF!</definedName>
    <definedName name="Q1_87">#REF!</definedName>
    <definedName name="Q1_88">#REF!</definedName>
    <definedName name="Q1_89">#REF!</definedName>
    <definedName name="Q1_90">#REF!</definedName>
    <definedName name="Q1_91">#REF!</definedName>
    <definedName name="Q1_92">#REF!</definedName>
    <definedName name="Q1_93">#REF!</definedName>
    <definedName name="Q1_94">#REF!</definedName>
    <definedName name="Q1_95">#REF!</definedName>
    <definedName name="Q1_96">#REF!</definedName>
    <definedName name="q1_97">#REF!</definedName>
    <definedName name="q1_98">#REF!</definedName>
    <definedName name="q1_99">#REF!</definedName>
    <definedName name="q1_row1">#REF!</definedName>
    <definedName name="q1_row2">#REF!</definedName>
    <definedName name="q1_row3">#REF!</definedName>
    <definedName name="q100_rev">#REF!</definedName>
    <definedName name="q197_rev">#REF!</definedName>
    <definedName name="q198_ni">#REF!</definedName>
    <definedName name="q198_rev">#REF!</definedName>
    <definedName name="q198_shares">#REF!</definedName>
    <definedName name="q199_ni">#REF!</definedName>
    <definedName name="q199_rev">#REF!</definedName>
    <definedName name="q199_shares">#REF!</definedName>
    <definedName name="Q1GrossMargin">#REF!</definedName>
    <definedName name="Q1NetIncome">#REF!</definedName>
    <definedName name="Q1OpsIncome">#REF!</definedName>
    <definedName name="Q1OpsMargin">#REF!</definedName>
    <definedName name="Q1Rev">#REF!</definedName>
    <definedName name="q2.00">#REF!</definedName>
    <definedName name="q2.01">#REF!</definedName>
    <definedName name="Q2.1997.07">#REF!</definedName>
    <definedName name="Q2.1998.07">#REF!</definedName>
    <definedName name="Q2.1999.07">#REF!</definedName>
    <definedName name="Q2.2000.07">#REF!</definedName>
    <definedName name="Q2.2001.07">#REF!</definedName>
    <definedName name="Q2.2002.07">#REF!</definedName>
    <definedName name="Q2.2003.07">#REF!</definedName>
    <definedName name="Q2.2004.07">#REF!</definedName>
    <definedName name="Q2.2005.07">#REF!</definedName>
    <definedName name="Q2.2006.07">#REF!</definedName>
    <definedName name="Q2.2007.06">#REF!</definedName>
    <definedName name="Q2.2007.07">#REF!</definedName>
    <definedName name="Q2.2008.01">#REF!</definedName>
    <definedName name="Q2.2008.03">#REF!</definedName>
    <definedName name="Q2.2008.05">#REF!</definedName>
    <definedName name="Q2.2008.06">#REF!</definedName>
    <definedName name="Q2.2009.01">#REF!</definedName>
    <definedName name="Q2.2009.03">#REF!</definedName>
    <definedName name="Q2.2009.05">#REF!</definedName>
    <definedName name="Q2.2009.06">#REF!</definedName>
    <definedName name="Q2.2010.03">#REF!</definedName>
    <definedName name="Q2.2010.04">#REF!</definedName>
    <definedName name="Q2.2010.05">#REF!</definedName>
    <definedName name="Q2.2010.06">#REF!</definedName>
    <definedName name="Q2.2011.04">#REF!</definedName>
    <definedName name="Q2.2011.05">#REF!</definedName>
    <definedName name="Q2.2011.06">#REF!</definedName>
    <definedName name="Q2.2012.04">#REF!</definedName>
    <definedName name="Q2.2012.05">#REF!</definedName>
    <definedName name="Q2.2012.06">#REF!</definedName>
    <definedName name="Q2.2013.04">#REF!</definedName>
    <definedName name="Q2.2013.05">#REF!</definedName>
    <definedName name="Q2.2013.06">#REF!</definedName>
    <definedName name="Q2.2014.04">#REF!</definedName>
    <definedName name="Q2.2014.05">#REF!</definedName>
    <definedName name="q2.95">#REF!</definedName>
    <definedName name="q2.98">#REF!</definedName>
    <definedName name="q2.99">#REF!</definedName>
    <definedName name="Q2_86">#REF!</definedName>
    <definedName name="Q2_87">#REF!</definedName>
    <definedName name="Q2_88">#REF!</definedName>
    <definedName name="Q2_89">#REF!</definedName>
    <definedName name="Q2_90">#REF!</definedName>
    <definedName name="Q2_91">#REF!</definedName>
    <definedName name="Q2_92">#REF!</definedName>
    <definedName name="Q2_93">#REF!</definedName>
    <definedName name="Q2_94">#REF!</definedName>
    <definedName name="Q2_95">#REF!</definedName>
    <definedName name="Q2_96">#REF!</definedName>
    <definedName name="q2_97">#REF!</definedName>
    <definedName name="q2_98">#REF!</definedName>
    <definedName name="q2_99">#REF!</definedName>
    <definedName name="q2_row1">#REF!</definedName>
    <definedName name="q2_row2">#REF!</definedName>
    <definedName name="q2_row3">#REF!</definedName>
    <definedName name="q200_rev">#REF!</definedName>
    <definedName name="q297_rev">#REF!</definedName>
    <definedName name="q298_ni">#REF!</definedName>
    <definedName name="q298_rev">#REF!</definedName>
    <definedName name="q298_shares">#REF!</definedName>
    <definedName name="q299_ni">#REF!</definedName>
    <definedName name="q299_rev">#REF!</definedName>
    <definedName name="q299_shares">#REF!</definedName>
    <definedName name="Q2GrossMargin">#REF!</definedName>
    <definedName name="Q2NetIncome">#REF!</definedName>
    <definedName name="Q2OpsIncome">#REF!</definedName>
    <definedName name="Q2OpsMargin">#REF!</definedName>
    <definedName name="Q2Rev">#REF!</definedName>
    <definedName name="q3.00">#REF!</definedName>
    <definedName name="q3.01">#REF!</definedName>
    <definedName name="Q3.1997.10">#REF!</definedName>
    <definedName name="Q3.1998.10">#REF!</definedName>
    <definedName name="Q3.1999.10">#REF!</definedName>
    <definedName name="Q3.2000.10">#REF!</definedName>
    <definedName name="Q3.2001.10">#REF!</definedName>
    <definedName name="Q3.2002.10">#REF!</definedName>
    <definedName name="Q3.2003.10">#REF!</definedName>
    <definedName name="Q3.2004.10">#REF!</definedName>
    <definedName name="Q3.2005.10">#REF!</definedName>
    <definedName name="Q3.2006.10">#REF!</definedName>
    <definedName name="Q3.2007.09">#REF!</definedName>
    <definedName name="Q3.2007.10">#REF!</definedName>
    <definedName name="Q3.2008.04">#REF!</definedName>
    <definedName name="Q3.2008.06">#REF!</definedName>
    <definedName name="Q3.2008.08">#REF!</definedName>
    <definedName name="Q3.2008.09">#REF!</definedName>
    <definedName name="Q3.2009.02">#REF!</definedName>
    <definedName name="Q3.2009.03">#REF!</definedName>
    <definedName name="Q3.2009.04">#REF!</definedName>
    <definedName name="Q3.2009.06">#REF!</definedName>
    <definedName name="Q3.2009.08">#REF!</definedName>
    <definedName name="Q3.2009.09">#REF!</definedName>
    <definedName name="Q3.2010.02">#REF!</definedName>
    <definedName name="Q3.2010.03">#REF!</definedName>
    <definedName name="Q3.2010.06">#REF!</definedName>
    <definedName name="Q3.2010.07">#REF!</definedName>
    <definedName name="Q3.2010.08">#REF!</definedName>
    <definedName name="Q3.2010.09">#REF!</definedName>
    <definedName name="Q3.2011.02">#REF!</definedName>
    <definedName name="Q3.2011.03">#REF!</definedName>
    <definedName name="Q3.2011.07">#REF!</definedName>
    <definedName name="Q3.2011.08">#REF!</definedName>
    <definedName name="Q3.2011.09">#REF!</definedName>
    <definedName name="Q3.2012.02">#REF!</definedName>
    <definedName name="Q3.2012.03">#REF!</definedName>
    <definedName name="Q3.2012.07">#REF!</definedName>
    <definedName name="Q3.2012.08">#REF!</definedName>
    <definedName name="Q3.2012.09">#REF!</definedName>
    <definedName name="Q3.2013.02">#REF!</definedName>
    <definedName name="Q3.2013.03">#REF!</definedName>
    <definedName name="Q3.2013.07">#REF!</definedName>
    <definedName name="Q3.2013.08">#REF!</definedName>
    <definedName name="Q3.2013.09">#REF!</definedName>
    <definedName name="Q3.2014.02">#REF!</definedName>
    <definedName name="Q3.2014.03">#REF!</definedName>
    <definedName name="Q3.2014.07">#REF!</definedName>
    <definedName name="Q3.2014.08">#REF!</definedName>
    <definedName name="q3.95">#REF!</definedName>
    <definedName name="q3.97">#REF!</definedName>
    <definedName name="q3.98">#REF!</definedName>
    <definedName name="q3.99">#REF!</definedName>
    <definedName name="Q3_86">#REF!</definedName>
    <definedName name="Q3_87">#REF!</definedName>
    <definedName name="Q3_88">#REF!</definedName>
    <definedName name="Q3_89">#REF!</definedName>
    <definedName name="Q3_90">#REF!</definedName>
    <definedName name="Q3_91">#REF!</definedName>
    <definedName name="Q3_92">#REF!</definedName>
    <definedName name="Q3_93">#REF!</definedName>
    <definedName name="Q3_94">#REF!</definedName>
    <definedName name="Q3_95">#REF!</definedName>
    <definedName name="Q3_96">#REF!</definedName>
    <definedName name="q3_97">#REF!</definedName>
    <definedName name="q3_98">#REF!</definedName>
    <definedName name="q3_98.">#REF!</definedName>
    <definedName name="q3_99">#REF!</definedName>
    <definedName name="q3_row1">#REF!</definedName>
    <definedName name="q3_row2">#REF!</definedName>
    <definedName name="q3_row3">#REF!</definedName>
    <definedName name="q300_rev">#REF!</definedName>
    <definedName name="q397_rev">#REF!</definedName>
    <definedName name="q398_ni">#REF!</definedName>
    <definedName name="q398_rev">#REF!</definedName>
    <definedName name="q398_shares">#REF!</definedName>
    <definedName name="q399_ni">#REF!</definedName>
    <definedName name="q399_rev">#REF!</definedName>
    <definedName name="q399_shares">#REF!</definedName>
    <definedName name="Q3GrossMargin">#REF!</definedName>
    <definedName name="Q3NetIncome">#REF!</definedName>
    <definedName name="Q3OpsIncome">#REF!</definedName>
    <definedName name="Q3OpsMargin">#REF!</definedName>
    <definedName name="Q3Rev">#REF!</definedName>
    <definedName name="q4.00">#REF!</definedName>
    <definedName name="Q4.1997.01">#REF!</definedName>
    <definedName name="Q4.1998.01">#REF!</definedName>
    <definedName name="Q4.1999.01">#REF!</definedName>
    <definedName name="Q4.2000.01">#REF!</definedName>
    <definedName name="Q4.2001.01">#REF!</definedName>
    <definedName name="Q4.2002.01">#REF!</definedName>
    <definedName name="Q4.2003.01">#REF!</definedName>
    <definedName name="Q4.2004.01">#REF!</definedName>
    <definedName name="Q4.2005.01">#REF!</definedName>
    <definedName name="Q4.2006.01">#REF!</definedName>
    <definedName name="Q4.2007.01">#REF!</definedName>
    <definedName name="Q4.2007.12">#REF!</definedName>
    <definedName name="Q4.2008.07">#REF!</definedName>
    <definedName name="Q4.2008.09">#REF!</definedName>
    <definedName name="Q4.2008.11">#REF!</definedName>
    <definedName name="Q4.2008.12">#REF!</definedName>
    <definedName name="Q4.2009.01">#REF!</definedName>
    <definedName name="Q4.2009.03">#REF!</definedName>
    <definedName name="Q4.2009.05">#REF!</definedName>
    <definedName name="Q4.2009.06">#REF!</definedName>
    <definedName name="Q4.2009.07">#REF!</definedName>
    <definedName name="Q4.2009.09">#REF!</definedName>
    <definedName name="Q4.2009.11">#REF!</definedName>
    <definedName name="Q4.2009.12">#REF!</definedName>
    <definedName name="Q4.2010.01">#REF!</definedName>
    <definedName name="Q4.2010.05">#REF!</definedName>
    <definedName name="Q4.2010.06">#REF!</definedName>
    <definedName name="Q4.2010.09">#REF!</definedName>
    <definedName name="Q4.2010.10">#REF!</definedName>
    <definedName name="Q4.2010.11">#REF!</definedName>
    <definedName name="Q4.2010.12">#REF!</definedName>
    <definedName name="Q4.2011.01">#REF!</definedName>
    <definedName name="Q4.2011.05">#REF!</definedName>
    <definedName name="Q4.2011.06">#REF!</definedName>
    <definedName name="Q4.2011.10">#REF!</definedName>
    <definedName name="Q4.2011.11">#REF!</definedName>
    <definedName name="Q4.2011.12">#REF!</definedName>
    <definedName name="Q4.2012.01">#REF!</definedName>
    <definedName name="Q4.2012.05">#REF!</definedName>
    <definedName name="Q4.2012.06">#REF!</definedName>
    <definedName name="Q4.2012.10">#REF!</definedName>
    <definedName name="Q4.2012.11">#REF!</definedName>
    <definedName name="Q4.2012.12">#REF!</definedName>
    <definedName name="Q4.2013.01">#REF!</definedName>
    <definedName name="Q4.2013.05">#REF!</definedName>
    <definedName name="Q4.2013.06">#REF!</definedName>
    <definedName name="Q4.2013.10">#REF!</definedName>
    <definedName name="Q4.2013.11">#REF!</definedName>
    <definedName name="Q4.2013.12">#REF!</definedName>
    <definedName name="Q4.2014.01">#REF!</definedName>
    <definedName name="Q4.2014.05">#REF!</definedName>
    <definedName name="Q4.2014.06">#REF!</definedName>
    <definedName name="Q4.2014.10">#REF!</definedName>
    <definedName name="Q4.2014.11">#REF!</definedName>
    <definedName name="q4.95">#REF!</definedName>
    <definedName name="q4.97">#REF!</definedName>
    <definedName name="q4.98">#REF!</definedName>
    <definedName name="q4.99">#REF!</definedName>
    <definedName name="Q4_86">#REF!</definedName>
    <definedName name="Q4_87">#REF!</definedName>
    <definedName name="Q4_88">#REF!</definedName>
    <definedName name="Q4_89">#REF!</definedName>
    <definedName name="Q4_90">#REF!</definedName>
    <definedName name="Q4_91">#REF!</definedName>
    <definedName name="Q4_92">#REF!</definedName>
    <definedName name="Q4_93">#REF!</definedName>
    <definedName name="Q4_94">#REF!</definedName>
    <definedName name="Q4_95">#REF!</definedName>
    <definedName name="Q4_96">#REF!</definedName>
    <definedName name="q4_97">#REF!</definedName>
    <definedName name="q4_98">#REF!</definedName>
    <definedName name="q4_99">#REF!</definedName>
    <definedName name="q4_row1">#REF!</definedName>
    <definedName name="q4_row2">#REF!</definedName>
    <definedName name="q4_row3">#REF!</definedName>
    <definedName name="q400_rev">#REF!</definedName>
    <definedName name="q497_rev">#REF!</definedName>
    <definedName name="q498_ni">#REF!</definedName>
    <definedName name="q498_rev">#REF!</definedName>
    <definedName name="q498_shares">#REF!</definedName>
    <definedName name="q499_ni">#REF!</definedName>
    <definedName name="q499_rev">#REF!</definedName>
    <definedName name="q499_shares">#REF!</definedName>
    <definedName name="Q4E2004">#REF!</definedName>
    <definedName name="Q4E2005">#REF!</definedName>
    <definedName name="Q4GrossMargin">#REF!</definedName>
    <definedName name="Q4NetIncome">#REF!</definedName>
    <definedName name="Q4OpsIncome">#REF!</definedName>
    <definedName name="Q4OpsMargin">#REF!</definedName>
    <definedName name="Q4Rev">#REF!</definedName>
    <definedName name="QADI">#REF!</definedName>
    <definedName name="qcomavg">#REF!</definedName>
    <definedName name="qcomavgffq">#REF!</definedName>
    <definedName name="qcomchg">#REF!</definedName>
    <definedName name="qcomcurr">#REF!</definedName>
    <definedName name="qcomcurrffq">#REF!</definedName>
    <definedName name="qcompegrelavg">#REF!</definedName>
    <definedName name="qcompegrelcurr">#REF!</definedName>
    <definedName name="qcompegrowthavg">#REF!</definedName>
    <definedName name="qcompegrowthcurr">#REF!</definedName>
    <definedName name="qcomshares">#REF!</definedName>
    <definedName name="Qdays">#REF!</definedName>
    <definedName name="qem_comment">#REF!</definedName>
    <definedName name="QoQ">#REF!</definedName>
    <definedName name="QOQM">IF(ISBLANK(#REF!),IF(#REF!=0,"NM",(#REF!/#REF!)-1),IF(#REF!=0,"NM",(#REF!/#REF!)-1))</definedName>
    <definedName name="qpl">#REF!</definedName>
    <definedName name="qpl_pg1">#REF!</definedName>
    <definedName name="qpl_pg2">#REF!</definedName>
    <definedName name="qryFINALTListing">#REF!</definedName>
    <definedName name="QTR_CHG">#REF!</definedName>
    <definedName name="qtr_rev">#REF!</definedName>
    <definedName name="qtrmth">#REF!</definedName>
    <definedName name="Quanta">#REF!</definedName>
    <definedName name="quarter">#REF!</definedName>
    <definedName name="quarter_change">#REF!</definedName>
    <definedName name="Quarterly">#REF!</definedName>
    <definedName name="QUARTERS">#REF!</definedName>
    <definedName name="Quarters1994">#REF!</definedName>
    <definedName name="Quarters1995">#REF!</definedName>
    <definedName name="Quarters1996">#REF!</definedName>
    <definedName name="Quarters1997">#REF!</definedName>
    <definedName name="Quarters1998">#REF!</definedName>
    <definedName name="Quarters1999">#REF!</definedName>
    <definedName name="Quarters2000">#REF!</definedName>
    <definedName name="Quarters2001">#REF!</definedName>
    <definedName name="Quarters2002">#REF!</definedName>
    <definedName name="Quarters2004" hidden="1">#REF!</definedName>
    <definedName name="Quarters2005" hidden="1">#REF!</definedName>
    <definedName name="Queens_Add">#REF!</definedName>
    <definedName name="r_bvps">#REF!</definedName>
    <definedName name="r_calendar_is_actual">#REF!</definedName>
    <definedName name="r_ceps">#REF!</definedName>
    <definedName name="R_D_amort_years">#REF!</definedName>
    <definedName name="R_D_Amortization">#REF!</definedName>
    <definedName name="R_D_Capzed">#REF!</definedName>
    <definedName name="R_D_expense">#REF!</definedName>
    <definedName name="R_D_expense_IS">#REF!</definedName>
    <definedName name="r_eps_calendar">#REF!</definedName>
    <definedName name="r_eps_fiscal">#REF!</definedName>
    <definedName name="r_eps_us_gaap">#REF!</definedName>
    <definedName name="R_F">#REF!</definedName>
    <definedName name="r_fiscal_is_actual">#REF!</definedName>
    <definedName name="r_roe">#REF!</definedName>
    <definedName name="r_sales_per_share">#REF!</definedName>
    <definedName name="Range_Names">#REF!</definedName>
    <definedName name="rating">#REF!</definedName>
    <definedName name="rbakavgffq">#REF!</definedName>
    <definedName name="rbakchg">#REF!</definedName>
    <definedName name="rbakcurr">#REF!</definedName>
    <definedName name="rbakcurrffq">#REF!</definedName>
    <definedName name="rbakpegrelavg">#REF!</definedName>
    <definedName name="rbakpegrelcurr">#REF!</definedName>
    <definedName name="rbakpegrowthavg">#REF!</definedName>
    <definedName name="rbakpegrowthcurr">#REF!</definedName>
    <definedName name="rbakshares">#REF!</definedName>
    <definedName name="rec">#REF!</definedName>
    <definedName name="rec_id">#REF!</definedName>
    <definedName name="rec_start_date">#REF!</definedName>
    <definedName name="_xlnm.Recorder">#REF!</definedName>
    <definedName name="RedefinePrintTableRange" hidden="1">#REF!</definedName>
    <definedName name="RegionsList">#REF!</definedName>
    <definedName name="Relative">OFFSET(#REF!,0,0,COUNTA(#REF!),1)</definedName>
    <definedName name="relprice">OFFSET(#REF!,0,0,COUNTA(#REF!),1)</definedName>
    <definedName name="Repo">#REF!</definedName>
    <definedName name="Report" localSheetId="2" hidden="1">{#N/A,#N/A,FALSE,"Report Print"}</definedName>
    <definedName name="Report" hidden="1">{#N/A,#N/A,FALSE,"Report Print"}</definedName>
    <definedName name="Reported_net_income">#REF!</definedName>
    <definedName name="ReportPage1" localSheetId="2" hidden="1">{"Annual_Income",#N/A,FALSE,"Report Page";"Balance_Cash_Flow",#N/A,FALSE,"Report Page";"Quarterly_Income",#N/A,FALSE,"Report Page"}</definedName>
    <definedName name="ReportPage1" hidden="1">{"Annual_Income",#N/A,FALSE,"Report Page";"Balance_Cash_Flow",#N/A,FALSE,"Report Page";"Quarterly_Income",#N/A,FALSE,"Report Page"}</definedName>
    <definedName name="republicprice">#REF!</definedName>
    <definedName name="republicshares">#REF!</definedName>
    <definedName name="Required_cash">#REF!</definedName>
    <definedName name="Required_cash_percent">#REF!</definedName>
    <definedName name="Research_Development_Expense">#REF!</definedName>
    <definedName name="Residual_Value">#REF!</definedName>
    <definedName name="Restricted_Stock_Grant">#REF!</definedName>
    <definedName name="Restructuring_charges">#REF!</definedName>
    <definedName name="Restructuring_charges_growth_fore">#REF!</definedName>
    <definedName name="RETURN">#REF!</definedName>
    <definedName name="REV">#REF!</definedName>
    <definedName name="Rev.">#REF!</definedName>
    <definedName name="rev_92">#REF!</definedName>
    <definedName name="rev_93">#REF!</definedName>
    <definedName name="rev_94">#REF!</definedName>
    <definedName name="rev_95">#REF!</definedName>
    <definedName name="rev_g">#REF!</definedName>
    <definedName name="rev_mix">#REF!</definedName>
    <definedName name="Rev_Seq">#REF!</definedName>
    <definedName name="Rev_YoY">#REF!</definedName>
    <definedName name="rev00">#REF!</definedName>
    <definedName name="revchg00">#REF!</definedName>
    <definedName name="revchg97">#REF!</definedName>
    <definedName name="revchg98">#REF!</definedName>
    <definedName name="revchg99">#REF!</definedName>
    <definedName name="Revenue">#REF!</definedName>
    <definedName name="Revenue_Breakdown">#REF!</definedName>
    <definedName name="Revenue_Breakout">#REF!</definedName>
    <definedName name="revenue98">#REF!</definedName>
    <definedName name="Revenuebrkdwn">#REF!</definedName>
    <definedName name="RevenueConsumerEnterprise">#REF!</definedName>
    <definedName name="RevenueDetail">#REF!</definedName>
    <definedName name="REVENUES">#REF!</definedName>
    <definedName name="Revenues_Division_1">#REF!</definedName>
    <definedName name="Revenues_Division_2">#REF!</definedName>
    <definedName name="Revenues_Division_3">#REF!</definedName>
    <definedName name="Revenues_Division_4">#REF!</definedName>
    <definedName name="Revenues_Division_5">#REF!</definedName>
    <definedName name="Revenues_Division_6">#REF!</definedName>
    <definedName name="Revenues_Euro">#REF!</definedName>
    <definedName name="Revenues1997">#REF!</definedName>
    <definedName name="Revenues1998">#REF!</definedName>
    <definedName name="Revenues1999">#REF!</definedName>
    <definedName name="Revenues2000">#REF!</definedName>
    <definedName name="Revenues2001">#REF!</definedName>
    <definedName name="revenues2002">#REF!</definedName>
    <definedName name="revenues2003">#REF!</definedName>
    <definedName name="revenues2004">#REF!</definedName>
    <definedName name="revenues99">#REF!</definedName>
    <definedName name="RevenuesTotal">#REF!</definedName>
    <definedName name="revfy97">#REF!</definedName>
    <definedName name="revfy98">#REF!</definedName>
    <definedName name="revfy99">#REF!</definedName>
    <definedName name="REVQ191">#REF!</definedName>
    <definedName name="REVQ192">#REF!</definedName>
    <definedName name="REVQ193">#REF!</definedName>
    <definedName name="REVQ194">#REF!</definedName>
    <definedName name="REVQ195">#REF!</definedName>
    <definedName name="REVQ196">#REF!</definedName>
    <definedName name="REVQ197">#REF!</definedName>
    <definedName name="REVQ291">#REF!</definedName>
    <definedName name="REVQ292">#REF!</definedName>
    <definedName name="REVQ293">#REF!</definedName>
    <definedName name="REVQ294">#REF!</definedName>
    <definedName name="REVQ295">#REF!</definedName>
    <definedName name="REVQ296">#REF!</definedName>
    <definedName name="REVQ297">#REF!</definedName>
    <definedName name="REVQ391">#REF!</definedName>
    <definedName name="REVQ392">#REF!</definedName>
    <definedName name="REVQ393">#REF!</definedName>
    <definedName name="REVQ394">#REF!</definedName>
    <definedName name="REVQ395">#REF!</definedName>
    <definedName name="REVQ396">#REF!</definedName>
    <definedName name="REVQ397">#REF!</definedName>
    <definedName name="REVQ490">#REF!</definedName>
    <definedName name="REVQ491">#REF!</definedName>
    <definedName name="REVQ492">#REF!</definedName>
    <definedName name="REVQ493">#REF!</definedName>
    <definedName name="REVQ494">#REF!</definedName>
    <definedName name="REVQ495">#REF!</definedName>
    <definedName name="REVQ496">#REF!</definedName>
    <definedName name="REVQ497">#REF!</definedName>
    <definedName name="revs97_fy">#REF!</definedName>
    <definedName name="RIC">#REF!</definedName>
    <definedName name="RID">#REF!</definedName>
    <definedName name="right_border">#REF!</definedName>
    <definedName name="RIsk_free_30yr_Treas">#REF!</definedName>
    <definedName name="Risk_Free_Rate">#REF!</definedName>
    <definedName name="RnD_expense">#REF!</definedName>
    <definedName name="RnD_expense_fore">#REF!</definedName>
    <definedName name="RnD_expense_growth_fore">#REF!</definedName>
    <definedName name="RnD_expenses_fore">#REF!</definedName>
    <definedName name="ROE">#REF!</definedName>
    <definedName name="roe_five_year_est_average">#REF!</definedName>
    <definedName name="roe_normalised">#REF!</definedName>
    <definedName name="Rogers">#REF!</definedName>
    <definedName name="ROIC">#REF!</definedName>
    <definedName name="ROIC_DCF">#REF!</definedName>
    <definedName name="RORIC__3_yr_rolling">#REF!</definedName>
    <definedName name="RowRef">#REF!</definedName>
    <definedName name="Royalty">#REF!</definedName>
    <definedName name="rpms">#REF!</definedName>
    <definedName name="RtgRef">#REF!</definedName>
    <definedName name="RTT">#REF!</definedName>
    <definedName name="rw" hidden="1">{"'Standalone List Price Trends'!$A$1:$X$56"}</definedName>
    <definedName name="rwrwr" hidden="1">{"'Standalone List Price Trends'!$A$1:$X$56"}</definedName>
    <definedName name="rwrwrwrwr" hidden="1">{"'Standalone List Price Trends'!$A$1:$X$56"}</definedName>
    <definedName name="rwwr" hidden="1">{"'Standalone List Price Trends'!$A$1:$X$56"}</definedName>
    <definedName name="rycavg">#REF!</definedName>
    <definedName name="rycchg">#REF!</definedName>
    <definedName name="ryccrpe">#REF!</definedName>
    <definedName name="ryccurr">#REF!</definedName>
    <definedName name="rycdate">#REF!</definedName>
    <definedName name="rycdown">#REF!</definedName>
    <definedName name="rycdownsup">#REF!</definedName>
    <definedName name="ryceps98">#REF!</definedName>
    <definedName name="ryceps99">#REF!</definedName>
    <definedName name="rycfy1cons">#REF!</definedName>
    <definedName name="rycfy2cons">#REF!</definedName>
    <definedName name="rycfy2cons\">#REF!</definedName>
    <definedName name="rychi">#REF!</definedName>
    <definedName name="rychilo">#REF!</definedName>
    <definedName name="rychiu">#REF!</definedName>
    <definedName name="ryclow">#REF!</definedName>
    <definedName name="rycmktcap">#REF!</definedName>
    <definedName name="rycpegrowthavg">#REF!</definedName>
    <definedName name="rycpegrowthcurr">#REF!</definedName>
    <definedName name="rycpegrowthhi">#REF!</definedName>
    <definedName name="rycpegrowthlow">#REF!</definedName>
    <definedName name="rycprice">#REF!</definedName>
    <definedName name="rycrpe">#REF!</definedName>
    <definedName name="rycshares">#REF!</definedName>
    <definedName name="ryctprice">#REF!</definedName>
    <definedName name="rycttmavg">#REF!</definedName>
    <definedName name="rycttmcurr">#REF!</definedName>
    <definedName name="rycttmhi">#REF!</definedName>
    <definedName name="rycttmlow">#REF!</definedName>
    <definedName name="rycttmrelavg">#REF!</definedName>
    <definedName name="rycttmrelcurr">#REF!</definedName>
    <definedName name="rycttmrelhi">#REF!</definedName>
    <definedName name="rycttmrellow">#REF!</definedName>
    <definedName name="rycup">#REF!</definedName>
    <definedName name="rycupsup">#REF!</definedName>
    <definedName name="rycvol">#REF!</definedName>
    <definedName name="rycyield">#REF!</definedName>
    <definedName name="s" hidden="1">{"IS",#N/A,FALSE,"IS";"RPTIS",#N/A,FALSE,"RPTIS";"STATS",#N/A,FALSE,"STATS";"CELL",#N/A,FALSE,"CELL";"BS",#N/A,FALSE,"BS"}</definedName>
    <definedName name="S_T_obligations_under_cap_leases">#REF!</definedName>
    <definedName name="SAGE">#REF!</definedName>
    <definedName name="Sales_growth">#REF!</definedName>
    <definedName name="Sales_growth_avg">#REF!</definedName>
    <definedName name="Sales_Lit03">#REF!</definedName>
    <definedName name="Sales_Lit04">#REF!</definedName>
    <definedName name="Sales_Marketing_Expense">#REF!</definedName>
    <definedName name="Sales00">#REF!</definedName>
    <definedName name="Sales01">#REF!</definedName>
    <definedName name="Sales02">#REF!</definedName>
    <definedName name="SALES1999">#REF!</definedName>
    <definedName name="SALES2000">#REF!</definedName>
    <definedName name="SALES2001">#REF!</definedName>
    <definedName name="SALES2002">#REF!</definedName>
    <definedName name="sales96">#REF!</definedName>
    <definedName name="Sales97">#REF!</definedName>
    <definedName name="Sales98">#REF!</definedName>
    <definedName name="Sales99">#REF!</definedName>
    <definedName name="salesg">#REF!</definedName>
    <definedName name="salesg00">#REF!</definedName>
    <definedName name="salesg98">#REF!</definedName>
    <definedName name="salesg99">#REF!</definedName>
    <definedName name="Samsung">#REF!</definedName>
    <definedName name="sanmavg">#REF!</definedName>
    <definedName name="sanmchg">#REF!</definedName>
    <definedName name="sanmcrpe">#REF!</definedName>
    <definedName name="sanmcurr">#REF!</definedName>
    <definedName name="sanmdate">#REF!</definedName>
    <definedName name="sanmdown">#REF!</definedName>
    <definedName name="sanmdownsup">#REF!</definedName>
    <definedName name="sanmeps99">#REF!</definedName>
    <definedName name="sanmevebitda">#REF!</definedName>
    <definedName name="sanmffqpeavg">#REF!</definedName>
    <definedName name="sanmffqpecurr">#REF!</definedName>
    <definedName name="sanmfy1cons">#REF!</definedName>
    <definedName name="sanmfy2cons">#REF!</definedName>
    <definedName name="sanmhi">#REF!</definedName>
    <definedName name="sanmhilo">#REF!</definedName>
    <definedName name="sanmlow">#REF!</definedName>
    <definedName name="sanmmktcap">#REF!</definedName>
    <definedName name="sanmpe1">#REF!</definedName>
    <definedName name="sanmpe2">#REF!</definedName>
    <definedName name="sanmpegrowthavg">#REF!</definedName>
    <definedName name="sanmpegrowthcurr">#REF!</definedName>
    <definedName name="sanmpegrowthhi">#REF!</definedName>
    <definedName name="sanmpegrowthlow">#REF!</definedName>
    <definedName name="sanmperelavg">#REF!</definedName>
    <definedName name="sanmperelcurr">#REF!</definedName>
    <definedName name="sanmprice">#REF!</definedName>
    <definedName name="sanmrpe">#REF!</definedName>
    <definedName name="sanmshares">#REF!</definedName>
    <definedName name="sanmtprice">#REF!</definedName>
    <definedName name="sanmttmavg">#REF!</definedName>
    <definedName name="sanmttmcurr">#REF!</definedName>
    <definedName name="sanmttmhi">#REF!</definedName>
    <definedName name="sanmttmlow">#REF!</definedName>
    <definedName name="sanmttmrelavg">#REF!</definedName>
    <definedName name="sanmttmrelcurr">#REF!</definedName>
    <definedName name="sanmttmrelhi">#REF!</definedName>
    <definedName name="sanmttmrellow">#REF!</definedName>
    <definedName name="sanmup">#REF!</definedName>
    <definedName name="sanmupsup">#REF!</definedName>
    <definedName name="sanmvol">#REF!</definedName>
    <definedName name="sanmyield">#REF!</definedName>
    <definedName name="SAP">#REF!</definedName>
    <definedName name="sav_div99">#REF!</definedName>
    <definedName name="sav_price">#REF!</definedName>
    <definedName name="sav_shares">#REF!</definedName>
    <definedName name="sav_shares99">#REF!</definedName>
    <definedName name="sav_target99">#REF!</definedName>
    <definedName name="SBC_5YRGROWTH">#REF!</definedName>
    <definedName name="sbcsngait_IS">#REF!</definedName>
    <definedName name="SCEN">#REF!</definedName>
    <definedName name="scen_change" hidden="1">#REF!</definedName>
    <definedName name="scen_date1" hidden="1">34337.506400463</definedName>
    <definedName name="scen_name1" hidden="1">"/tar"</definedName>
    <definedName name="scen_num" hidden="1">1</definedName>
    <definedName name="scen_user1" hidden="1">"Williams Eileen"</definedName>
    <definedName name="scen_value1" hidden="1">"NM"</definedName>
    <definedName name="Scenario">#REF!</definedName>
    <definedName name="scenario_two">#REF!</definedName>
    <definedName name="Schroder_exceptionals">#REF!</definedName>
    <definedName name="scicurr">#REF!</definedName>
    <definedName name="scidate">#REF!</definedName>
    <definedName name="scidown">#REF!</definedName>
    <definedName name="scidownsup">#REF!</definedName>
    <definedName name="scieps99">#REF!</definedName>
    <definedName name="scify1cons">#REF!</definedName>
    <definedName name="scify2cons">#REF!</definedName>
    <definedName name="scihi">#REF!</definedName>
    <definedName name="scihilo">#REF!</definedName>
    <definedName name="scilow">#REF!</definedName>
    <definedName name="scimktcap">#REF!</definedName>
    <definedName name="scipegrowthavg">#REF!</definedName>
    <definedName name="scipegrowthcurr">#REF!</definedName>
    <definedName name="scipegrowthhi">#REF!</definedName>
    <definedName name="scipegrowthlow">#REF!</definedName>
    <definedName name="sciprice">#REF!</definedName>
    <definedName name="scirpe">#REF!</definedName>
    <definedName name="scishares">#REF!</definedName>
    <definedName name="scitprice">#REF!</definedName>
    <definedName name="scittmavg">#REF!</definedName>
    <definedName name="scittmcurr">#REF!</definedName>
    <definedName name="scittmhi">#REF!</definedName>
    <definedName name="scittmlow">#REF!</definedName>
    <definedName name="scittmrelavg">#REF!</definedName>
    <definedName name="scittmrelcurr">#REF!</definedName>
    <definedName name="scittmrelhi">#REF!</definedName>
    <definedName name="scittmrellow">#REF!</definedName>
    <definedName name="sciup">#REF!</definedName>
    <definedName name="sciupsup">#REF!</definedName>
    <definedName name="scivol">#REF!</definedName>
    <definedName name="sciyield">#REF!</definedName>
    <definedName name="SCM">#REF!</definedName>
    <definedName name="scmravg">#REF!</definedName>
    <definedName name="scmravgffq">#REF!</definedName>
    <definedName name="scmrchg">#REF!</definedName>
    <definedName name="scmrcurr">#REF!</definedName>
    <definedName name="scmrcurrffq">#REF!</definedName>
    <definedName name="scmrpegrelavg">#REF!</definedName>
    <definedName name="scmrpegrelcurr">#REF!</definedName>
    <definedName name="scmrpegrowthavg">#REF!</definedName>
    <definedName name="scmrpegrowthcurr">#REF!</definedName>
    <definedName name="scmrshares">#REF!</definedName>
    <definedName name="SDFG">#REF!</definedName>
    <definedName name="sdlicurr">#REF!</definedName>
    <definedName name="sdlidown">#REF!</definedName>
    <definedName name="sdlidownsup">#REF!</definedName>
    <definedName name="sdlieps98">#REF!</definedName>
    <definedName name="sdlieps99">#REF!</definedName>
    <definedName name="sdlify1cons">#REF!</definedName>
    <definedName name="sdlify2cons">#REF!</definedName>
    <definedName name="sdlihi">#REF!</definedName>
    <definedName name="sdlihilo">#REF!</definedName>
    <definedName name="sdlilow">#REF!</definedName>
    <definedName name="sdlimktcap">#REF!</definedName>
    <definedName name="sdlipegrowthavg">#REF!</definedName>
    <definedName name="sdlipegrowthcurr">#REF!</definedName>
    <definedName name="sdlipegrowthhi">#REF!</definedName>
    <definedName name="sdlipegrowthlow">#REF!</definedName>
    <definedName name="sdliprice">#REF!</definedName>
    <definedName name="sdlirpe">#REF!</definedName>
    <definedName name="sdlishares">#REF!</definedName>
    <definedName name="sdlitprice">#REF!</definedName>
    <definedName name="sdlittmavg">#REF!</definedName>
    <definedName name="sdlittmcurr">#REF!</definedName>
    <definedName name="sdlittmhi">#REF!</definedName>
    <definedName name="sdlittmlow">#REF!</definedName>
    <definedName name="sdlittmrelavg">#REF!</definedName>
    <definedName name="sdlittmrelcurr">#REF!</definedName>
    <definedName name="sdlittmrelhi">#REF!</definedName>
    <definedName name="sdlittmrellow">#REF!</definedName>
    <definedName name="sdliup">#REF!</definedName>
    <definedName name="sdliupsup">#REF!</definedName>
    <definedName name="sdlivol">#REF!</definedName>
    <definedName name="sdliyield">#REF!</definedName>
    <definedName name="SE">#REF!</definedName>
    <definedName name="SEAT_DEAL">#REF!</definedName>
    <definedName name="SEBL">#REF!</definedName>
    <definedName name="sec_mkt_cap">#REF!</definedName>
    <definedName name="Second">#REF!</definedName>
    <definedName name="SECTOR">#REF!</definedName>
    <definedName name="SectorNames">#REF!</definedName>
    <definedName name="security_id">#REF!</definedName>
    <definedName name="SEDOL">#REF!</definedName>
    <definedName name="Segment1_income">#REF!</definedName>
    <definedName name="Segment1_income_DCF">#REF!</definedName>
    <definedName name="Segment1_income_fore">#REF!</definedName>
    <definedName name="Segment1_income_growth_fore">#REF!</definedName>
    <definedName name="Segment2_income">#REF!</definedName>
    <definedName name="Segment2_income_DCF">#REF!</definedName>
    <definedName name="Segment2_income_fore">#REF!</definedName>
    <definedName name="Segment2_income_growth_fore">#REF!</definedName>
    <definedName name="select_dps_to_use">#REF!</definedName>
    <definedName name="select_mkt_cap_to_use">#REF!</definedName>
    <definedName name="select_tot_fd_shares_to_use">#REF!</definedName>
    <definedName name="select_tot_ud_shares_to_use">#REF!</definedName>
    <definedName name="SelectedRegionName">#REF!</definedName>
    <definedName name="sencount" hidden="1">1</definedName>
    <definedName name="SENS">#REF!</definedName>
    <definedName name="server">#REF!</definedName>
    <definedName name="service">#REF!</definedName>
    <definedName name="Service_Rev">#REF!</definedName>
    <definedName name="Services">#REF!</definedName>
    <definedName name="Services_Revenue">#REF!</definedName>
    <definedName name="SF_Add">#REF!</definedName>
    <definedName name="SF_Bank">#REF!</definedName>
    <definedName name="SF_Date">#REF!</definedName>
    <definedName name="SF_Sell">#REF!</definedName>
    <definedName name="sfacurr">#REF!</definedName>
    <definedName name="sfacurrffq">#REF!</definedName>
    <definedName name="sfapegrelavg">#REF!</definedName>
    <definedName name="sfapegrelcurr">#REF!</definedName>
    <definedName name="sfapegrowthavg">#REF!</definedName>
    <definedName name="sfapegrowthcurr">#REF!</definedName>
    <definedName name="sfashares">#REF!</definedName>
    <definedName name="SFV_QDEPTID">#REF!</definedName>
    <definedName name="SGA">#REF!</definedName>
    <definedName name="SGA_fore">#REF!</definedName>
    <definedName name="SGA_growth">#REF!</definedName>
    <definedName name="SGA_growth_avg">#REF!</definedName>
    <definedName name="SGA_growth_fore">#REF!</definedName>
    <definedName name="SGA_margin">#REF!</definedName>
    <definedName name="SGA_margin_fore">#REF!</definedName>
    <definedName name="Share_Data">#REF!</definedName>
    <definedName name="share_price">#REF!</definedName>
    <definedName name="Shareholder_value">#REF!</definedName>
    <definedName name="Shareholder_Value_EVA">#REF!</definedName>
    <definedName name="Shareholders_equity">#REF!</definedName>
    <definedName name="shares">#REF!</definedName>
    <definedName name="shares_avg">#REF!</definedName>
    <definedName name="Shares_DCF">#REF!</definedName>
    <definedName name="shares_fd_actual">#REF!</definedName>
    <definedName name="shares_fd_mkt">#REF!</definedName>
    <definedName name="shares_fd_over">#REF!</definedName>
    <definedName name="shares_fd_use_over">#REF!</definedName>
    <definedName name="Shares_fore">#REF!</definedName>
    <definedName name="Shares_growth">#REF!</definedName>
    <definedName name="Shares_growth_fore">#REF!</definedName>
    <definedName name="shares_not_floating">#REF!</definedName>
    <definedName name="shares_qtr">#REF!</definedName>
    <definedName name="Shares_repurchase_liability">#REF!</definedName>
    <definedName name="shares_ud_actual">#REF!</definedName>
    <definedName name="shares_ud_mkt">#REF!</definedName>
    <definedName name="shares_ud_over">#REF!</definedName>
    <definedName name="shares_ud_use_over">#REF!</definedName>
    <definedName name="Shares96">#REF!</definedName>
    <definedName name="Shares97">#REF!</definedName>
    <definedName name="sharesfd">#REF!</definedName>
    <definedName name="SharesSelected">#REF!</definedName>
    <definedName name="Sharp">#REF!</definedName>
    <definedName name="SHIPMENTS">#REF!</definedName>
    <definedName name="Shipmentw">#REF!</definedName>
    <definedName name="Short_Flow_Data">#REF!</definedName>
    <definedName name="Short_Term_Debt">#REF!</definedName>
    <definedName name="Shortterm_Deferred_Revenue">#REF!</definedName>
    <definedName name="Show_Dialog_Box">#REF!</definedName>
    <definedName name="SizingColumn">#REF!</definedName>
    <definedName name="SL_Interest">#REF!</definedName>
    <definedName name="SLCash">#REF!</definedName>
    <definedName name="slrcurr">#REF!</definedName>
    <definedName name="slrdate">#REF!</definedName>
    <definedName name="slrdown">#REF!</definedName>
    <definedName name="slrdownsup">#REF!</definedName>
    <definedName name="slreps99">#REF!</definedName>
    <definedName name="slrfy1cons">#REF!</definedName>
    <definedName name="slrfy2cons">#REF!</definedName>
    <definedName name="slrhi">#REF!</definedName>
    <definedName name="slrhilo">#REF!</definedName>
    <definedName name="slrlow">#REF!</definedName>
    <definedName name="slrpegrowthavg">#REF!</definedName>
    <definedName name="slrpegrowthcurr">#REF!</definedName>
    <definedName name="slrpegrowthhi">#REF!</definedName>
    <definedName name="slrpegrowthlow">#REF!</definedName>
    <definedName name="slrprice">#REF!</definedName>
    <definedName name="slrrpe">#REF!</definedName>
    <definedName name="slrshares">#REF!</definedName>
    <definedName name="slrtprice">#REF!</definedName>
    <definedName name="slrttmavg">#REF!</definedName>
    <definedName name="slrttmcurr">#REF!</definedName>
    <definedName name="slrttmhi">#REF!</definedName>
    <definedName name="slrttmlow">#REF!</definedName>
    <definedName name="slrttmrelavg">#REF!</definedName>
    <definedName name="slrttmrelcurr">#REF!</definedName>
    <definedName name="slrttmrelhi">#REF!</definedName>
    <definedName name="slrttmrellow">#REF!</definedName>
    <definedName name="slrup">#REF!</definedName>
    <definedName name="slrupsup">#REF!</definedName>
    <definedName name="slrvol">#REF!</definedName>
    <definedName name="slryield">#REF!</definedName>
    <definedName name="sme">#REF!</definedName>
    <definedName name="smodavg">#REF!</definedName>
    <definedName name="smodchg">#REF!</definedName>
    <definedName name="smodcrpe">#REF!</definedName>
    <definedName name="smodcurr">#REF!</definedName>
    <definedName name="smoddate">#REF!</definedName>
    <definedName name="smoddown">#REF!</definedName>
    <definedName name="smoddownsup">#REF!</definedName>
    <definedName name="smodeps98">#REF!</definedName>
    <definedName name="smodeps99">#REF!</definedName>
    <definedName name="smodfy1cons">#REF!</definedName>
    <definedName name="smodfy2cons">#REF!</definedName>
    <definedName name="smodhi">#REF!</definedName>
    <definedName name="smodhilo">#REF!</definedName>
    <definedName name="smodlow">#REF!</definedName>
    <definedName name="smodmktcap">#REF!</definedName>
    <definedName name="smodpegrowthavg">#REF!</definedName>
    <definedName name="smodpegrowthcurr">#REF!</definedName>
    <definedName name="smodpegrowthhi">#REF!</definedName>
    <definedName name="smodpegrowthlow">#REF!</definedName>
    <definedName name="smodprice">#REF!</definedName>
    <definedName name="smodrpe">#REF!</definedName>
    <definedName name="smodshares">#REF!</definedName>
    <definedName name="smodtprice">#REF!</definedName>
    <definedName name="smodttmavg">#REF!</definedName>
    <definedName name="smodttmcurr">#REF!</definedName>
    <definedName name="smodttmhi">#REF!</definedName>
    <definedName name="smodttmlow">#REF!</definedName>
    <definedName name="smodttmrelavg">#REF!</definedName>
    <definedName name="smodttmrelcurr">#REF!</definedName>
    <definedName name="smodttmrelhi">#REF!</definedName>
    <definedName name="smodttmrellow">#REF!</definedName>
    <definedName name="smodup">#REF!</definedName>
    <definedName name="smodupsup">#REF!</definedName>
    <definedName name="smodvol">#REF!</definedName>
    <definedName name="smodyield">#REF!</definedName>
    <definedName name="snapshot">#REF!</definedName>
    <definedName name="Software">#REF!</definedName>
    <definedName name="Solaris_Per_Month">#REF!</definedName>
    <definedName name="solv">#REF!</definedName>
    <definedName name="solvency">#REF!</definedName>
    <definedName name="solver_lin" hidden="1">0</definedName>
    <definedName name="solver_num" hidden="1">0</definedName>
    <definedName name="solver_typ" hidden="1">3</definedName>
    <definedName name="solver_val" hidden="1">0.1076</definedName>
    <definedName name="Sonera_ARPU">#REF!</definedName>
    <definedName name="Sonera_Cash">#REF!</definedName>
    <definedName name="Sonera_Country_Penetration">#REF!</definedName>
    <definedName name="Sonera_Current_Debtors">#REF!</definedName>
    <definedName name="Sonera_Equity">#REF!</definedName>
    <definedName name="Sonera_Inventories">#REF!</definedName>
    <definedName name="Sonera_Net_Debt">#REF!</definedName>
    <definedName name="Sonera_Net_Interest">#REF!</definedName>
    <definedName name="Sonera_Nominal_Tax_Rate">#REF!</definedName>
    <definedName name="Sonera_Total_Fixed_Assets">#REF!</definedName>
    <definedName name="Sonera_Year00">#REF!</definedName>
    <definedName name="Sonera_Year01">#REF!</definedName>
    <definedName name="Sonera_Year02">#REF!</definedName>
    <definedName name="Sonera_Year03">#REF!</definedName>
    <definedName name="Sonera_Year04">#REF!</definedName>
    <definedName name="Sonera_Year98">#REF!</definedName>
    <definedName name="Sonera_Year99">#REF!</definedName>
    <definedName name="sop">#REF!</definedName>
    <definedName name="SOP_print">#REF!</definedName>
    <definedName name="Sorted_by_Month">#REF!</definedName>
    <definedName name="Sorts">#REF!</definedName>
    <definedName name="SOXPriceRange">#REF!</definedName>
    <definedName name="spec_div">#REF!</definedName>
    <definedName name="special">#REF!</definedName>
    <definedName name="spiichg">#REF!</definedName>
    <definedName name="spiilastq">#REF!</definedName>
    <definedName name="spiilastqy">#REF!</definedName>
    <definedName name="spiinextq">#REF!</definedName>
    <definedName name="spiinextqy">#REF!</definedName>
    <definedName name="Spot_AUD">#REF!</definedName>
    <definedName name="Spot_EUR">#REF!</definedName>
    <definedName name="spot_gbp">#REF!</definedName>
    <definedName name="Spot_JPY">#REF!</definedName>
    <definedName name="Spot_PKR">#REF!</definedName>
    <definedName name="Spot_Rate">#REF!</definedName>
    <definedName name="Spot_USD">#REF!</definedName>
    <definedName name="Spread_on_debt">#REF!</definedName>
    <definedName name="SRA1V_AdjustedEV">#REF!</definedName>
    <definedName name="SRA1V_AssociatesMinorities">#REF!</definedName>
    <definedName name="SRA1V_UnleveredFCF">#REF!</definedName>
    <definedName name="SS">#REF!</definedName>
    <definedName name="SSAG">#REF!</definedName>
    <definedName name="ST_debt">#REF!</definedName>
    <definedName name="ST_debt_growth_fore">#REF!</definedName>
    <definedName name="ST_Deferred_Rev">#REF!</definedName>
    <definedName name="Staightline_charge">#REF!</definedName>
    <definedName name="Starpower_Add">#REF!</definedName>
    <definedName name="Start">#REF!</definedName>
    <definedName name="StartPosition">#REF!</definedName>
    <definedName name="StartYear">#REF!</definedName>
    <definedName name="STHLY_AdjustedEV">#REF!</definedName>
    <definedName name="STHLY_AssociatesMinorities">#REF!</definedName>
    <definedName name="STHLY_UnleveredFCF">#REF!</definedName>
    <definedName name="Stock_Option_Expense_Against_Earnings_PostTax">#REF!</definedName>
    <definedName name="stock_price">#REF!</definedName>
    <definedName name="Stock_price_high">#REF!</definedName>
    <definedName name="Stock_price_low">#REF!</definedName>
    <definedName name="StockData">#REF!</definedName>
    <definedName name="StockPrice">#REF!</definedName>
    <definedName name="Storage">#REF!</definedName>
    <definedName name="STRX_5YRGROWTH">#REF!</definedName>
    <definedName name="stub_price">#REF!</definedName>
    <definedName name="subs02">#REF!</definedName>
    <definedName name="Subscription_Revenue">#REF!</definedName>
    <definedName name="SUM_OF_THE_PART_VALUATION">#REF!</definedName>
    <definedName name="SUMM">#REF!</definedName>
    <definedName name="summary">#REF!</definedName>
    <definedName name="SUMMARY_BALANCE_SHEET">#REF!</definedName>
    <definedName name="SUMMARY_CASH_FLOW_STATEMENT">#REF!</definedName>
    <definedName name="Summary_Date">#REF!</definedName>
    <definedName name="Summary_print">#REF!</definedName>
    <definedName name="SUMMARY_PROFIT___LOSS">#REF!</definedName>
    <definedName name="SummaryArea">#REF!</definedName>
    <definedName name="SummaryIssuers">#REF!</definedName>
    <definedName name="SummaryTypes">#REF!</definedName>
    <definedName name="SUNWQTR">#REF!</definedName>
    <definedName name="sutcurr">#REF!</definedName>
    <definedName name="sutdate">#REF!</definedName>
    <definedName name="sutdown">#REF!</definedName>
    <definedName name="sutdownsup">#REF!</definedName>
    <definedName name="suteps99">#REF!</definedName>
    <definedName name="sutfy1cons">#REF!</definedName>
    <definedName name="sutfy2cons">#REF!</definedName>
    <definedName name="suthi">#REF!</definedName>
    <definedName name="suthilo">#REF!</definedName>
    <definedName name="sutlow">#REF!</definedName>
    <definedName name="sutmktcap">#REF!</definedName>
    <definedName name="sutpegrowthavg">#REF!</definedName>
    <definedName name="sutpegrowthcurr">#REF!</definedName>
    <definedName name="sutpegrowthhi">#REF!</definedName>
    <definedName name="sutpegrowthlow">#REF!</definedName>
    <definedName name="sutprice">#REF!</definedName>
    <definedName name="sutrpe">#REF!</definedName>
    <definedName name="sutshares">#REF!</definedName>
    <definedName name="suttprice">#REF!</definedName>
    <definedName name="sutttmavg">#REF!</definedName>
    <definedName name="sutttmcurr">#REF!</definedName>
    <definedName name="sutttmhi">#REF!</definedName>
    <definedName name="sutttmlow">#REF!</definedName>
    <definedName name="sutttmrelavg">#REF!</definedName>
    <definedName name="sutttmrelcurr">#REF!</definedName>
    <definedName name="sutttmrelhi">#REF!</definedName>
    <definedName name="sutttmrellow">#REF!</definedName>
    <definedName name="sutup">#REF!</definedName>
    <definedName name="sutupsup">#REF!</definedName>
    <definedName name="sutvol">#REF!</definedName>
    <definedName name="sutyield">#REF!</definedName>
    <definedName name="SVANEC">#REF!</definedName>
    <definedName name="sxcavg">#REF!</definedName>
    <definedName name="sxcchg">#REF!</definedName>
    <definedName name="sxccrpe">#REF!</definedName>
    <definedName name="sxccurr">#REF!</definedName>
    <definedName name="sxcdate">#REF!</definedName>
    <definedName name="sxcdown">#REF!</definedName>
    <definedName name="sxcdownsup">#REF!</definedName>
    <definedName name="sxceps98">#REF!</definedName>
    <definedName name="sxceps99">#REF!</definedName>
    <definedName name="sxcfy1cons">#REF!</definedName>
    <definedName name="sxcfy2cons">#REF!</definedName>
    <definedName name="sxchi">#REF!</definedName>
    <definedName name="sxchilo">#REF!</definedName>
    <definedName name="sxclow">#REF!</definedName>
    <definedName name="sxcpegrowthavg">#REF!</definedName>
    <definedName name="sxcpegrowthcurr">#REF!</definedName>
    <definedName name="sxcpegrowthhi">#REF!</definedName>
    <definedName name="sxcpegrowthlow">#REF!</definedName>
    <definedName name="sxcprice">#REF!</definedName>
    <definedName name="sxcrpe">#REF!</definedName>
    <definedName name="sxcshares">#REF!</definedName>
    <definedName name="sxctprice">#REF!</definedName>
    <definedName name="sxcttmavg">#REF!</definedName>
    <definedName name="sxcttmcurr">#REF!</definedName>
    <definedName name="sxcttmhi">#REF!</definedName>
    <definedName name="sxcttmlow">#REF!</definedName>
    <definedName name="sxcttmrelavg">#REF!</definedName>
    <definedName name="sxcttmrelcurr">#REF!</definedName>
    <definedName name="sxcttmrelhi">#REF!</definedName>
    <definedName name="sxcup">#REF!</definedName>
    <definedName name="sxcupsup">#REF!</definedName>
    <definedName name="sxcvol">#REF!</definedName>
    <definedName name="sxcyield">#REF!</definedName>
    <definedName name="SysCap_Pricing">#REF!</definedName>
    <definedName name="SystemsBreakdown">#REF!</definedName>
    <definedName name="t">#REF!</definedName>
    <definedName name="T_5YRGROWTH">#REF!</definedName>
    <definedName name="t_ebdit">#REF!</definedName>
    <definedName name="t_ebitda">#REF!</definedName>
    <definedName name="t_free_cash_flow">#REF!</definedName>
    <definedName name="t_tot_cash_earns">#REF!</definedName>
    <definedName name="t_tot_interest_payments">#REF!</definedName>
    <definedName name="t_tot_net_debt">#REF!</definedName>
    <definedName name="TABLE">#REF!</definedName>
    <definedName name="TABLE_1">#REF!</definedName>
    <definedName name="Table_1_1">#REF!</definedName>
    <definedName name="Table_1_2">#REF!</definedName>
    <definedName name="Table_1_3">#REF!</definedName>
    <definedName name="Table_1_4">#REF!</definedName>
    <definedName name="Table_1_5">#REF!</definedName>
    <definedName name="Table_1_6">#REF!</definedName>
    <definedName name="Table_1_7">#REF!</definedName>
    <definedName name="TABLE_2">#REF!</definedName>
    <definedName name="Table_2_1">#REF!</definedName>
    <definedName name="table_2001">#REF!</definedName>
    <definedName name="table_2002">#REF!</definedName>
    <definedName name="table_2003">#REF!</definedName>
    <definedName name="table_2004">#REF!</definedName>
    <definedName name="TABLE_3">#REF!</definedName>
    <definedName name="table_name">#REF!</definedName>
    <definedName name="TableName">"Dummy"</definedName>
    <definedName name="TabsForDeletion">#REF!</definedName>
    <definedName name="TALK_95EBIT">#REF!</definedName>
    <definedName name="TALK_95EBITDA">#REF!</definedName>
    <definedName name="TALK_96EPS">#REF!</definedName>
    <definedName name="TALK_97EPS">#REF!</definedName>
    <definedName name="TALK_98EPS">#REF!</definedName>
    <definedName name="TALK_ASSET">#REF!</definedName>
    <definedName name="TALK_DEBT">#REF!</definedName>
    <definedName name="TALK_DIV">#REF!</definedName>
    <definedName name="TALK_INTANGIBLE">#REF!</definedName>
    <definedName name="TALK_LTMCAPEX">#REF!</definedName>
    <definedName name="TALK_LTMEBIT">#REF!</definedName>
    <definedName name="TALK_LTMEBITDA">#REF!</definedName>
    <definedName name="TALK_LTMINT">#REF!</definedName>
    <definedName name="TALK_LTMNI">#REF!</definedName>
    <definedName name="TALK_LTMREV">#REF!</definedName>
    <definedName name="TALK_LTMSGA">#REF!</definedName>
    <definedName name="talk_min">#REF!</definedName>
    <definedName name="TALK_name">#REF!</definedName>
    <definedName name="TALK_netdebt">#REF!</definedName>
    <definedName name="TALK_price">#REF!</definedName>
    <definedName name="TALK_SE">#REF!</definedName>
    <definedName name="TALK_share">#REF!</definedName>
    <definedName name="TALK_ticker">#REF!</definedName>
    <definedName name="Tape">#REF!</definedName>
    <definedName name="TAPEStorage">#REF!</definedName>
    <definedName name="target">#REF!</definedName>
    <definedName name="Target_debt_to_capital">#REF!</definedName>
    <definedName name="targmult">#REF!</definedName>
    <definedName name="tariff_discount">#REF!</definedName>
    <definedName name="tax">#REF!</definedName>
    <definedName name="Tax_benefit_from_interest">#REF!</definedName>
    <definedName name="Tax_benefit_from_oper_leases">#REF!</definedName>
    <definedName name="Tax_benefit_from_ops_leases">#REF!</definedName>
    <definedName name="Tax_Benefit_Option_Exercise">#REF!</definedName>
    <definedName name="Tax_Paid">#REF!</definedName>
    <definedName name="Tax_Rate">#REF!</definedName>
    <definedName name="Tax_rate_for_WACC">#REF!</definedName>
    <definedName name="Tax_Shield_Tax_Rate">#REF!</definedName>
    <definedName name="Tax00">#REF!</definedName>
    <definedName name="Taxes">#REF!</definedName>
    <definedName name="taxrate">#REF!</definedName>
    <definedName name="taxrate00">#REF!</definedName>
    <definedName name="taxrate01">#REF!</definedName>
    <definedName name="taxrate02">#REF!</definedName>
    <definedName name="taxrate03">#REF!</definedName>
    <definedName name="taxrate04">#REF!</definedName>
    <definedName name="taxrate98">#REF!</definedName>
    <definedName name="taxrate99">#REF!</definedName>
    <definedName name="TBShare">#REF!</definedName>
    <definedName name="tcgh">#REF!</definedName>
    <definedName name="TDS_1yrEPS">#REF!</definedName>
    <definedName name="TDS_2yrEPS">#REF!</definedName>
    <definedName name="TDS_52HIGH">#REF!</definedName>
    <definedName name="TDS_5YRGROWTH">#REF!</definedName>
    <definedName name="TDS_96EPS">#REF!</definedName>
    <definedName name="TDS_97EPS">#REF!</definedName>
    <definedName name="TDS_98EPS">#REF!</definedName>
    <definedName name="TDS_LTMSGA">#REF!</definedName>
    <definedName name="TDS_PRICE">#REF!</definedName>
    <definedName name="tele5">#REF!</definedName>
    <definedName name="tele5_div">#REF!</definedName>
    <definedName name="Tele5Dec96">#REF!</definedName>
    <definedName name="Tele5Dec97">#REF!</definedName>
    <definedName name="Tele5Dec98">#REF!</definedName>
    <definedName name="Tele5Dec99">#REF!</definedName>
    <definedName name="telecinco">#REF!</definedName>
    <definedName name="TELN_AssociatesMinorities">#REF!</definedName>
    <definedName name="TEM_AssociatesMinorities">#REF!</definedName>
    <definedName name="TEMP">#REF!</definedName>
    <definedName name="Template.WIRE">"DBACCESS"</definedName>
    <definedName name="Tempme" hidden="1">{#N/A,#N/A,FALSE,"Output";#N/A,#N/A,FALSE,"Cover Sheet";#N/A,#N/A,FALSE,"Current Mkt. Projections"}</definedName>
    <definedName name="Tempme3" hidden="1">{#N/A,#N/A,FALSE,"Output";#N/A,#N/A,FALSE,"Cover Sheet";#N/A,#N/A,FALSE,"Current Mkt. Projections"}</definedName>
    <definedName name="Tempme4" hidden="1">{#N/A,#N/A,FALSE,"Output";#N/A,#N/A,FALSE,"Cover Sheet";#N/A,#N/A,FALSE,"Current Mkt. Projections"}</definedName>
    <definedName name="Tempo5" hidden="1">{#N/A,#N/A,FALSE,"Output";#N/A,#N/A,FALSE,"Cover Sheet";#N/A,#N/A,FALSE,"Current Mkt. Projections"}</definedName>
    <definedName name="Tempo5a" hidden="1">{#N/A,#N/A,FALSE,"Output";#N/A,#N/A,FALSE,"Cover Sheet";#N/A,#N/A,FALSE,"Current Mkt. Projections"}</definedName>
    <definedName name="ternfy1cons">#REF!</definedName>
    <definedName name="ternfy2cons">#REF!</definedName>
    <definedName name="ternhi">#REF!</definedName>
    <definedName name="ternlow">#REF!</definedName>
    <definedName name="ternpegrowthavg">#REF!</definedName>
    <definedName name="ternpegrowthcurr">#REF!</definedName>
    <definedName name="ternpegrowthhi">#REF!</definedName>
    <definedName name="ternpegrowthlow">#REF!</definedName>
    <definedName name="ternprice">#REF!</definedName>
    <definedName name="ternshares">#REF!</definedName>
    <definedName name="ternttmavg">#REF!</definedName>
    <definedName name="ternttmcurr">#REF!</definedName>
    <definedName name="ternttmhi">#REF!</definedName>
    <definedName name="ternttmlow">#REF!</definedName>
    <definedName name="ternttmrelavg">#REF!</definedName>
    <definedName name="ternttmrelcurr">#REF!</definedName>
    <definedName name="ternttmrelhi">#REF!</definedName>
    <definedName name="ternttmrellow">#REF!</definedName>
    <definedName name="TEST" hidden="1">{#N/A,#N/A,FALSE,"Report Print"}</definedName>
    <definedName name="TEST_52high">#REF!</definedName>
    <definedName name="TEST_LTMSGA">#REF!</definedName>
    <definedName name="TEST_price">#REF!</definedName>
    <definedName name="test1">{#N/A,#N/A,FALSE,"Report Print"}</definedName>
    <definedName name="TestAdd">"Test RefersTo1"</definedName>
    <definedName name="testrev2">#REF!</definedName>
    <definedName name="textToday">#REF!</definedName>
    <definedName name="TG">#REF!</definedName>
    <definedName name="TGO_1yrEPS">#REF!</definedName>
    <definedName name="TGO_2yrEPS">#REF!</definedName>
    <definedName name="TGO_52high">#REF!</definedName>
    <definedName name="TGO_5YRGROWTH">#REF!</definedName>
    <definedName name="TGO_95EBIT">#REF!</definedName>
    <definedName name="TGO_95EBITDA">#REF!</definedName>
    <definedName name="TGO_96EPS">#REF!</definedName>
    <definedName name="TGO_97EPS">#REF!</definedName>
    <definedName name="TGO_98EPS">#REF!</definedName>
    <definedName name="TGO_ASSET">#REF!</definedName>
    <definedName name="TGO_DEBT">#REF!</definedName>
    <definedName name="TGO_DIV">#REF!</definedName>
    <definedName name="TGO_INTANGIBLE">#REF!</definedName>
    <definedName name="TGO_LTMCAPEX">#REF!</definedName>
    <definedName name="TGO_LTMEBIT">#REF!</definedName>
    <definedName name="TGO_LTMEBITDA">#REF!</definedName>
    <definedName name="TGO_LTMINT">#REF!</definedName>
    <definedName name="TGO_LTMNI">#REF!</definedName>
    <definedName name="TGO_LTMREV">#REF!</definedName>
    <definedName name="TGO_LTMSGA">#REF!</definedName>
    <definedName name="tgo_min">#REF!</definedName>
    <definedName name="TGO_name">#REF!</definedName>
    <definedName name="TGO_netdebt">#REF!</definedName>
    <definedName name="TGO_price">#REF!</definedName>
    <definedName name="TGO_SE">#REF!</definedName>
    <definedName name="TGO_share">#REF!</definedName>
    <definedName name="TGO_ticker">#REF!</definedName>
    <definedName name="TGRP_1yrEPS">#REF!</definedName>
    <definedName name="TGRP_2yrEPS">#REF!</definedName>
    <definedName name="TGRP_52HIGH">#REF!</definedName>
    <definedName name="TGRP_5YRGROWTH">#REF!</definedName>
    <definedName name="TGRP_PRICE">#REF!</definedName>
    <definedName name="TheDate">#REF!</definedName>
    <definedName name="thou">#REF!</definedName>
    <definedName name="threeg">#REF!</definedName>
    <definedName name="tic">#REF!</definedName>
    <definedName name="tica">#REF!</definedName>
    <definedName name="ticb">#REF!</definedName>
    <definedName name="TICC">#REF!</definedName>
    <definedName name="ticd">#REF!</definedName>
    <definedName name="tice">#REF!</definedName>
    <definedName name="TICERK">#REF!</definedName>
    <definedName name="ticf">#REF!</definedName>
    <definedName name="ticg">#REF!</definedName>
    <definedName name="tich">#REF!</definedName>
    <definedName name="tichi">#REF!</definedName>
    <definedName name="tici">#REF!</definedName>
    <definedName name="ticj">#REF!</definedName>
    <definedName name="Tick">#REF!</definedName>
    <definedName name="ticker">#REF!</definedName>
    <definedName name="TickerColumn">#REF!</definedName>
    <definedName name="TickerRef">#REF!</definedName>
    <definedName name="Tickers">#REF!</definedName>
    <definedName name="Tigr_Exhibit0028131d_85f4_4ddc_b8e9_66f9b86553cf" hidden="1">#REF!</definedName>
    <definedName name="Tigr_Exhibit002aaa4e_27c3_4cc5_8911_f21ba88e0f25" hidden="1">#REF!</definedName>
    <definedName name="Tigr_Exhibit009b01a3_5c15_45d1_bbb9_97acf25522cc" hidden="1">#REF!</definedName>
    <definedName name="Tigr_Exhibit0154ac78_47ff_47e0_acb6_cfcb5424d4de" hidden="1">#REF!</definedName>
    <definedName name="Tigr_Exhibit0192c662_2b0a_4de1_9902_d198cf7e09c4" hidden="1">#REF!</definedName>
    <definedName name="Tigr_Exhibit0202b33e_2ca1_48a7_b3c9_96548951432e" hidden="1">#REF!</definedName>
    <definedName name="Tigr_Exhibit021727e2_f581_427e_9fa5_c8bb5be92b8a" hidden="1">#REF!</definedName>
    <definedName name="Tigr_Exhibit021fca9d_98c2_448f_b3b4_9b894abf7a84" hidden="1">#REF!</definedName>
    <definedName name="Tigr_Exhibit023cae1b_9958_4003_86b5_220cfadab7b2" hidden="1">#REF!</definedName>
    <definedName name="Tigr_Exhibit028dca3e_35a7_4b14_9e4f_adeb0a1a0b2b" hidden="1">#REF!</definedName>
    <definedName name="Tigr_Exhibit02cf26bf_9402_43d8_bab6_433dcd4719fe" hidden="1">#REF!</definedName>
    <definedName name="Tigr_Exhibit02ed22d6_19fe_4dbd_84c0_150a484e6f3f" hidden="1">#REF!</definedName>
    <definedName name="Tigr_Exhibit03034a1a_82ab_4278_999a_140d34949ec3" hidden="1">#REF!</definedName>
    <definedName name="Tigr_Exhibit0322ee91_5c47_4420_9ee3_079017e4625f" hidden="1">#REF!</definedName>
    <definedName name="Tigr_Exhibit033f5ec1_181b_413f_8ddb_01da9d1e78ca" hidden="1">#REF!</definedName>
    <definedName name="Tigr_Exhibit035cd9a9_78bd_4598_9433_3a5f70065958" hidden="1">#REF!</definedName>
    <definedName name="Tigr_Exhibit038956b4_738f_4119_8521_b1149d891bc2" hidden="1">#REF!</definedName>
    <definedName name="Tigr_Exhibit038b500e_8fbf_40cd_b7ee_aab710018a1e" hidden="1">#REF!</definedName>
    <definedName name="Tigr_Exhibit03ddabe9_fd18_4760_bc74_3f7b2f692641" hidden="1">#REF!</definedName>
    <definedName name="Tigr_Exhibit043b0c77_b62a_4b60_9c35_90ab4b3a2ccf" hidden="1">#REF!</definedName>
    <definedName name="Tigr_Exhibit0464084c_093d_4466_b65f_74b1b7837c59" hidden="1">#REF!</definedName>
    <definedName name="Tigr_Exhibit0478a843_fbb4_4ef0_811c_5bfbe94f0ed6" hidden="1">#REF!</definedName>
    <definedName name="Tigr_Exhibit047ed2ec_11ad_4371_9f15_9452aae0b95b" hidden="1">#REF!</definedName>
    <definedName name="Tigr_Exhibit04864281_5ee5_4582_9e63_2a9884be0db3" hidden="1">#REF!</definedName>
    <definedName name="Tigr_Exhibit04a61252_a20a_4778_a0e8_b3426ff2ef90" hidden="1">#REF!</definedName>
    <definedName name="Tigr_Exhibit04bd162b_6ad0_4c9a_aa36_90d8dbe7229c" hidden="1">#REF!</definedName>
    <definedName name="Tigr_Exhibit056cbce6_1f86_4180_b875_fcc88235ab21" hidden="1">#REF!</definedName>
    <definedName name="Tigr_Exhibit057906a0_69d2_4833_a485_a264ba9f201c" hidden="1">#REF!</definedName>
    <definedName name="Tigr_Exhibit057e0beb_1091_4dcf_b790_a1714570a7bd" hidden="1">#REF!</definedName>
    <definedName name="Tigr_Exhibit05b1afe1_9051_46a8_92a6_d7c885137802" hidden="1">#REF!</definedName>
    <definedName name="Tigr_Exhibit05c2ad8f_62d8_4503_a05a_4c607c803372" hidden="1">#REF!</definedName>
    <definedName name="Tigr_Exhibit06170088_c3cb_4cf5_be59_709f15c1c386" hidden="1">#REF!</definedName>
    <definedName name="Tigr_Exhibit0633ff38_5dfd_4ed5_95e6_1cf76fdaa44e" hidden="1">#REF!</definedName>
    <definedName name="Tigr_Exhibit06c5b8de_5951_4120_b6a3_eaec8b0036a3" hidden="1">#REF!</definedName>
    <definedName name="Tigr_Exhibit06cad047_df8a_47a2_af79_88db44537407" hidden="1">#REF!</definedName>
    <definedName name="Tigr_Exhibit06d5e61a_fe5c_45da_9ce6_e8ed6638cf62" hidden="1">#REF!</definedName>
    <definedName name="Tigr_Exhibit06d8a50f_5fa0_4d24_b622_b862e3b68788" hidden="1">#REF!</definedName>
    <definedName name="Tigr_Exhibit0703ba34_5664_45a5_a604_f9132a52abad" hidden="1">#REF!</definedName>
    <definedName name="Tigr_Exhibit07772278_d983_4d84_ae83_379a54a64b09" hidden="1">#REF!</definedName>
    <definedName name="Tigr_Exhibit07b976a4_bd45_491b_a088_ef20cd61c171" hidden="1">#REF!</definedName>
    <definedName name="Tigr_Exhibit07f9ff23_2a3b_4a77_9847_1ccef0775326" hidden="1">#REF!</definedName>
    <definedName name="Tigr_Exhibit0819d0e1_31dd_4caf_b83b_cf2b646ade81" hidden="1">#REF!</definedName>
    <definedName name="Tigr_Exhibit082f5894_6b15_43b3_8338_552d8127d7f0" hidden="1">#REF!</definedName>
    <definedName name="Tigr_Exhibit08339d61_1cb5_4066_afc7_193b4d16e851" hidden="1">#REF!</definedName>
    <definedName name="Tigr_Exhibit08478fa4_1a88_418f_b189_49f888afb403" hidden="1">#REF!</definedName>
    <definedName name="Tigr_Exhibit08acb72e_307c_43e5_8754_fe47784bac74" hidden="1">#REF!</definedName>
    <definedName name="Tigr_Exhibit08c69507_2c6f_4518_864e_34b0c8813ac9" hidden="1">#REF!</definedName>
    <definedName name="Tigr_Exhibit094735bb_7196_467a_876c_8104b1e2d9eb" hidden="1">#REF!</definedName>
    <definedName name="Tigr_Exhibit09695ee2_8f5b_4475_916e_33a02cdaecbb" hidden="1">#REF!</definedName>
    <definedName name="Tigr_Exhibit09cfd81b_49b2_4fbf_a394_1668f36aa644" hidden="1">#REF!</definedName>
    <definedName name="Tigr_Exhibit09f6c805_e1ee_4047_8a87_5c3d08efdc0b" hidden="1">#REF!</definedName>
    <definedName name="Tigr_Exhibit0a88bf87_60e0_4c99_8a12_787e073478c4" hidden="1">#REF!</definedName>
    <definedName name="Tigr_Exhibit0ab466ec_e4ce_4bf9_84a6_833d4f6066ce" hidden="1">#REF!</definedName>
    <definedName name="Tigr_Exhibit0b3beb00_03f2_407e_b694_7445c15d279b" hidden="1">#REF!</definedName>
    <definedName name="Tigr_Exhibit0b7de8ec_c8b0_4238_ac43_6bf8efba934a" hidden="1">#REF!</definedName>
    <definedName name="Tigr_Exhibit0b9c49be_6afe_41a5_ac41_183a77719e1e" hidden="1">#REF!</definedName>
    <definedName name="Tigr_Exhibit0bbc04b9_7198_411e_98d5_f42ac2cd55e0" hidden="1">#REF!</definedName>
    <definedName name="Tigr_Exhibit0c2effb7_26e2_4e72_a984_4951523f37fc" hidden="1">#REF!</definedName>
    <definedName name="Tigr_Exhibit0c5ed077_cc46_47dd_a707_f8d716bc8cac" hidden="1">#REF!</definedName>
    <definedName name="Tigr_Exhibit0cc02d34_661b_40f6_9a31_030ad67fc73f" hidden="1">#REF!</definedName>
    <definedName name="Tigr_Exhibit0cff046b_6bf1_4e19_a42f_6fe9d0cb09e1" hidden="1">#REF!</definedName>
    <definedName name="Tigr_Exhibit0d1aea7d_57a8_4a74_a143_2f3d7b95ed37" hidden="1">#REF!</definedName>
    <definedName name="Tigr_Exhibit0d25e9e8_baa7_4949_a24b_091baa11eb4d" hidden="1">#REF!</definedName>
    <definedName name="Tigr_Exhibit0d6fddf1_0793_49a5_881e_395272604d2d" hidden="1">#REF!</definedName>
    <definedName name="Tigr_Exhibit0dc5e786_daef_4de9_9914_04cb40a9af5e" hidden="1">#REF!</definedName>
    <definedName name="Tigr_Exhibit0ec91fc2_12c2_443a_bca1_2296e6716fb0" hidden="1">#REF!</definedName>
    <definedName name="Tigr_Exhibit0fdf1515_4124_4833_a09f_7f2af690977c" hidden="1">#REF!</definedName>
    <definedName name="Tigr_Exhibit104aa2bc_0b61_4398_9ed0_2aed6ba9f61f" hidden="1">#REF!</definedName>
    <definedName name="Tigr_Exhibit105f73ff_9c44_4f1b_b70e_a5d4e0707a97" hidden="1">#REF!</definedName>
    <definedName name="Tigr_Exhibit10646214_7ac6_42c8_9720_a51b8048e285" hidden="1">#REF!</definedName>
    <definedName name="Tigr_Exhibit10ae37f2_2ef0_487d_bc2a_647e04985b67" hidden="1">#REF!</definedName>
    <definedName name="Tigr_Exhibit10c2cd9f_7538_4651_a1b8_551c24733bca" hidden="1">#REF!</definedName>
    <definedName name="Tigr_Exhibit110d99fc_496d_42a4_989c_0b187f7b2f90" hidden="1">#REF!</definedName>
    <definedName name="Tigr_Exhibit117b5d9b_3016_4d3a_807a_53f8fb163f4f" hidden="1">#REF!</definedName>
    <definedName name="Tigr_Exhibit118caf2e_74ad_497f_bbd0_667128373808" hidden="1">#REF!</definedName>
    <definedName name="Tigr_Exhibit11bf2237_8a0f_4c30_862b_9354f160d1fd" hidden="1">#REF!</definedName>
    <definedName name="Tigr_Exhibit11d0d789_649e_4d10_8fda_1a941408aac8" hidden="1">#REF!</definedName>
    <definedName name="Tigr_Exhibit11e82e6a_76b3_4d45_a255_3e18838855f2" hidden="1">#REF!</definedName>
    <definedName name="Tigr_Exhibit12054004_cd37_4cc0_86b5_b5574fb1dae4" hidden="1">#REF!</definedName>
    <definedName name="Tigr_Exhibit122b0949_e25b_40bc_a7bb_3bf8b1f9b3f8" hidden="1">#REF!</definedName>
    <definedName name="Tigr_Exhibit126ec1d6_7c38_4601_b74d_c630fd409730" hidden="1">#REF!</definedName>
    <definedName name="Tigr_Exhibit130213c9_734a_4cdf_af88_6d7b6a7aadf1" hidden="1">#REF!</definedName>
    <definedName name="Tigr_Exhibit1315fd7d_6466_4db9_bbc3_6c4dad1a4f16" hidden="1">#REF!</definedName>
    <definedName name="Tigr_Exhibit13b3cb56_0056_4bee_aba9_a2e0815a989b" hidden="1">#REF!</definedName>
    <definedName name="Tigr_Exhibit14368c69_b4e5_4ee9_8352_525285b21728" hidden="1">#REF!</definedName>
    <definedName name="Tigr_Exhibit146e1545_30d5_4ea3_8741_81b8485a9a83" hidden="1">#REF!</definedName>
    <definedName name="Tigr_Exhibit14af41bc_de60_4391_89cf_f9dc00839340" hidden="1">#REF!</definedName>
    <definedName name="Tigr_Exhibit14d21df8_eefe_40c6_a8df_b5239db38933" hidden="1">#REF!</definedName>
    <definedName name="Tigr_Exhibit1542b4b4_a090_4999_ae1d_f1713598eed9" hidden="1">#REF!</definedName>
    <definedName name="Tigr_Exhibit15cc0782_070c_49a8_ad93_2d0e3c96a474" hidden="1">#REF!</definedName>
    <definedName name="Tigr_Exhibit15f9e24f_2b3f_410d_be62_04561c7687fb" hidden="1">#REF!</definedName>
    <definedName name="Tigr_Exhibit164a841e_3438_41a7_85d6_6df377b9f154" hidden="1">#REF!</definedName>
    <definedName name="Tigr_Exhibit17c523c7_d845_404b_9633_6d0b83daf952" hidden="1">#REF!</definedName>
    <definedName name="Tigr_Exhibit17c879fd_c8c5_4954_a3f6_1cd6191586bc" hidden="1">#REF!</definedName>
    <definedName name="Tigr_Exhibit184f804b_5a20_43e4_ac14_6b0c530e061e" hidden="1">#REF!</definedName>
    <definedName name="Tigr_Exhibit1888c61d_137d_4d1d_afe1_f21674677dc4" hidden="1">#REF!</definedName>
    <definedName name="Tigr_Exhibit18bb1737_fb08_40f0_8cc5_ae69de8ab545" hidden="1">#REF!</definedName>
    <definedName name="Tigr_Exhibit194dc460_88d7_46bf_996c_5760e3694130" hidden="1">#REF!</definedName>
    <definedName name="Tigr_Exhibit19cc41f5_d2e6_4d90_930a_8934c4739751" hidden="1">#REF!</definedName>
    <definedName name="Tigr_Exhibit19d9a4a5_7ee4_4955_8ce0_a657e034e7f9" hidden="1">#REF!</definedName>
    <definedName name="Tigr_Exhibit1a3a178b_cc78_4f81_8995_2dbe81387070" hidden="1">#REF!</definedName>
    <definedName name="Tigr_Exhibit1a8d9ec2_031f_43bd_aee8_49f1a31d8109" hidden="1">#REF!</definedName>
    <definedName name="Tigr_Exhibit1a8eaa51_7b69_4a41_ad9f_2ca34f3d2b17" hidden="1">#REF!</definedName>
    <definedName name="Tigr_Exhibit1ac725f5_c31a_47ad_a0ee_0c21844d5be4" hidden="1">#REF!</definedName>
    <definedName name="Tigr_Exhibit1b16b04a_b407_43c1_a4c7_869e3f8c78ed" hidden="1">#REF!</definedName>
    <definedName name="Tigr_Exhibit1b575437_f0d5_4b86_8b4b_57aa3295be68" hidden="1">#REF!</definedName>
    <definedName name="Tigr_Exhibit1b84f5d5_7ef6_4376_90f6_a5d76cb868cf" hidden="1">#REF!</definedName>
    <definedName name="Tigr_Exhibit1bb75cda_bad5_4a3b_bb9d_a5218abc402e" hidden="1">#REF!</definedName>
    <definedName name="Tigr_Exhibit1bbf4ba5_1824_4d91_88b7_2556ac077cae" hidden="1">#REF!</definedName>
    <definedName name="Tigr_Exhibit1bf2f6c0_5384_4239_8799_0fc5796e338f" hidden="1">#REF!</definedName>
    <definedName name="Tigr_Exhibit1bf4d0d8_7897_45b8_9f05_dbadce1e1681" hidden="1">#REF!</definedName>
    <definedName name="Tigr_Exhibit1c0963b8_7a49_4c64_aa43_b3581dac5f5d" hidden="1">#REF!</definedName>
    <definedName name="Tigr_Exhibit1c18a0c8_acbe_40cf_9dc3_1d5f96d82834" hidden="1">#REF!</definedName>
    <definedName name="Tigr_Exhibit1c1fb617_41b3_4547_990b_cd2e36be5818" hidden="1">#REF!</definedName>
    <definedName name="Tigr_Exhibit1c5f6995_8a20_4a8f_895c_b81a0ef4405b" hidden="1">#REF!</definedName>
    <definedName name="Tigr_Exhibit1ca31f27_f95a_4313_a47a_05ac6de2d14c" hidden="1">#REF!</definedName>
    <definedName name="Tigr_Exhibit1cbbeff6_39e1_41df_9bc4_46811621f3e3" hidden="1">#REF!</definedName>
    <definedName name="Tigr_Exhibit1cc54d1f_bc93_4524_9ec6_4bc0c70471b7" hidden="1">#REF!</definedName>
    <definedName name="Tigr_Exhibit1cd5651d_895b_4740_a3ee_a0fdc1689ed7" hidden="1">#REF!</definedName>
    <definedName name="Tigr_Exhibit1cde7e5a_b91f_40c2_89fa_728d62ddae88" hidden="1">#REF!</definedName>
    <definedName name="Tigr_Exhibit1ceb4507_f710_4f0c_97da_d81dc0b4acf0" hidden="1">#REF!</definedName>
    <definedName name="Tigr_Exhibit1d3a302e_6b82_4c25_a236_03eaf7e3117f" hidden="1">#REF!</definedName>
    <definedName name="Tigr_Exhibit1d5dd59d_ef15_4abf_9835_45d308d6f7f0" hidden="1">#REF!</definedName>
    <definedName name="Tigr_Exhibit1da221c1_9350_4cfb_8bd3_694c92a20732" hidden="1">#REF!</definedName>
    <definedName name="Tigr_Exhibit1db37b01_2b54_4ac7_9b20_73a4cf039e5f" hidden="1">#REF!</definedName>
    <definedName name="Tigr_Exhibit1dcda83c_b3f9_40db_9978_9e77a2c6eea8" hidden="1">#REF!</definedName>
    <definedName name="Tigr_Exhibit1df88969_7aec_4524_b56d_17499601f175" hidden="1">#REF!</definedName>
    <definedName name="Tigr_Exhibit1ea8e89c_708b_40b3_8690_75d641407aa3" hidden="1">#REF!</definedName>
    <definedName name="Tigr_Exhibit1ec7de98_53ea_4c34_9c48_127093b5edcc" hidden="1">#REF!</definedName>
    <definedName name="Tigr_Exhibit1ecaaca1_5a64_4308_96d8_82be041a8ff4" hidden="1">#REF!</definedName>
    <definedName name="Tigr_Exhibit1ed6c2d1_941a_4352_bb95_9fef75efdde8" hidden="1">#REF!</definedName>
    <definedName name="Tigr_Exhibit1f18dfdf_8741_45f9_b1a6_d6cd661c5826" hidden="1">#REF!</definedName>
    <definedName name="Tigr_Exhibit1f202c7f_9261_48cc_8e33_da16d205c8fd" hidden="1">#REF!</definedName>
    <definedName name="Tigr_Exhibit1f575b50_a66f_4306_95de_147ab7216b16" hidden="1">#REF!</definedName>
    <definedName name="Tigr_Exhibit1f599d52_049e_485a_920f_394168188f50" hidden="1">#REF!</definedName>
    <definedName name="Tigr_Exhibit1f7568e2_1ced_4f22_acf1_03dbdabb6e7c" hidden="1">#REF!</definedName>
    <definedName name="Tigr_Exhibit1fb5b329_eac3_4489_9b54_0b8826f7997b" hidden="1">#REF!</definedName>
    <definedName name="Tigr_Exhibit2011c2c7_41d1_429e_9ffe_eef6e1f33725" hidden="1">#REF!</definedName>
    <definedName name="Tigr_Exhibit201a0b2d_b203_4aa9_9736_88c42bb48cf7" hidden="1">#REF!</definedName>
    <definedName name="Tigr_Exhibit204c749c_b1de_4d0d_ad68_7128c304ba22" hidden="1">#REF!</definedName>
    <definedName name="Tigr_Exhibit205e2a70_4c83_4b1d_abbb_4141b0329017" hidden="1">#REF!</definedName>
    <definedName name="Tigr_Exhibit208d519a_9d37_4442_b6b1_6f0a3f89a6f6" hidden="1">#REF!</definedName>
    <definedName name="Tigr_Exhibit20e9858e_c6ec_4f10_a5f2_0fcbef0eb24a" hidden="1">#REF!</definedName>
    <definedName name="Tigr_Exhibit20f9e1f7_54f3_482d_8ec3_039285dde94a" hidden="1">#REF!</definedName>
    <definedName name="Tigr_Exhibit21e680a0_21d6_4d77_b870_b0ffadc70b68" hidden="1">#REF!</definedName>
    <definedName name="Tigr_Exhibit22073013_7e61_4102_9073_470feceddec8" hidden="1">#REF!</definedName>
    <definedName name="Tigr_Exhibit2213a5de_d87a_4fb1_bd80_4ab693c83a3f" hidden="1">#REF!</definedName>
    <definedName name="Tigr_Exhibit227f5da8_8100_4035_9575_4f1e3beb8cab" hidden="1">#REF!</definedName>
    <definedName name="Tigr_Exhibit22911947_3996_4dcb_b36d_b5526e34204b" hidden="1">#REF!</definedName>
    <definedName name="Tigr_Exhibit22dd4fab_be5a_44c6_9ebc_954ea39fc415" hidden="1">#REF!</definedName>
    <definedName name="Tigr_Exhibit23213b1d_423c_44d5_913b_5b858b14ca45" hidden="1">#REF!</definedName>
    <definedName name="Tigr_Exhibit23d2962e_8397_42b2_9dc8_fc1bcbbd68d7" hidden="1">#REF!</definedName>
    <definedName name="Tigr_Exhibit23f37ddf_d550_4d6f_bc6c_127782e2a669" hidden="1">#REF!</definedName>
    <definedName name="Tigr_Exhibit2407efb0_eb74_4ad7_8224_63393ee54b18" hidden="1">#REF!</definedName>
    <definedName name="Tigr_Exhibit243d45b1_0d4f_4056_a4bc_35d85f4fa71b" hidden="1">#REF!</definedName>
    <definedName name="Tigr_Exhibit2467cab6_affb_499c_80b9_14d8382ddc70" hidden="1">#REF!</definedName>
    <definedName name="Tigr_Exhibit247d9f69_b393_4206_bc42_09e126e7910d" hidden="1">#REF!</definedName>
    <definedName name="Tigr_Exhibit248ebe65_35d9_4d4a_b582_3d002077ce6d" hidden="1">#REF!</definedName>
    <definedName name="Tigr_Exhibit24c59570_212d_47c6_a5da_f3ba02084c61" hidden="1">#REF!</definedName>
    <definedName name="Tigr_Exhibit2548d1d8_1aa1_4ea3_a9bf_65886805c652" hidden="1">#REF!</definedName>
    <definedName name="Tigr_Exhibit2569b0ff_c0c0_4ce7_8e31_972041e85236" hidden="1">#REF!</definedName>
    <definedName name="Tigr_Exhibit257d6289_1a3c_40b4_8ed2_1e7e6e67a3ab" hidden="1">#REF!</definedName>
    <definedName name="Tigr_Exhibit25a94057_2b22_4074_ba60_7eb50fd1ef0c" hidden="1">#REF!</definedName>
    <definedName name="Tigr_Exhibit26387df9_2ef3_406f_8a75_6945a88f908d" hidden="1">#REF!</definedName>
    <definedName name="Tigr_Exhibit263da391_b0b2_4bd0_9aa9_524ecb9306e4" hidden="1">#REF!</definedName>
    <definedName name="Tigr_Exhibit267310ce_a640_43e0_8701_fa95b0f24293" hidden="1">#REF!</definedName>
    <definedName name="Tigr_Exhibit26a4f857_5777_4154_9e5f_593abec88f4f" hidden="1">#REF!</definedName>
    <definedName name="Tigr_Exhibit26ccfb55_d137_4e62_856f_3f5424b1914a" hidden="1">#REF!</definedName>
    <definedName name="Tigr_Exhibit27406a32_d3c6_413d_97d3_e8c0a775da0c" hidden="1">#REF!</definedName>
    <definedName name="Tigr_Exhibit277202f3_f774_4e72_9008_911b46c1219e" hidden="1">#REF!</definedName>
    <definedName name="Tigr_Exhibit27a53e53_f04f_40b8_bec0_d3dbd283ee17" hidden="1">#REF!</definedName>
    <definedName name="Tigr_Exhibit27a70baf_e067_42bc_b310_b18e3b4e8383" hidden="1">#REF!</definedName>
    <definedName name="Tigr_Exhibit27a7bc9c_f289_489c_96d5_4587d8132a50" hidden="1">#REF!</definedName>
    <definedName name="Tigr_Exhibit27bfed31_ada9_49cf_999d_db9788a8acfe" hidden="1">#REF!</definedName>
    <definedName name="Tigr_Exhibit27c2e18a_5b4f_4de5_af32_9c9bcde935e3" hidden="1">#REF!</definedName>
    <definedName name="Tigr_Exhibit27ec6690_8908_4a93_b5b4_49b293a5e67f" hidden="1">#REF!</definedName>
    <definedName name="Tigr_Exhibit2864dec5_f7c6_4eb7_8ee8_6276af1df811" hidden="1">#REF!</definedName>
    <definedName name="Tigr_Exhibit2951d39d_d2b0_495b_b05b_c29329b84920" hidden="1">#REF!</definedName>
    <definedName name="Tigr_Exhibit2960be25_f4d3_428c_ba31_6e1a1d68df17" hidden="1">#REF!</definedName>
    <definedName name="Tigr_Exhibit296d2422_a28e_476f_be5c_c02a7c90db63" hidden="1">#REF!</definedName>
    <definedName name="Tigr_Exhibit296edea2_7bea_4e53_a6ee_b33902e5e587" hidden="1">#REF!</definedName>
    <definedName name="Tigr_Exhibit29844eee_2e7d_415e_9c10_af4d976ce5ae" hidden="1">#REF!</definedName>
    <definedName name="Tigr_Exhibit29854daa_7222_4c3f_b72c_ec237c1e29a4" hidden="1">#REF!</definedName>
    <definedName name="Tigr_Exhibit29926b7c_847f_4b0f_8b38_df56935cac46" hidden="1">#REF!</definedName>
    <definedName name="Tigr_Exhibit29ccf0b4_14cd_4dbf_b3e4_84b765f16e00" hidden="1">#REF!</definedName>
    <definedName name="Tigr_Exhibit29db5f97_a0c3_47c6_9f22_cdd72800e701" hidden="1">#REF!</definedName>
    <definedName name="Tigr_Exhibit29f5bea6_64ce_411c_949b_ab34142fe903" hidden="1">#REF!</definedName>
    <definedName name="Tigr_Exhibit2a043c29_6463_4404_bfac_5b489f2b3691" hidden="1">#REF!</definedName>
    <definedName name="Tigr_Exhibit2a435385_6ffa_4589_8876_102205fc89e8" hidden="1">#REF!</definedName>
    <definedName name="Tigr_Exhibit2a8deb5b_306c_4377_af0d_91a9d2047b6a" hidden="1">#REF!</definedName>
    <definedName name="Tigr_Exhibit2af4230b_5408_48ac_8fff_9a2837ef63cd" hidden="1">#REF!</definedName>
    <definedName name="Tigr_Exhibit2afe9327_152a_46a2_a5f4_e16bceca92ca" hidden="1">#REF!</definedName>
    <definedName name="Tigr_Exhibit2b29a701_cd94_4895_951b_7bff820a5eef" hidden="1">#REF!</definedName>
    <definedName name="Tigr_Exhibit2ba9ea2a_e7dc_4648_95fa_a1a1b46d4ecb" hidden="1">#REF!</definedName>
    <definedName name="Tigr_Exhibit2bab0db6_bae6_4c41_9ea2_b1a3fcf9d804" hidden="1">#REF!</definedName>
    <definedName name="Tigr_Exhibit2be4c863_4c09_4021_a148_e98213be1d2a" hidden="1">#REF!</definedName>
    <definedName name="Tigr_Exhibit2c91664e_d3ed_4b0c_aa59_7b20e1f28d1b" hidden="1">#REF!</definedName>
    <definedName name="Tigr_Exhibit2cc90c5b_7dbb_41a1_8ed2_c6e54b166dea" hidden="1">#REF!</definedName>
    <definedName name="Tigr_Exhibit2ce1beeb_3144_4d71_90d3_c8adaed1550b" hidden="1">#REF!</definedName>
    <definedName name="Tigr_Exhibit2d403daf_ad3c_48e8_b967_685b5f32eeba" hidden="1">#REF!</definedName>
    <definedName name="Tigr_Exhibit2d7a67fb_ce3f_4a01_9cef_074ef19f2b28" hidden="1">#REF!</definedName>
    <definedName name="Tigr_Exhibit2da4a680_5cdb_419f_b5c1_a0b78df42e22" hidden="1">#REF!</definedName>
    <definedName name="Tigr_Exhibit2e09b100_7060_4167_b981_e9a748444111" hidden="1">#REF!</definedName>
    <definedName name="Tigr_Exhibit2e4b35a5_878f_4fa7_aca3_5c7808b39c63" hidden="1">#REF!</definedName>
    <definedName name="Tigr_Exhibit2e8f9586_7a9a_4000_a069_c65ca0a3f535" hidden="1">#REF!</definedName>
    <definedName name="Tigr_Exhibit2eacc7f2_942c_49a1_a900_8535061060ea" hidden="1">#REF!</definedName>
    <definedName name="Tigr_Exhibit2ed17424_7e64_476f_93b2_783a6b1017a0" hidden="1">#REF!</definedName>
    <definedName name="Tigr_Exhibit2f28f7d4_dacc_40d7_9e3f_124247451280" hidden="1">#REF!</definedName>
    <definedName name="Tigr_Exhibit2f440295_caca_4213_8be1_e693081bbd97" hidden="1">#REF!</definedName>
    <definedName name="Tigr_Exhibit2f546f96_5669_4465_b897_9e921991f858" hidden="1">#REF!</definedName>
    <definedName name="Tigr_Exhibit2f671699_d0d7_4f75_b35c_1b744e289acd" hidden="1">#REF!</definedName>
    <definedName name="Tigr_Exhibit2f67801f_6952_4da6_ba18_5eb377d7021c" hidden="1">#REF!</definedName>
    <definedName name="Tigr_Exhibit2fb2615b_fa5d_4d8c_ad9e_10800f0ee171" hidden="1">#REF!</definedName>
    <definedName name="Tigr_Exhibit2ffb1d8f_9d3b_45c1_a6f6_741e89e84d6e" hidden="1">#REF!</definedName>
    <definedName name="Tigr_Exhibit304de183_0586_4f12_98d1_a3bfec9bde5f" hidden="1">#REF!</definedName>
    <definedName name="Tigr_Exhibit305b2507_271e_4c21_bf86_4325ca9d48de" hidden="1">#REF!</definedName>
    <definedName name="Tigr_Exhibit3077d6f6_65c4_420b_a26b_000f40fdcbc4" hidden="1">#REF!</definedName>
    <definedName name="Tigr_Exhibit30822756_ae77_49c4_8e1c_d5ec495465f6" hidden="1">#REF!</definedName>
    <definedName name="Tigr_Exhibit308bc02f_df6f_4a4e_b6a1_1c73f2c642fe" hidden="1">#REF!</definedName>
    <definedName name="Tigr_Exhibit309b0957_0365_411d_9a8a_08c1186e2c9d" hidden="1">#REF!</definedName>
    <definedName name="Tigr_Exhibit30a0245d_5350_4026_be44_0dccd0359b2c" hidden="1">#REF!</definedName>
    <definedName name="Tigr_Exhibit30f94009_1895_4a63_a4ef_9767a06cdddb" hidden="1">#REF!</definedName>
    <definedName name="Tigr_Exhibit3120e0a7_4d35_44d7_83fb_16feaebed194" hidden="1">#REF!</definedName>
    <definedName name="Tigr_Exhibit315e4e9a_2e49_4bf3_a93e_cdd67e3b2511" hidden="1">#REF!</definedName>
    <definedName name="Tigr_Exhibit31958201_2f93_422b_8925_62c5067a5f30" hidden="1">#REF!</definedName>
    <definedName name="Tigr_Exhibit31c766af_f71e_40b7_90e8_8083f5d5c8f6" hidden="1">#REF!</definedName>
    <definedName name="Tigr_Exhibit31ff87a5_149e_4df0_8a98_4985bc620c19" hidden="1">#REF!</definedName>
    <definedName name="Tigr_Exhibit323d8820_725c_40f2_8ee8_a1d55b77085e" hidden="1">#REF!</definedName>
    <definedName name="Tigr_Exhibit324c6208_5ea2_4dd4_8545_fcd807c4a462" hidden="1">#REF!</definedName>
    <definedName name="Tigr_Exhibit3273b960_3fe9_45a4_9119_8a1a014fe0e6" hidden="1">#REF!</definedName>
    <definedName name="Tigr_Exhibit327686ac_e017_4e59_9b30_b9a4c882d8bc" hidden="1">#REF!</definedName>
    <definedName name="Tigr_Exhibit327dbbef_82b0_4261_bc25_9d7225c64506" hidden="1">#REF!</definedName>
    <definedName name="Tigr_Exhibit32892b9d_61ea_4bf1_8f64_b854b03b3a69" hidden="1">#REF!</definedName>
    <definedName name="Tigr_Exhibit328ff8db_9594_4084_8ab9_361df0637185" hidden="1">#REF!</definedName>
    <definedName name="Tigr_Exhibit335d3318_71fb_422d_9311_d609da7881f5" hidden="1">#REF!</definedName>
    <definedName name="Tigr_Exhibit33725e7f_12d9_4650_bc6a_5b0702cb75a6" hidden="1">#REF!</definedName>
    <definedName name="Tigr_Exhibit33abef17_5278_4b0e_be42_bdfdecee7d85" hidden="1">#REF!</definedName>
    <definedName name="Tigr_Exhibit33c45e4b_38e6_4e65_9e82_cc5e9c564d67" hidden="1">#REF!</definedName>
    <definedName name="Tigr_Exhibit33f9bc3e_ff79_4673_977c_4909d7d56251" hidden="1">#REF!</definedName>
    <definedName name="Tigr_Exhibit348a5af6_694a_414f_8b34_9455aa335f7e" hidden="1">#REF!</definedName>
    <definedName name="Tigr_Exhibit34bc4dbb_a830_4804_b875_5789a4f6bda1" hidden="1">#REF!</definedName>
    <definedName name="Tigr_Exhibit34c9379d_4a08_4dd2_8c36_35873b6e6fdd" hidden="1">#REF!</definedName>
    <definedName name="Tigr_Exhibit34d8fb4c_f79a_4989_b10c_3c28e7951a82" hidden="1">#REF!</definedName>
    <definedName name="Tigr_Exhibit34f7f470_a3fd_4d05_99a3_2e83c584866a" hidden="1">#REF!</definedName>
    <definedName name="Tigr_Exhibit351f1269_66cc_4411_b17d_d02f967a8b53" hidden="1">#REF!</definedName>
    <definedName name="Tigr_Exhibit355f2fca_0821_4d63_9c35_852dcd3cee78" hidden="1">#REF!</definedName>
    <definedName name="Tigr_Exhibit35852c5a_c914_4353_8654_edae90d414b5" hidden="1">#REF!</definedName>
    <definedName name="Tigr_Exhibit35ac7484_8799_46fd_a348_ab3961f543c0" hidden="1">#REF!</definedName>
    <definedName name="Tigr_Exhibit368ce0bc_7fc3_43e8_a1f6_49932066d6fe" hidden="1">#REF!</definedName>
    <definedName name="Tigr_Exhibit36e0b23f_25de_4b46_8aa0_dc219785483e" hidden="1">#REF!</definedName>
    <definedName name="Tigr_Exhibit36e58545_f1ba_420c_8945_00d252e8a17c" hidden="1">#REF!</definedName>
    <definedName name="Tigr_Exhibit370d47fe_ca3d_4abc_a4f0_0b2145684e6b" hidden="1">#REF!</definedName>
    <definedName name="Tigr_Exhibit3721e43d_bf59_42f0_ac55_52c25e965d7c" hidden="1">#REF!</definedName>
    <definedName name="Tigr_Exhibit3756eb12_88d4_4e4b_828a_091942b84abf" hidden="1">#REF!</definedName>
    <definedName name="Tigr_Exhibit37911e43_fc6e_4bd6_89cf_b935c5d9fdb1" hidden="1">#REF!</definedName>
    <definedName name="Tigr_Exhibit37b5c2b1_0652_429c_8dd1_96b50fec850e" hidden="1">#REF!</definedName>
    <definedName name="Tigr_Exhibit37c35c95_5487_4245_a08e_27daeaa3a49e" localSheetId="3" hidden="1">#REF!</definedName>
    <definedName name="Tigr_Exhibit37c35c95_5487_4245_a08e_27daeaa3a49e" hidden="1">#REF!</definedName>
    <definedName name="Tigr_Exhibit3893d560_fd53_4d4e_8729_6b7490e459b1" hidden="1">#REF!</definedName>
    <definedName name="Tigr_Exhibit38d5aa63_5fe9_471c_bf5a_341ae720bcd6" hidden="1">#REF!</definedName>
    <definedName name="Tigr_Exhibit38e5a01a_5580_4c4f_9b6e_a111e2aaf496" hidden="1">#REF!</definedName>
    <definedName name="Tigr_Exhibit391702f2_ad7c_4320_9835_8bf348360f11" hidden="1">#REF!</definedName>
    <definedName name="Tigr_Exhibit394467ac_1b66_4f13_8ee2_544bb825a729" hidden="1">#REF!</definedName>
    <definedName name="Tigr_Exhibit39b09d5f_9e15_47d0_b515_9b8e5f4db734" hidden="1">#REF!</definedName>
    <definedName name="Tigr_Exhibit39d3c40d_0d6f_494e_be7e_52cbcd00fc21" hidden="1">#REF!</definedName>
    <definedName name="Tigr_Exhibit39f47ba0_11ab_44dc_90ae_0aee81be6fa4" hidden="1">#REF!</definedName>
    <definedName name="Tigr_Exhibit3a180900_bf0b_4560_be01_940f6db1d64f" hidden="1">#REF!</definedName>
    <definedName name="Tigr_Exhibit3a1dd22e_7d1e_4d8c_82aa_56ff30bdd23e" hidden="1">#REF!</definedName>
    <definedName name="Tigr_Exhibit3a217f90_c9e3_49c3_826b_20f7950d1303" hidden="1">#REF!</definedName>
    <definedName name="Tigr_Exhibit3a3249ce_8d97_49e5_8c16_2a001d779631" hidden="1">#REF!</definedName>
    <definedName name="Tigr_Exhibit3aafb989_542c_440a_80c2_32b2244b6022" hidden="1">#REF!</definedName>
    <definedName name="Tigr_Exhibit3acf3a46_e5ac_4f37_99f3_ae1b7831c3d6" hidden="1">#REF!</definedName>
    <definedName name="Tigr_Exhibit3ad6815a_ab3f_4945_8a42_1bb46ef2101a" hidden="1">#REF!</definedName>
    <definedName name="Tigr_Exhibit3b19b2c0_fe91_4281_8b17_0bfca91fe0d9" hidden="1">#REF!</definedName>
    <definedName name="Tigr_Exhibit3b2096bc_2c9a_459d_a020_890af34c859e" hidden="1">#REF!</definedName>
    <definedName name="Tigr_Exhibit3b2cb490_c979_4c3c_82e6_1af642a979dc" hidden="1">#REF!</definedName>
    <definedName name="Tigr_Exhibit3bc57539_902d_4046_8040_e0478740737f" hidden="1">#REF!</definedName>
    <definedName name="Tigr_Exhibit3bd306d4_5469_49a2_9e23_4179b22d9228" hidden="1">#REF!</definedName>
    <definedName name="Tigr_Exhibit3c757992_d8b0_4e6e_b1a7_fa1439e15388" hidden="1">#REF!</definedName>
    <definedName name="Tigr_Exhibit3c9b0c7e_bbdd_436d_8990_9ac5e7bdb338" hidden="1">#REF!</definedName>
    <definedName name="Tigr_Exhibit3cb220a6_2c14_411c_bcb3_05ad0f1fee12" hidden="1">#REF!</definedName>
    <definedName name="Tigr_Exhibit3cd58de8_5924_426e_93fb_e626c8ac3d6a" hidden="1">#REF!</definedName>
    <definedName name="Tigr_Exhibit3d3f59fd_b3d1_45bd_bdba_912cd35691cf" hidden="1">#REF!</definedName>
    <definedName name="Tigr_Exhibit3d596fec_fabe_42e4_8773_32e2007dcbd0" hidden="1">#REF!</definedName>
    <definedName name="Tigr_Exhibit3de04384_909a_45c9_8ec4_66c395a76111" hidden="1">#REF!</definedName>
    <definedName name="Tigr_Exhibit3e5608be_93ab_4a17_b3fb_f82ce8b84375" hidden="1">#REF!</definedName>
    <definedName name="Tigr_Exhibit401e8dfe_2e22_45b2_ae48_c72c69066d7a" hidden="1">#REF!</definedName>
    <definedName name="Tigr_Exhibit402f4ff5_3c70_4ede_9005_4daaf962595d" hidden="1">#REF!</definedName>
    <definedName name="Tigr_Exhibit404ba40a_6247_4848_a93a_ff8fd0f62995" hidden="1">#REF!</definedName>
    <definedName name="Tigr_Exhibit4052e055_0e1a_49cf_9808_ae86ce6adbd6" hidden="1">#REF!</definedName>
    <definedName name="Tigr_Exhibit40b29ff9_91cf_4b0e_a852_981728a8f030" hidden="1">#REF!</definedName>
    <definedName name="Tigr_Exhibit40c20100_a1d0_4d42_8cbd_061a5066d77a" hidden="1">#REF!</definedName>
    <definedName name="Tigr_Exhibit40cca184_e492_4740_9731_fc9584fd5cd9" hidden="1">#REF!</definedName>
    <definedName name="Tigr_Exhibit40d88dd5_a328_4bca_b70f_3504b7a98867" hidden="1">#REF!</definedName>
    <definedName name="Tigr_Exhibit40f83a02_de26_492e_856c_93e9476f7d59" hidden="1">#REF!</definedName>
    <definedName name="Tigr_Exhibit414d1a5d_056b_45eb_88cf_0e48bc6dfe98" hidden="1">#REF!</definedName>
    <definedName name="Tigr_Exhibit41639b7d_4baa_43ad_9e58_625871d80a6e" hidden="1">#REF!</definedName>
    <definedName name="Tigr_Exhibit417d4f6a_272e_4be6_8cf3_fa300aeb757b" hidden="1">#REF!</definedName>
    <definedName name="Tigr_Exhibit41cd0215_d911_4587_92d7_1ceb21f3ed52" hidden="1">#REF!</definedName>
    <definedName name="Tigr_Exhibit41d49a25_9140_47f4_af0a_2bfe01abfdae" hidden="1">#REF!</definedName>
    <definedName name="Tigr_Exhibit4203bff1_bccc_4f97_8e6d_ada8bc112a86" hidden="1">#REF!</definedName>
    <definedName name="Tigr_Exhibit42298c3d_83d3_42fe_8df1_e1a2f85269db" hidden="1">#REF!</definedName>
    <definedName name="Tigr_Exhibit4263b9c4_29d6_467f_a868_3a695549e7c2" hidden="1">#REF!</definedName>
    <definedName name="Tigr_Exhibit4284492a_f849_4abb_ba5f_75b8bbcf77e8" hidden="1">#REF!</definedName>
    <definedName name="Tigr_Exhibit4289c90e_f5ab_482c_a4dd_5b8acd90f828" hidden="1">#REF!</definedName>
    <definedName name="Tigr_Exhibit42d70080_2d94_4110_b42c_964dccd2af05" hidden="1">#REF!</definedName>
    <definedName name="Tigr_Exhibit4316d907_c422_428d_bd93_8d3931294569" hidden="1">#REF!</definedName>
    <definedName name="Tigr_Exhibit432ae056_505f_4a92_929b_f80a0e783be2" hidden="1">#REF!</definedName>
    <definedName name="Tigr_Exhibit4395ff1d_c47d_479d_9e10_65f9d6e0c62c" hidden="1">#REF!</definedName>
    <definedName name="Tigr_Exhibit43a993ac_c440_4a17_a54b_a48884aad7e7" hidden="1">#REF!</definedName>
    <definedName name="Tigr_Exhibit43e80cb1_3c68_49b1_bd27_a8d9655bbe32" hidden="1">#REF!</definedName>
    <definedName name="Tigr_Exhibit43eb60d9_0cb9_4403_9045_708399651815" hidden="1">#REF!</definedName>
    <definedName name="Tigr_Exhibit4448d130_f690_49c1_b5a0_60a57b7193bd" hidden="1">#REF!</definedName>
    <definedName name="Tigr_Exhibit4449c92a_de9e_4b46_83d2_bd29c3823104" hidden="1">#REF!</definedName>
    <definedName name="Tigr_Exhibit44505ba9_eda4_4bbc_994e_3524c7d78742" hidden="1">#REF!</definedName>
    <definedName name="Tigr_Exhibit445c4a2e_f7f3_49cc_985e_482037b161ba" hidden="1">#REF!</definedName>
    <definedName name="Tigr_Exhibit4476aefc_08be_4cc2_b272_e04d64dcee32" hidden="1">#REF!</definedName>
    <definedName name="Tigr_Exhibit453d75dc_31a2_4c4b_bd97_95e7de4c410a" hidden="1">#REF!</definedName>
    <definedName name="Tigr_Exhibit454d55da_7a8d_481f_9372_fe6428dc1506" hidden="1">#REF!</definedName>
    <definedName name="Tigr_Exhibit457d6b5c_8069_490a_a388_1217e60e57ae" hidden="1">#REF!</definedName>
    <definedName name="Tigr_Exhibit45d24816_694d_4958_ab1c_28737da616d5" hidden="1">#REF!</definedName>
    <definedName name="Tigr_Exhibit45d25788_2a3b_418a_916c_9c8f66297291" hidden="1">#REF!</definedName>
    <definedName name="Tigr_Exhibit45db26c1_2667_4c68_9080_88f959018c73" hidden="1">#REF!</definedName>
    <definedName name="Tigr_Exhibit45e82aa4_30d7_4d53_afce_de461f394655" hidden="1">#REF!</definedName>
    <definedName name="Tigr_Exhibit45f65f09_8587_4edc_a68c_6107b1bd0dfb" hidden="1">#REF!</definedName>
    <definedName name="Tigr_Exhibit4613bbb1_584b_4619_8c0a_0863dcb99915" hidden="1">#REF!</definedName>
    <definedName name="Tigr_Exhibit464412ac_963c_4054_959d_0d60eb4018c2" hidden="1">#REF!</definedName>
    <definedName name="Tigr_Exhibit46f2ca48_4329_497b_b9e3_284ab2d1cced" hidden="1">#REF!</definedName>
    <definedName name="Tigr_Exhibit472ad65f_6ba9_4785_986b_39f8a258ea16" hidden="1">#REF!</definedName>
    <definedName name="Tigr_Exhibit4761143c_bce5_4d22_b7a9_b1011788ed8e" hidden="1">#REF!</definedName>
    <definedName name="Tigr_Exhibit476b4752_a8e8_4ccd_9d9d_fd5ece96def9" hidden="1">#REF!</definedName>
    <definedName name="Tigr_Exhibit47889003_8c00_4f7e_823e_5fbbe6c2078b" hidden="1">#REF!</definedName>
    <definedName name="Tigr_Exhibit4795408e_4c78_45bb_bc38_59ab187ffb99" hidden="1">#REF!</definedName>
    <definedName name="Tigr_Exhibit47ae09d8_8aaa_439b_a341_dfb9ac86a9e4" hidden="1">#REF!</definedName>
    <definedName name="Tigr_Exhibit47ec7228_29a3_49ed_88ed_8695ddaacfed" hidden="1">#REF!</definedName>
    <definedName name="Tigr_Exhibit4806f36c_8195_46ed_b92e_8a727a192d35" hidden="1">#REF!</definedName>
    <definedName name="Tigr_Exhibit48394f4c_1188_46f1_ac17_6237cfcecd99" hidden="1">#REF!</definedName>
    <definedName name="Tigr_Exhibit48862c65_87a2_4157_918f_b11c1062e868" hidden="1">#REF!</definedName>
    <definedName name="Tigr_Exhibit48b727c4_6313_4028_b5f7_1e917066e419" hidden="1">#REF!</definedName>
    <definedName name="Tigr_Exhibit48bcd7c3_8e10_4d9e_8480_24e6079e30e5" hidden="1">#REF!</definedName>
    <definedName name="Tigr_Exhibit48e2b39d_f291_4ea1_9245_1a9623f6c8bf" hidden="1">#REF!</definedName>
    <definedName name="Tigr_Exhibit48f2c4fb_d540_4cce_a5ed_1b147f4a29a8" hidden="1">#REF!</definedName>
    <definedName name="Tigr_Exhibit4915ddb9_853a_4e4c_96f4_28a500a27c1c" hidden="1">#REF!</definedName>
    <definedName name="Tigr_Exhibit49191345_f809_4d09_afda_aa7743ef0584" hidden="1">#REF!</definedName>
    <definedName name="Tigr_Exhibit492e08d7_1abe_4461_ba6e_690ae1af618b" hidden="1">#REF!</definedName>
    <definedName name="Tigr_Exhibit49474a98_04db_468c_8ef9_6917874f9a7b" hidden="1">#REF!</definedName>
    <definedName name="Tigr_Exhibit4979eea5_0c26_4fe0_a7ab_fb546997bd82" hidden="1">#REF!</definedName>
    <definedName name="Tigr_Exhibit498d9413_a15a_4962_9b8a_73a1db632e1a" hidden="1">#REF!</definedName>
    <definedName name="Tigr_Exhibit4a22e3a2_ca69_4dcf_93d8_a2ae64dc46b0" hidden="1">#REF!</definedName>
    <definedName name="Tigr_Exhibit4aa2f88e_25f2_44a0_aa43_06d4ff8cdab7" hidden="1">#REF!</definedName>
    <definedName name="Tigr_Exhibit4ad93220_bb76_4411_8267_d78986389b3a" hidden="1">#REF!</definedName>
    <definedName name="Tigr_Exhibit4b326fed_2903_49da_9bc3_710197115385" hidden="1">#REF!</definedName>
    <definedName name="Tigr_Exhibit4bb9f09f_787f_445d_a3d0_25812562dab2" hidden="1">#REF!</definedName>
    <definedName name="Tigr_Exhibit4bef9817_886c_4690_9180_7a822acd4b14" hidden="1">#REF!</definedName>
    <definedName name="Tigr_Exhibit4c02bd07_be7b_4e40_9459_6cbfa967810f" hidden="1">#REF!</definedName>
    <definedName name="Tigr_Exhibit4c263615_a439_4a20_acc8_6f9e8296d228" hidden="1">#REF!</definedName>
    <definedName name="Tigr_Exhibit4c47847c_8663_4ba1_9427_d517aa67d90d" hidden="1">#REF!</definedName>
    <definedName name="Tigr_Exhibit4c790b49_0c9f_4799_baa9_dbb297d53ec3" hidden="1">#REF!</definedName>
    <definedName name="Tigr_Exhibit4c7e1f07_4d47_4cc1_87b2_8eae64868531" hidden="1">#REF!</definedName>
    <definedName name="Tigr_Exhibit4ca1b2a3_ce82_4089_9458_b7e43ff4fe5d" hidden="1">#REF!</definedName>
    <definedName name="Tigr_Exhibit4ccdc28d_32b6_497e_8c51_cd2b30d481b8" hidden="1">#REF!</definedName>
    <definedName name="Tigr_Exhibit4cf321c6_faf0_4fc6_8a9f_e42ee3702beb" hidden="1">#REF!</definedName>
    <definedName name="Tigr_Exhibit4d752b85_14d5_4a2e_873b_1b3b385d8413" hidden="1">#REF!</definedName>
    <definedName name="Tigr_Exhibit4dac9114_21be_4e89_9147_35831060a7d8" hidden="1">#REF!</definedName>
    <definedName name="Tigr_Exhibit4dbacc32_2240_40fd_a351_d7642db9b1e5" hidden="1">#REF!</definedName>
    <definedName name="Tigr_Exhibit4e1c4750_2ab6_4801_9279_e5e4b9ec1a64" hidden="1">#REF!</definedName>
    <definedName name="Tigr_Exhibit4e82d1f6_dcf3_4f4d_8991_c4ba3a1e362e" hidden="1">#REF!</definedName>
    <definedName name="Tigr_Exhibit4e837384_b028_44bd_81f8_a7f95faefa9a" hidden="1">#REF!</definedName>
    <definedName name="Tigr_Exhibit4ebf7a65_048e_478c_b0de_47bc1509fbde" hidden="1">#REF!</definedName>
    <definedName name="Tigr_Exhibit4f2957b9_de21_4a86_a690_f22314b89726" hidden="1">#REF!</definedName>
    <definedName name="Tigr_Exhibit4f43c6de_669a_41f2_8dd0_52039b3263ac" hidden="1">#REF!</definedName>
    <definedName name="Tigr_Exhibit4f808fb9_7874_44b3_a5a9_2ac21b87ea93" hidden="1">#REF!</definedName>
    <definedName name="Tigr_Exhibit4f8566cc_fe74_479c_af5b_ff48ca433b66" hidden="1">#REF!</definedName>
    <definedName name="Tigr_Exhibit4f969faf_602f_4a84_bd0d_4c0f28893402" hidden="1">#REF!</definedName>
    <definedName name="Tigr_Exhibit4fcc519e_2088_46b1_8979_efedd754ce08" hidden="1">#REF!</definedName>
    <definedName name="Tigr_Exhibit50263c53_b973_4653_9b76_f620fd92ef42" hidden="1">Automotive!$CL$3:$CR$8</definedName>
    <definedName name="Tigr_Exhibit50349353_5968_4830_a286_24a74d2a9965" hidden="1">#REF!</definedName>
    <definedName name="Tigr_Exhibit50781060_e198_451c_96ee_b3f4bd549258" hidden="1">#REF!</definedName>
    <definedName name="Tigr_Exhibit50a693cf_9e63_4b55_a763_b57332dd73bc" hidden="1">#REF!</definedName>
    <definedName name="Tigr_Exhibit50de972a_5ecf_4268_bb01_e3f8fb84e01d" hidden="1">#REF!</definedName>
    <definedName name="Tigr_Exhibit51271397_1a9b_4852_aaed_0f8d683839bf" hidden="1">#REF!</definedName>
    <definedName name="Tigr_Exhibit5151d36b_0e60_413c_95a5_625ee13f3845" hidden="1">#REF!</definedName>
    <definedName name="Tigr_Exhibit5153ad0f_b295_425f_a607_87d25626143b" hidden="1">#REF!</definedName>
    <definedName name="Tigr_Exhibit517297b2_fb9e_4b9d_8af2_9d96859e310d" hidden="1">#REF!</definedName>
    <definedName name="Tigr_Exhibit517347df_49bd_4d9b_980e_47ad1e206fd8" hidden="1">#REF!</definedName>
    <definedName name="Tigr_Exhibit522f6de0_017b_4cb2_973c_68bc067415b6" hidden="1">#REF!</definedName>
    <definedName name="Tigr_Exhibit5260373f_ee62_4bdd_9f6e_ec7f236dfa9f" hidden="1">#REF!</definedName>
    <definedName name="Tigr_Exhibit5262ec60_d335_4cfb_943e_7aa9fe8c5275" hidden="1">#REF!</definedName>
    <definedName name="Tigr_Exhibit5295d00c_16cf_4a54_99b8_49b0877e1cd4" hidden="1">#REF!</definedName>
    <definedName name="Tigr_Exhibit5299bbfb_e1ff_464a_a658_73f011860e40" hidden="1">#REF!</definedName>
    <definedName name="Tigr_Exhibit52ac7f4a_4efd_4853_904d_61f8c554d0f7" hidden="1">#REF!</definedName>
    <definedName name="Tigr_Exhibit52c976bb_4202_4358_b060_7982761abf35" hidden="1">#REF!</definedName>
    <definedName name="Tigr_Exhibit52f5bb5f_83d3_4f6b_aa7a_e4eda3b65639" hidden="1">#REF!</definedName>
    <definedName name="Tigr_Exhibit530470df_28a6_439d_942f_0610ef075424" hidden="1">#REF!</definedName>
    <definedName name="Tigr_Exhibit53d940e2_8e04_4c85_856d_367f89434749" hidden="1">#REF!</definedName>
    <definedName name="Tigr_Exhibit53e7a06b_e7fa_44b9_8776_0ad713e8bd62" hidden="1">#REF!</definedName>
    <definedName name="Tigr_Exhibit544783b8_8feb_4378_9821_f663778c2ffc" hidden="1">#REF!</definedName>
    <definedName name="Tigr_Exhibit544f13b2_98b2_4d46_ba53_9d13ad0b886e" hidden="1">#REF!</definedName>
    <definedName name="Tigr_Exhibit544f36f1_ee6a_4f98_a78a_4541897681c5" hidden="1">#REF!</definedName>
    <definedName name="Tigr_Exhibit5509f29b_944d_4d7e_820f_ffafca58fdf8" hidden="1">#REF!</definedName>
    <definedName name="Tigr_Exhibit551e8560_2707_46a7_884c_bc4a6537d62d" hidden="1">#REF!</definedName>
    <definedName name="Tigr_Exhibit555bb802_4a5b_488d_98ef_74193080db0a" hidden="1">#REF!</definedName>
    <definedName name="Tigr_Exhibit557a4d9b_d876_4e61_9461_21d32f373b2f" hidden="1">#REF!</definedName>
    <definedName name="Tigr_Exhibit558e7120_03c5_4d88_8940_4e1314a541a1" hidden="1">#REF!</definedName>
    <definedName name="Tigr_Exhibit559cfa11_3e6a_49d1_858b_1459ac4367e8" hidden="1">#REF!</definedName>
    <definedName name="Tigr_Exhibit55c0d442_fd87_425c_bd99_f9f3cbf4104c" hidden="1">#REF!</definedName>
    <definedName name="Tigr_Exhibit55d0c068_3054_432a_a0d4_01d793b44fa8" hidden="1">#REF!</definedName>
    <definedName name="Tigr_Exhibit55fb4605_c5b8_4ca6_9f46_e08f3dc0ff92" hidden="1">#REF!</definedName>
    <definedName name="Tigr_Exhibit5636c8a2_6c27_4379_a21c_24bc277406a4" hidden="1">#REF!</definedName>
    <definedName name="Tigr_Exhibit5650de27_d0d7_46d2_8981_b8fe96da5f07" hidden="1">#REF!</definedName>
    <definedName name="Tigr_Exhibit56be3c3c_9e7b_47cf_b0da_43b74818da35" hidden="1">#REF!</definedName>
    <definedName name="Tigr_Exhibit56c18547_5e6d_4ebe_9eef_5d6bddb858bf" hidden="1">#REF!</definedName>
    <definedName name="Tigr_Exhibit56f152a8_9e5a_4581_af6e_0abd20649787" hidden="1">#REF!</definedName>
    <definedName name="Tigr_Exhibit57b717c2_b7ba_4908_8a61_310533fd95a3" hidden="1">#REF!</definedName>
    <definedName name="Tigr_Exhibit57f0bca6_3896_4a7f_8a36_e87f73ff9384" hidden="1">#REF!</definedName>
    <definedName name="Tigr_Exhibit57fc34cf_ddd6_44d7_9a3e_98088d144522" hidden="1">#REF!</definedName>
    <definedName name="Tigr_Exhibit58143e94_f3da_4665_a552_cb9f050024f1" hidden="1">#REF!</definedName>
    <definedName name="Tigr_Exhibit5854b565_b972_4ebb_84e2_cc3fe77440ad" hidden="1">#REF!</definedName>
    <definedName name="Tigr_Exhibit587b332b_a057_4ca3_a271_beaf997cf5a9" hidden="1">#REF!</definedName>
    <definedName name="Tigr_Exhibit589a5927_4d59_4307_87da_5fdc9df29c41" hidden="1">#REF!</definedName>
    <definedName name="Tigr_Exhibit58bf8afe_27e4_4f85_bd62_49ae84bacc72" hidden="1">#REF!</definedName>
    <definedName name="Tigr_Exhibit58cf6e5a_95d5_490b_bb5f_241915b05608" hidden="1">#REF!</definedName>
    <definedName name="Tigr_Exhibit58db2e65_7f26_4a8e_a1ea_fa4be63778a9" hidden="1">#REF!</definedName>
    <definedName name="Tigr_Exhibit58ff6d6c_bd35_4640_9486_09530f8c22e4" hidden="1">#REF!</definedName>
    <definedName name="Tigr_Exhibit5910a589_e89e_4f00_9546_e5b4db4c1000" hidden="1">#REF!</definedName>
    <definedName name="Tigr_Exhibit5912af3c_b083_4443_a7a3_8c18d6e61d40" hidden="1">#REF!</definedName>
    <definedName name="Tigr_Exhibit591daa57_5a41_43da_81f7_9b397d42727d" hidden="1">#REF!</definedName>
    <definedName name="Tigr_Exhibit597802eb_6448_498c_bf9d_7ede376881bd" hidden="1">#REF!</definedName>
    <definedName name="Tigr_Exhibit59b4a7b2_20d6_4151_9743_efc1620f1a93" hidden="1">#REF!</definedName>
    <definedName name="Tigr_Exhibit59eda48d_12f1_44c3_ac07_2989143c0c13" hidden="1">#REF!</definedName>
    <definedName name="Tigr_Exhibit5a7247f0_c85d_4b4a_bd19_b029092a00cb" hidden="1">#REF!</definedName>
    <definedName name="Tigr_Exhibit5a925495_cf59_43c5_9e99_d7742b3afb07" hidden="1">#REF!</definedName>
    <definedName name="Tigr_Exhibit5aee3878_e8ee_4abd_b251_0791e73a3300" hidden="1">#REF!</definedName>
    <definedName name="Tigr_Exhibit5b5fe57d_c05b_4095_ab51_a1a850fcb545" hidden="1">#REF!</definedName>
    <definedName name="Tigr_Exhibit5b60ad74_a1d5_4c64_a221_49ded88f31fb" hidden="1">#REF!</definedName>
    <definedName name="Tigr_Exhibit5b6e2f8f_df08_4ba9_8996_c4449a590ddb" hidden="1">#REF!</definedName>
    <definedName name="Tigr_Exhibit5bc70c3f_e92d_4970_a551_a0884db7f2ca" hidden="1">#REF!</definedName>
    <definedName name="Tigr_Exhibit5bd57e28_6c2a_41b6_a65f_f7cee34de1c7" hidden="1">#REF!</definedName>
    <definedName name="Tigr_Exhibit5bf83b92_57ea_4b8f_9984_e51c62612684" hidden="1">#REF!</definedName>
    <definedName name="Tigr_Exhibit5c60ce8e_40da_40e1_b763_88c59433b916" hidden="1">#REF!</definedName>
    <definedName name="Tigr_Exhibit5c6bfa4f_375f_4f00_9137_c023eff8265b" hidden="1">#REF!</definedName>
    <definedName name="Tigr_Exhibit5c79c8e4_a930_4cc9_a054_923ed7a0a3a8" hidden="1">#REF!</definedName>
    <definedName name="Tigr_Exhibit5cd074dc_7300_41c3_bfc3_4c99daf53ade" hidden="1">#REF!</definedName>
    <definedName name="Tigr_Exhibit5cd5a07e_1f28_4a3d_b966_98d59b842082" hidden="1">#REF!</definedName>
    <definedName name="Tigr_Exhibit5d3567d9_d96d_4abd_bc29_921d57aeeec7" hidden="1">#REF!</definedName>
    <definedName name="Tigr_Exhibit5d7f19e7_6e2d_4cc2_91d6_d1d75e900f6b" hidden="1">#REF!</definedName>
    <definedName name="Tigr_Exhibit5d801630_bf00_4606_af2f_28df96ea287b" hidden="1">#REF!</definedName>
    <definedName name="Tigr_Exhibit5d8e466f_0f64_489c_a4ad_ef91cb35e427" hidden="1">#REF!</definedName>
    <definedName name="Tigr_Exhibit5db744fd_5811_4d13_84e7_1061e67ab6b0" hidden="1">#REF!</definedName>
    <definedName name="Tigr_Exhibit5ec4c04f_cfe3_4c3e_a9e7_ec35c66069d8" hidden="1">#REF!</definedName>
    <definedName name="Tigr_Exhibit5f24a48b_6480_4b15_b1a4_f12dcb470e7f" hidden="1">#REF!</definedName>
    <definedName name="Tigr_Exhibit5f299b2a_cf0f_476d_a07d_00a60a022f77" hidden="1">#REF!</definedName>
    <definedName name="Tigr_Exhibit5f4d7b88_8fb5_49cb_b28b_36bf7d70fc0c" hidden="1">#REF!</definedName>
    <definedName name="Tigr_Exhibit5f81b514_3038_4687_b7ea_df6ba331c12c" hidden="1">#REF!</definedName>
    <definedName name="Tigr_Exhibit5fdd2a7b_a636_4df4_8b3a_ab45acb157ec" hidden="1">#REF!</definedName>
    <definedName name="Tigr_Exhibit60314b31_9df7_4ead_b25b_94aa27d2bda3" hidden="1">#REF!</definedName>
    <definedName name="Tigr_Exhibit6047873d_3b0b_41d5_87a2_9d1b69d48c04" hidden="1">#REF!</definedName>
    <definedName name="Tigr_Exhibit6086d6f4_b278_4b8f_9d3e_4c5974996c7a" hidden="1">#REF!</definedName>
    <definedName name="Tigr_Exhibit6097f67b_4032_4a86_82e2_a9e3bd32fb9d" hidden="1">#REF!</definedName>
    <definedName name="Tigr_Exhibit60f15f9e_cf6f_4c31_b257_2254abe315da" hidden="1">#REF!</definedName>
    <definedName name="Tigr_Exhibit6104f2e0_1648_4060_81be_43d0526850fe" hidden="1">#REF!</definedName>
    <definedName name="Tigr_Exhibit61255879_43da_4679_a6cc_a3b084c3ce7c" hidden="1">#REF!</definedName>
    <definedName name="Tigr_Exhibit61296381_da76_44db_aae3_dba295d1d220" hidden="1">#REF!</definedName>
    <definedName name="Tigr_Exhibit61330892_7056_4952_a02e_b13e6de630a9" hidden="1">#REF!</definedName>
    <definedName name="Tigr_Exhibit61adffd1_fd36_465b_899f_12f9fa90709e" hidden="1">#REF!</definedName>
    <definedName name="Tigr_Exhibit61afc8c3_6c22_448c_a668_4a86f8389157" hidden="1">#REF!</definedName>
    <definedName name="Tigr_Exhibit61eaf6be_60dc_47e8_8570_219bbaa26592" hidden="1">#REF!</definedName>
    <definedName name="Tigr_Exhibit62088610_69a5_47fa_8a4f_3caf5b1eef5e" hidden="1">#REF!</definedName>
    <definedName name="Tigr_Exhibit622b2fbf_8854_4690_8285_129fc69f9bff" hidden="1">#REF!</definedName>
    <definedName name="Tigr_Exhibit62345af0_1e35_498e_816f_145bab70667f" hidden="1">#REF!</definedName>
    <definedName name="Tigr_Exhibit624d6749_38b8_4bc3_a44e_334f002a1520" hidden="1">#REF!</definedName>
    <definedName name="Tigr_Exhibit6266bd9f_346a_4f98_9a2a_3c3dc9ebaefa" hidden="1">#REF!</definedName>
    <definedName name="Tigr_Exhibit627c0d4a_1ec1_4a4e_a233_0c737008a681" hidden="1">#REF!</definedName>
    <definedName name="Tigr_Exhibit6318109f_737e_40ae_910d_ded438072a1c" hidden="1">#REF!</definedName>
    <definedName name="Tigr_Exhibit6344ed6d_0c47_4bbf_9bec_833208e3d746" hidden="1">#REF!</definedName>
    <definedName name="Tigr_Exhibit63d9caf2_518a_408c_9840_e1ca88edc185" hidden="1">#REF!</definedName>
    <definedName name="Tigr_Exhibit6410f323_5753_4d8c_ae3b_d1acbf0777e0" hidden="1">#REF!</definedName>
    <definedName name="Tigr_Exhibit642584c9_9ee1_4a8d_8fa2_32f05661b750" hidden="1">#REF!</definedName>
    <definedName name="Tigr_Exhibit64e4c67c_c3a9_4dc2_8311_88a04c6c49ae" hidden="1">#REF!</definedName>
    <definedName name="Tigr_Exhibit6503ccba_befd_4f74_9c22_1fd2c07f1b9b" hidden="1">#REF!</definedName>
    <definedName name="Tigr_Exhibit65045f3b_cdbe_472a_ae68_a8c3b1c989f4" hidden="1">#REF!</definedName>
    <definedName name="Tigr_Exhibit6507e5b2_d6e3_4883_b50d_ee577641ea04" hidden="1">#REF!</definedName>
    <definedName name="Tigr_Exhibit65a1deed_fa06_4855_90e5_178abb6a3c9d" hidden="1">#REF!</definedName>
    <definedName name="Tigr_Exhibit65d0faef_f17b_4b8b_887a_f1e8626864a8" hidden="1">#REF!</definedName>
    <definedName name="Tigr_Exhibit65d79f7a_b3d9_45fb_ac89_2f6b3f5371a7" hidden="1">#REF!</definedName>
    <definedName name="Tigr_Exhibit65e1191f_74f5_4074_9c1d_a5bd499b4b30" hidden="1">#REF!</definedName>
    <definedName name="Tigr_Exhibit669ccbe4_7cbd_44fe_b65a_e0c7b6dee12b" hidden="1">#REF!</definedName>
    <definedName name="Tigr_Exhibit66a76ecd_561b_4b4d_be8f_717a97b2c993" hidden="1">#REF!</definedName>
    <definedName name="Tigr_Exhibit66cc775b_cf6d_4ab2_a2b6_63a18a532ebc" hidden="1">#REF!</definedName>
    <definedName name="Tigr_Exhibit66dcc4b1_4813_4478_8900_917a267a0363" hidden="1">#REF!</definedName>
    <definedName name="Tigr_Exhibit67901a44_e4c8_4a01_97b7_e029bebdefea" hidden="1">#REF!</definedName>
    <definedName name="Tigr_Exhibit67b78c0d_64fc_41f2_bd9e_576f62d8209b" hidden="1">#REF!</definedName>
    <definedName name="Tigr_Exhibit680056e1_6a81_4dbb_bf5a_f3a6f3a39735" hidden="1">#REF!</definedName>
    <definedName name="Tigr_Exhibit681947b7_f4cf_444a_ba78_05f88d996c8c" hidden="1">#REF!</definedName>
    <definedName name="Tigr_Exhibit6973e993_a57e_40d8_8a02_c91c86ba82f5" hidden="1">#REF!</definedName>
    <definedName name="Tigr_Exhibit69916897_2bf8_47f0_b31a_4d020e24c7eb" hidden="1">#REF!</definedName>
    <definedName name="Tigr_Exhibit69be73a2_adef_4cf1_95a9_4bff58e76a14" hidden="1">#REF!</definedName>
    <definedName name="Tigr_Exhibit69f3be79_631d_4d59_a02a_c1beff263dc8" hidden="1">#REF!</definedName>
    <definedName name="Tigr_Exhibit69f9fe98_3078_4f5e_8a42_6de5c6013197" hidden="1">#REF!</definedName>
    <definedName name="Tigr_Exhibit6a35147b_d08c_4bef_b039_42904de91466" hidden="1">#REF!</definedName>
    <definedName name="Tigr_Exhibit6a61087c_0f47_49d1_bc8a_e577b9d32e2c" hidden="1">#REF!</definedName>
    <definedName name="Tigr_Exhibit6a871656_6930_440c_8e52_c1982b2a57f9" hidden="1">#REF!</definedName>
    <definedName name="Tigr_Exhibit6b91eff5_e199_4256_bf68_708a0035c91d" hidden="1">#REF!</definedName>
    <definedName name="Tigr_Exhibit6b9708c0_d5f0_4502_a293_0e68cc160949" hidden="1">#REF!</definedName>
    <definedName name="Tigr_Exhibit6b9f7c14_d0e7_4923_ae4e_adaee4fd43da" hidden="1">#REF!</definedName>
    <definedName name="Tigr_Exhibit6bd53147_499c_47b3_9621_ed773f269e54" hidden="1">#REF!</definedName>
    <definedName name="Tigr_Exhibit6be2f180_0a41_417c_afb3_d05fc6368d92" hidden="1">#REF!</definedName>
    <definedName name="Tigr_Exhibit6bf5222c_e6d0_4b18_810e_9ffc0398da86" hidden="1">#REF!</definedName>
    <definedName name="Tigr_Exhibit6c09e94a_5f32_4ace_83d1_565b0c188b9a" hidden="1">#REF!</definedName>
    <definedName name="Tigr_Exhibit6c42fa7e_eecb_42ea_b42e_6575db613dae" hidden="1">#REF!</definedName>
    <definedName name="Tigr_Exhibit6c5f1bcf_f3da_48a1_8d45_8211617f6a96" hidden="1">#REF!</definedName>
    <definedName name="Tigr_Exhibit6c8ace04_b378_48c8_b12a_9f8f1025209d" hidden="1">#REF!</definedName>
    <definedName name="Tigr_Exhibit6c977655_508a_4cca_b6f1_9a5849fa4750" hidden="1">#REF!</definedName>
    <definedName name="Tigr_Exhibit6c9b3f5f_b82f_4192_a4b8_38a192c39e3f" hidden="1">#REF!</definedName>
    <definedName name="Tigr_Exhibit6cd4aba9_e0ca_41c2_95e5_bfe92989e166" hidden="1">#REF!</definedName>
    <definedName name="Tigr_Exhibit6cfe3c99_e716_475a_8f4e_be78d59b8b21" hidden="1">#REF!</definedName>
    <definedName name="Tigr_Exhibit6d05353c_dd66_4aef_b147_4de951efad64" hidden="1">#REF!</definedName>
    <definedName name="Tigr_Exhibit6d23e38e_84de_45e7_953d_ac8a7ac2812e" hidden="1">#REF!</definedName>
    <definedName name="Tigr_Exhibit6d38c01a_252f_4669_894d_5861224700c9" hidden="1">#REF!</definedName>
    <definedName name="Tigr_Exhibit6d3a0667_7341_4b64_aad1_050929823513" hidden="1">#REF!</definedName>
    <definedName name="Tigr_Exhibit6d3f12ec_7577_4cf4_95d3_81b653621709" hidden="1">#REF!</definedName>
    <definedName name="Tigr_Exhibit6d71512d_ed10_4a05_9fee_7d59c6862b4a" hidden="1">#REF!</definedName>
    <definedName name="Tigr_Exhibit6d782d30_b3b0_4c4a_b29e_2392780077dd" hidden="1">#REF!</definedName>
    <definedName name="Tigr_Exhibit6d955f0c_330c_4ff7_b4fb_a60e8ea2e7d7" hidden="1">#REF!</definedName>
    <definedName name="Tigr_Exhibit6dfb9fa9_4b56_4e9b_a2e2_09574c4276c4" hidden="1">#REF!</definedName>
    <definedName name="Tigr_Exhibit6e3b48be_b924_479f_924c_ff9a5723e6b8" hidden="1">#REF!</definedName>
    <definedName name="Tigr_Exhibit6ea23561_01ce_4438_aa39_af3e90f8d600" hidden="1">#REF!</definedName>
    <definedName name="Tigr_Exhibit6ed87923_3b6d_442c_b59d_0e29d133221f" hidden="1">#REF!</definedName>
    <definedName name="Tigr_Exhibit6edc1725_110d_443f_98d1_be0716675257" hidden="1">#REF!</definedName>
    <definedName name="Tigr_Exhibit6eed4fdf_9f2d_4496_804a_8730e93eb4f5" hidden="1">#REF!</definedName>
    <definedName name="Tigr_Exhibit6ef3bb0e_1fd0_4d00_a1ee_d01d55206333" hidden="1">#REF!</definedName>
    <definedName name="Tigr_Exhibit6fbf4e01_83c4_4557_b198_cbcdd1e1714b" hidden="1">#REF!</definedName>
    <definedName name="Tigr_Exhibit6fe6b563_a022_4b01_9dbe_c6a0554d54e9" hidden="1">#REF!</definedName>
    <definedName name="Tigr_Exhibit70a8d96f_39ea_4352_9517_aced04526099" hidden="1">#REF!</definedName>
    <definedName name="Tigr_Exhibit70b44913_6d47_4f06_b89f_1b7af265bb7f" hidden="1">#REF!</definedName>
    <definedName name="Tigr_Exhibit70cb9f83_5a86_4279_a6f8_18678ea563f0" hidden="1">#REF!</definedName>
    <definedName name="Tigr_Exhibit70eacc5c_c869_40d8_92c2_8ac34df1c7ea" hidden="1">#REF!</definedName>
    <definedName name="Tigr_Exhibit71905264_c8f9_4f55_bcf9_ccd0aa4c3a18" hidden="1">#REF!</definedName>
    <definedName name="Tigr_Exhibit71adb6f4_340f_4cd0_8636_4c89db9fd2e3" hidden="1">#REF!</definedName>
    <definedName name="Tigr_Exhibit72340bc6_edfe_4126_9a87_d21691f24e48" hidden="1">#REF!</definedName>
    <definedName name="Tigr_Exhibit72401ea4_7dde_408c_ab0d_3aecfd66454b" hidden="1">#REF!</definedName>
    <definedName name="Tigr_Exhibit72ab6cee_86e9_4d4e_bcd9_43f50d880c3b" hidden="1">#REF!</definedName>
    <definedName name="Tigr_Exhibit72f157ae_1658_48e2_a317_b2a9d6425d18" hidden="1">#REF!</definedName>
    <definedName name="Tigr_Exhibit7315531e_dc17_403b_8bfa_f872f835be27" hidden="1">#REF!</definedName>
    <definedName name="Tigr_Exhibit731a3c4a_82c0_4ea5_8fba_6143ef43e9bb" hidden="1">#REF!</definedName>
    <definedName name="Tigr_Exhibit73209a38_9688_44c0_883e_c008948a5e6c" hidden="1">#REF!</definedName>
    <definedName name="Tigr_Exhibit7326e5ed_9e9a_411a_bf02_96eb7808a543" hidden="1">#REF!</definedName>
    <definedName name="Tigr_Exhibit74533984_7928_4133_9c98_0e2211eadaa7" hidden="1">#REF!</definedName>
    <definedName name="Tigr_Exhibit74bb6e23_277d_4cb0_a978_21fbee6439bd" hidden="1">#REF!</definedName>
    <definedName name="Tigr_Exhibit74e4c769_05c2_4553_a8c2_ea93b326e90d" hidden="1">#REF!</definedName>
    <definedName name="Tigr_Exhibit74fcce66_cc7b_4474_be5b_8178df2b4f13" hidden="1">#REF!</definedName>
    <definedName name="Tigr_Exhibit752151f5_889d_42c8_96b4_26b1fd1b097c" hidden="1">#REF!</definedName>
    <definedName name="Tigr_Exhibit7565ce4e_2d7f_49ce_bb7c_b0de2621f7f0" hidden="1">#REF!</definedName>
    <definedName name="Tigr_Exhibit758cb766_d0c8_4865_9c0c_75ffb8da38e6" hidden="1">#REF!</definedName>
    <definedName name="Tigr_Exhibit75cc0470_82ee_4283_a22d_ecc3814bd40b" hidden="1">#REF!</definedName>
    <definedName name="Tigr_Exhibit75d3a092_3b91_4ac4_8816_399cfd2e8a37" hidden="1">#REF!</definedName>
    <definedName name="Tigr_Exhibit75d6afaf_34fc_4923_9ba5_1d8f5d0cf2cc" hidden="1">#REF!</definedName>
    <definedName name="Tigr_Exhibit76167846_eadf_4a81_9258_527988a6f0b4" hidden="1">#REF!</definedName>
    <definedName name="Tigr_Exhibit76340099_f103_49d3_9a70_5bdb3f7cb00c" hidden="1">#REF!</definedName>
    <definedName name="Tigr_Exhibit76562f73_cab2_4865_9360_62d727ef5ad2" hidden="1">#REF!</definedName>
    <definedName name="Tigr_Exhibit76b261b4_9180_4ef0_9a7a_fb0a6ee9a8c1" hidden="1">#REF!</definedName>
    <definedName name="Tigr_Exhibit76c5c618_2550_4c6b_bd9d_18e2e0dfd309" hidden="1">#REF!</definedName>
    <definedName name="Tigr_Exhibit7724159d_1b96_465f_a596_6e5b46391b07" hidden="1">#REF!</definedName>
    <definedName name="Tigr_Exhibit7734d64b_8738_42fd_9f33_5b10c8e744ee" hidden="1">#REF!</definedName>
    <definedName name="Tigr_Exhibit77c52636_db59_4aad_ab7b_c8dfb6ea6d17" hidden="1">#REF!</definedName>
    <definedName name="Tigr_Exhibit7828a8bb_f8ed_476d_8f4c_e502d4f4cbbf" hidden="1">#REF!</definedName>
    <definedName name="Tigr_Exhibit782a1787_9a2d_40d5_9e77_d2f57def5419" hidden="1">#REF!</definedName>
    <definedName name="Tigr_Exhibit784c3362_b9c3_4e48_86a3_70f6a8552cab" hidden="1">#REF!</definedName>
    <definedName name="Tigr_Exhibit789b5888_175f_47f1_b806_7c9542ebb4b2" hidden="1">#REF!</definedName>
    <definedName name="Tigr_Exhibit78aa0ef8_d9bc_4c87_979a_35d0c32eb197" hidden="1">#REF!</definedName>
    <definedName name="Tigr_Exhibit7946c2a2_8e87_4179_9392_271254d129c4" hidden="1">#REF!</definedName>
    <definedName name="Tigr_Exhibit799c33f0_d99d_4da0_8c0d_fb056a2493af" hidden="1">#REF!</definedName>
    <definedName name="Tigr_Exhibit79a230db_8ca9_43d6_9b11_016692f9844a" hidden="1">#REF!</definedName>
    <definedName name="Tigr_Exhibit79a9afd3_7061_449c_9a65_8c128031365c" hidden="1">#REF!</definedName>
    <definedName name="Tigr_Exhibit79c32396_a557_4e90_b2d1_f2271390bcca" hidden="1">#REF!</definedName>
    <definedName name="Tigr_Exhibit7a3cf257_1941_49da_9624_7829e115e9e9" hidden="1">#REF!</definedName>
    <definedName name="Tigr_Exhibit7a460078_77db_42b0_a539_4598ee18ee28" hidden="1">#REF!</definedName>
    <definedName name="Tigr_Exhibit7a65acf4_bffc_42a7_9727_5e829b8c1bf6" hidden="1">#REF!</definedName>
    <definedName name="Tigr_Exhibit7a7ef408_5daa_4679_8e5f_ae9eee18bd91" hidden="1">#REF!</definedName>
    <definedName name="Tigr_Exhibit7adf5125_c694_4bad_bb72_5a8a9a55af00" hidden="1">#REF!</definedName>
    <definedName name="Tigr_Exhibit7b105588_7495_4059_a1de_eb20ebb6fe24" hidden="1">#REF!</definedName>
    <definedName name="Tigr_Exhibit7b2699dd_976e_4313_86cc_222d3d92989d" hidden="1">#REF!</definedName>
    <definedName name="Tigr_Exhibit7b74e5aa_ae9c_40f7_b2bc_85837b4b0c50" hidden="1">#REF!</definedName>
    <definedName name="Tigr_Exhibit7b9ec54c_b590_4615_ab7c_193825b0f61e" hidden="1">#REF!</definedName>
    <definedName name="Tigr_Exhibit7bf0d7e7_1265_4a72_9054_d8307d47bf62" hidden="1">#REF!</definedName>
    <definedName name="Tigr_Exhibit7c0173c6_9cdc_45b1_a9cd_daa0459c8026" hidden="1">#REF!</definedName>
    <definedName name="Tigr_Exhibit7c0be667_9cda_4dad_9ead_20ef922190e8" hidden="1">#REF!</definedName>
    <definedName name="Tigr_Exhibit7cba5149_db3d_4d61_b47c_53c99a9c5104" hidden="1">#REF!</definedName>
    <definedName name="Tigr_Exhibit7cefd167_5be6_43c2_9cd9_37a45390c82c" hidden="1">#REF!</definedName>
    <definedName name="Tigr_Exhibit7d55e9c4_74af_4b19_9913_a756caf12848" hidden="1">#REF!</definedName>
    <definedName name="Tigr_Exhibit7db0f2b1_0f33_4792_bdbb_d7e8c020e140" hidden="1">#REF!</definedName>
    <definedName name="Tigr_Exhibit7de2310c_04e2_4fe7_8587_99deef84f1b5" hidden="1">#REF!</definedName>
    <definedName name="Tigr_Exhibit7dfb1d76_37f2_4446_b643_466c5c50cad2" hidden="1">#REF!</definedName>
    <definedName name="Tigr_Exhibit7e0dfe1d_3109_46b7_9f50_91eb418932cd" hidden="1">#REF!</definedName>
    <definedName name="Tigr_Exhibit7e1877c4_6536_485b_9825_6988a458693d" hidden="1">#REF!</definedName>
    <definedName name="Tigr_Exhibit7e36e708_374b_47ff_a192_03b826a4a175" hidden="1">#REF!</definedName>
    <definedName name="Tigr_Exhibit7e5f21fc_474e_4ad7_a818_89790b3b34dc" hidden="1">#REF!</definedName>
    <definedName name="Tigr_Exhibit7e61b99c_da8f_4325_a58d_3922d0b8d913" hidden="1">#REF!</definedName>
    <definedName name="Tigr_Exhibit7e83dd13_702d_421b_9a3a_ef6d812cb67f" hidden="1">#REF!</definedName>
    <definedName name="Tigr_Exhibit7f1ca7df_bd20_428f_b0dc_304e35ca9aa0" hidden="1">#REF!</definedName>
    <definedName name="Tigr_Exhibit7f2d75a5_940c_4170_bb51_bab1cf8e4e19" hidden="1">#REF!</definedName>
    <definedName name="Tigr_Exhibit7f4527ce_65ae_451b_a59b_bd1675e1219e" hidden="1">#REF!</definedName>
    <definedName name="Tigr_Exhibit7f4ececa_64f0_4b86_9ca3_392933840dd4" hidden="1">#REF!</definedName>
    <definedName name="Tigr_Exhibit7f61b6e3_53f8_4ac8_9144_1f14ce07c209" hidden="1">#REF!</definedName>
    <definedName name="Tigr_Exhibit7fb84ab2_4b0a_4de6_a6b9_f0eb26b236b9" hidden="1">#REF!</definedName>
    <definedName name="Tigr_Exhibit7fbc5ea0_409b_41f4_bac4_17191138219e" hidden="1">#REF!</definedName>
    <definedName name="Tigr_Exhibit805e3d74_c2e2_4a1d_a9aa_7cbb50f3d215" hidden="1">#REF!</definedName>
    <definedName name="Tigr_Exhibit80edc437_b438_49c5_be85_788a475a9ab2" hidden="1">#REF!</definedName>
    <definedName name="Tigr_Exhibit80f2b248_0b5c_4781_bd49_1507286f18e2" hidden="1">#REF!</definedName>
    <definedName name="Tigr_Exhibit816d96ec_badf_443f_94c9_4896bd61597f" hidden="1">#REF!</definedName>
    <definedName name="Tigr_Exhibit81716c3d_81da_49c9_a0c3_9eaedd6eb178" hidden="1">#REF!</definedName>
    <definedName name="Tigr_Exhibit81f5b4eb_4fd0_48a9_a90a_3677ec192993" hidden="1">#REF!</definedName>
    <definedName name="Tigr_Exhibit826ce6f2_4c2f_4bf2_9be2_ce7c35b800ff" hidden="1">#REF!</definedName>
    <definedName name="Tigr_Exhibit829f7773_42e3_4ccc_a3fe_2415d8c767ed" hidden="1">#REF!</definedName>
    <definedName name="Tigr_Exhibit82d71bc7_6756_4fd8_8114_c0e9552b80dc" hidden="1">#REF!</definedName>
    <definedName name="Tigr_Exhibit83011bd0_500e_4726_b0c6_34f274a1e73a" hidden="1">#REF!</definedName>
    <definedName name="Tigr_Exhibit830385c6_c2cf_443b_a134_5d6cb53b6d27" hidden="1">#REF!</definedName>
    <definedName name="Tigr_Exhibit832f2336_c37c_4cc0_97c7_214527a5f5c7" hidden="1">#REF!</definedName>
    <definedName name="Tigr_Exhibit83337303_2684_45bd_a14c_0998964ba2d7" hidden="1">#REF!</definedName>
    <definedName name="Tigr_Exhibit835cb92f_74cb_4c10_b878_7f896862344d" hidden="1">#REF!</definedName>
    <definedName name="Tigr_Exhibit839c3341_5964_40d7_97b6_83f9c94c49d1" hidden="1">#REF!</definedName>
    <definedName name="Tigr_Exhibit83cd533c_e937_499d_8c4e_bf4f9aacd603" hidden="1">#REF!</definedName>
    <definedName name="Tigr_Exhibit83fe4f44_10ff_49aa_b450_636f243a9b64" hidden="1">#REF!</definedName>
    <definedName name="Tigr_Exhibit851b996c_e45d_4338_8a85_7d03f90d0fa8" hidden="1">#REF!</definedName>
    <definedName name="Tigr_Exhibit85328538_3b64_4714_b426_7a46d4a9a0ba" hidden="1">#REF!</definedName>
    <definedName name="Tigr_Exhibit8572498d_c6a2_4bee_ac2c_1305075ac5eb" hidden="1">#REF!</definedName>
    <definedName name="Tigr_Exhibit8580c2e4_d6f5_4aea_bdba_6eadb605a881" hidden="1">#REF!</definedName>
    <definedName name="Tigr_Exhibit86b5399e_21b0_4dfa_82fb_848ebea18d01" hidden="1">#REF!</definedName>
    <definedName name="Tigr_Exhibit86d9abd4_669d_4172_b40c_df507e01ab6f" hidden="1">#REF!</definedName>
    <definedName name="Tigr_Exhibit8713ebd4_f104_4593_9f76_dfae5a7b82c1" hidden="1">#REF!</definedName>
    <definedName name="Tigr_Exhibit87176a43_e7c3_4c0e_b099_382228d1a582" hidden="1">#REF!</definedName>
    <definedName name="Tigr_Exhibit877a3fc8_4f63_4324_b582_c1e6e2b2ad3d" hidden="1">#REF!</definedName>
    <definedName name="Tigr_Exhibit87d151b5_bfa9_4e62_8ca1_ebe854f9f2cd" hidden="1">#REF!</definedName>
    <definedName name="Tigr_Exhibit87d64671_7e57_444b_b238_fbbf7d6f4960" hidden="1">#REF!</definedName>
    <definedName name="Tigr_Exhibit8801af5a_2f82_4749_b044_2c9417370e96" hidden="1">#REF!</definedName>
    <definedName name="Tigr_Exhibit88abb19c_1c4c_4cae_9a98_f4e3554fddaa" hidden="1">#REF!</definedName>
    <definedName name="Tigr_Exhibit88b5718b_ca75_42f3_b16d_1a509d8c00a5" hidden="1">#REF!</definedName>
    <definedName name="Tigr_Exhibit88cbe1d6_654c_4fec_a461_7fc40d4a3bb6" hidden="1">#REF!</definedName>
    <definedName name="Tigr_Exhibit88dfb100_f17f_404c_8c38_b722ea798c0a" hidden="1">#REF!</definedName>
    <definedName name="Tigr_Exhibit88e0192a_0a29_4267_a187_52db802b5b8e" hidden="1">#REF!</definedName>
    <definedName name="Tigr_Exhibit891d8a9a_17b3_4ece_a2a1_a2ae319221a1" hidden="1">#REF!</definedName>
    <definedName name="Tigr_Exhibit895c4874_c68d_4f33_be2d_4ae922a2a87b" hidden="1">#REF!</definedName>
    <definedName name="Tigr_Exhibit89d835d1_72f9_4969_9f5e_5752dcb6029b" hidden="1">#REF!</definedName>
    <definedName name="Tigr_Exhibit89e798d4_2946_4bfc_ba4f_dfec3b9fe09c" hidden="1">#REF!</definedName>
    <definedName name="Tigr_Exhibit8a56b5ce_aa08_456a_8b34_4c332a5dc958" hidden="1">#REF!</definedName>
    <definedName name="Tigr_Exhibit8a73dfd9_c634_4e7f_a34a_68c45b862341" hidden="1">#REF!</definedName>
    <definedName name="Tigr_Exhibit8b2da34c_da9a_4b1d_91ff_1d7a0f24dedb" hidden="1">#REF!</definedName>
    <definedName name="Tigr_Exhibit8b3346eb_cc20_4f2c_9fa5_7bdf785126d0" hidden="1">#REF!</definedName>
    <definedName name="Tigr_Exhibit8b5f7fad_5fc2_4c7b_8e08_4040c883c71e" hidden="1">#REF!</definedName>
    <definedName name="Tigr_Exhibit8b7f3918_8ec6_41da_a805_2d305e607ba9" hidden="1">#REF!</definedName>
    <definedName name="Tigr_Exhibit8bc0c886_6387_4d32_a724_a1c9aa8003da" hidden="1">#REF!</definedName>
    <definedName name="Tigr_Exhibit8c0df874_4dbb_4bff_a4a6_57fd4216a1d6" hidden="1">#REF!</definedName>
    <definedName name="Tigr_Exhibit8c67c1aa_81f7_40a2_854d_1a5f9708a2c5" hidden="1">#REF!</definedName>
    <definedName name="Tigr_Exhibit8c9b44b4_d821_4980_8a11_6e0f3fcccfc6" hidden="1">#REF!</definedName>
    <definedName name="Tigr_Exhibit8ccb72a8_0deb_4253_9110_df5390fcf259" hidden="1">#REF!</definedName>
    <definedName name="Tigr_Exhibit8d030500_0dca_42e6_bb98_a0ece56aa298" hidden="1">#REF!</definedName>
    <definedName name="Tigr_Exhibit8d289025_5a7e_4697_b4be_1a2ea76e1924" hidden="1">#REF!</definedName>
    <definedName name="Tigr_Exhibit8d4636ec_1c4b_426a_ab68_211974dd730e" hidden="1">#REF!</definedName>
    <definedName name="Tigr_Exhibit8d757af1_b86b_4b08_92b8_a2990649a478" hidden="1">#REF!</definedName>
    <definedName name="Tigr_Exhibit8da464f3_7d1d_4740_83dc_de788422e6ba" hidden="1">#REF!</definedName>
    <definedName name="Tigr_Exhibit8db301f5_7c2b_4c10_b782_b949041ee053" hidden="1">#REF!</definedName>
    <definedName name="Tigr_Exhibit8e876b59_83d1_456e_abfb_0c7defff3448" hidden="1">#REF!</definedName>
    <definedName name="Tigr_Exhibit8f3a47b8_3e79_49f3_9ffc_6c3223fa4336" hidden="1">#REF!</definedName>
    <definedName name="Tigr_Exhibit8f59db76_c365_43da_97d6_25e50375a4ea" hidden="1">#REF!</definedName>
    <definedName name="Tigr_Exhibit8fce6690_667a_41d1_925a_d088e15d0f84" hidden="1">#REF!</definedName>
    <definedName name="Tigr_Exhibit900562bb_c657_4279_972d_48e53b2e5b64" hidden="1">#REF!</definedName>
    <definedName name="Tigr_Exhibit900c1a63_0b07_40e5_9a38_bcd8e0760a1d" hidden="1">#REF!</definedName>
    <definedName name="Tigr_Exhibit905091d5_a2fb_47c8_bb06_d378de8c0ea6" hidden="1">#REF!</definedName>
    <definedName name="Tigr_Exhibit908540a0_c3c2_4e12_967c_2963d86f165d" hidden="1">#REF!</definedName>
    <definedName name="Tigr_Exhibit9094d87b_ed39_449a_9c60_c63ddb4b4ba1" hidden="1">#REF!</definedName>
    <definedName name="Tigr_Exhibit91141d71_7f71_4007_a5b7_5d8ae77d864e" hidden="1">#REF!</definedName>
    <definedName name="Tigr_Exhibit918ce436_3b76_4b39_945b_b0cb9a979fed" hidden="1">#REF!</definedName>
    <definedName name="Tigr_Exhibit91c6c1c3_0074_43a8_850c_753820e171cd" hidden="1">#REF!</definedName>
    <definedName name="Tigr_Exhibit924e0e0e_d7b3_43a4_844f_cc74f526bd85" hidden="1">#REF!</definedName>
    <definedName name="Tigr_Exhibit92821a24_8055_456f_b60f_a860abd0dff2" hidden="1">#REF!</definedName>
    <definedName name="Tigr_Exhibit92a709f1_31bb_48bf_9a75_0f5fd85cca61" hidden="1">#REF!</definedName>
    <definedName name="Tigr_Exhibit92b6d72a_be80_4c1c_9b9a_6728871f255b" hidden="1">#REF!</definedName>
    <definedName name="Tigr_Exhibit92d3ce34_a780_4bca_bf29_3d0d2ad7a0a6" hidden="1">#REF!</definedName>
    <definedName name="Tigr_Exhibit92ecd681_32d4_4dba_93cd_0307a072d9bf" hidden="1">#REF!</definedName>
    <definedName name="Tigr_Exhibit9317cac9_1865_4608_a231_93c606e41d14" hidden="1">#REF!</definedName>
    <definedName name="Tigr_Exhibit931dcd13_c95d_46b1_9712_858b36d774c6" hidden="1">#REF!</definedName>
    <definedName name="Tigr_Exhibit9368a322_3cbc_430e_adda_a156fe4acb5a" hidden="1">#REF!</definedName>
    <definedName name="Tigr_Exhibit9393b87e_5e06_415c_a1f4_9ad9247bf24e" hidden="1">#REF!</definedName>
    <definedName name="Tigr_Exhibit93a16a61_46d8_472f_bd29_ef44f2515f87" hidden="1">#REF!</definedName>
    <definedName name="Tigr_Exhibit9416f07a_0f6b_43c5_9fd4_bfbb73081c38" hidden="1">#REF!</definedName>
    <definedName name="Tigr_Exhibit94361816_6fb5_4712_85d7_901069278f46" hidden="1">#REF!</definedName>
    <definedName name="Tigr_Exhibit944a889b_0ba5_443f_8e9d_9da31a8aefea" hidden="1">#REF!</definedName>
    <definedName name="Tigr_Exhibit94b295e4_ac8a_4199_acd2_0434c7292de5" hidden="1">#REF!</definedName>
    <definedName name="Tigr_Exhibit94bec1c8_2541_436c_918d_f56766a18d20" hidden="1">#REF!</definedName>
    <definedName name="Tigr_Exhibit950679b2_325c_4a00_a9b9_537a62730397" hidden="1">#REF!</definedName>
    <definedName name="Tigr_Exhibit9536c0ab_6b9f_460b_8890_60b47eef9b9e" hidden="1">#REF!</definedName>
    <definedName name="Tigr_Exhibit95671d85_3df6_4f9c_8a91_b7fd5a4f02a5" hidden="1">#REF!</definedName>
    <definedName name="Tigr_Exhibit956e386d_b969_404a_b572_7b5e91391606" hidden="1">#REF!</definedName>
    <definedName name="Tigr_Exhibit95b5bc41_78bc_4f01_9598_5cebc3f85191" hidden="1">#REF!</definedName>
    <definedName name="Tigr_Exhibit961d27c3_5af4_41fe_9573_f5363ef0cfc6" hidden="1">#REF!</definedName>
    <definedName name="Tigr_Exhibit964dd998_cab3_472d_8471_7008dac99dfb" hidden="1">#REF!</definedName>
    <definedName name="Tigr_Exhibit9653456a_3004_4ba5_aa03_4f2e8abc9776" hidden="1">#REF!</definedName>
    <definedName name="Tigr_Exhibit966da191_6767_4964_857b_a8191656480d" hidden="1">#REF!</definedName>
    <definedName name="Tigr_Exhibit975e0ca1_44bb_4512_b12a_ee2e7c223461" hidden="1">#REF!</definedName>
    <definedName name="Tigr_Exhibit97613715_a3e6_440b_9bec_42b79aeea353" hidden="1">#REF!</definedName>
    <definedName name="Tigr_Exhibit979785e6_fb21_4178_ab7c_0738aa09dcf4" hidden="1">#REF!</definedName>
    <definedName name="Tigr_Exhibit98020a07_6808_48c7_9a2f_f3fd856ac9c6" hidden="1">#REF!</definedName>
    <definedName name="Tigr_Exhibit982621a4_bafb_4e98_afa8_ea7e1e02285a" hidden="1">#REF!</definedName>
    <definedName name="Tigr_Exhibit9827bd0d_c9e6_4131_a840_7fba9fc50f70" hidden="1">#REF!</definedName>
    <definedName name="Tigr_Exhibit983869cb_a2f5_41aa_b168_d72918c69090" hidden="1">#REF!</definedName>
    <definedName name="Tigr_Exhibit985be045_c7a6_4f7a_9661_e1deacc33741" hidden="1">#REF!</definedName>
    <definedName name="Tigr_Exhibit986495c0_3417_4235_86c8_7b1310420ca6" hidden="1">#REF!</definedName>
    <definedName name="Tigr_Exhibit986fb24d_5838_4e4e_b359_64932c87e58c" hidden="1">#REF!</definedName>
    <definedName name="Tigr_Exhibit9876510f_28ef_4847_b480_1763759a6a3a" hidden="1">#REF!</definedName>
    <definedName name="Tigr_Exhibit98ab13d4_deb9_40e1_b5c5_3effb69a17b9" hidden="1">#REF!</definedName>
    <definedName name="Tigr_Exhibit98c7e70c_b826_4756_88cc_0993ef4fe117" hidden="1">#REF!</definedName>
    <definedName name="Tigr_Exhibit992dacb7_0ce9_42d1_843b_ad432e4c0af9" hidden="1">#REF!</definedName>
    <definedName name="Tigr_Exhibit9977fa57_b8c9_4cb8_a9d8_241576b68972" hidden="1">#REF!</definedName>
    <definedName name="Tigr_Exhibit998633f7_e45f_4675_a6fa_2207510e7709" hidden="1">#REF!</definedName>
    <definedName name="Tigr_Exhibit99c1949f_4b02_421c_84b2_59d3216c9228" hidden="1">#REF!</definedName>
    <definedName name="Tigr_Exhibit9a5eecf1_5eaf_4fd3_8caa_0c4be3b09fc7" hidden="1">#REF!</definedName>
    <definedName name="Tigr_Exhibit9ac5c2bb_f6ab_4afa_92cc_7179e4b0bbaf" hidden="1">#REF!</definedName>
    <definedName name="Tigr_Exhibit9acb869c_4975_4ba6_97e7_b5932ff09193" hidden="1">#REF!</definedName>
    <definedName name="Tigr_Exhibit9aedd808_14d4_4782_991e_a17ffd888239" hidden="1">#REF!</definedName>
    <definedName name="Tigr_Exhibit9b196462_0189_45e1_810c_af5397b81af3" hidden="1">#REF!</definedName>
    <definedName name="Tigr_Exhibit9b391d41_0b48_4b45_8df5_e4bc85236d50" hidden="1">#REF!</definedName>
    <definedName name="Tigr_Exhibit9b6e73dc_5a33_449e_9e26_9ff906d71d60" hidden="1">#REF!</definedName>
    <definedName name="Tigr_Exhibit9b8a67b6_a128_4ef9_9f04_71641b5ea151" hidden="1">#REF!</definedName>
    <definedName name="Tigr_Exhibit9bf37d38_b312_4f0a_a3ce_21ede09f4338" hidden="1">#REF!</definedName>
    <definedName name="Tigr_Exhibit9c933ac7_2bfe_4443_a07f_5f40b4c588d5" hidden="1">#REF!</definedName>
    <definedName name="Tigr_Exhibit9cbbbb20_75a3_45ca_a44a_5ccd3279687b" hidden="1">#REF!</definedName>
    <definedName name="Tigr_Exhibit9cbdfe79_6c4a_4a1a_9d36_1446127c819b" hidden="1">#REF!</definedName>
    <definedName name="Tigr_Exhibit9d3a0a4c_e073_4bb0_bd15_a2a17a0cc178" hidden="1">#REF!</definedName>
    <definedName name="Tigr_Exhibit9d3df716_a0eb_4e8e_b40a_6d8d660ac7bd" hidden="1">#REF!</definedName>
    <definedName name="Tigr_Exhibit9d53457d_73a6_4bde_b263_86fe080ee0dd" hidden="1">#REF!</definedName>
    <definedName name="Tigr_Exhibit9d9a7281_6d70_40a6_84bc_c5af0f751b5b" hidden="1">#REF!</definedName>
    <definedName name="Tigr_Exhibit9dab5da0_68c8_42a2_a637_e0700c37226f" hidden="1">#REF!</definedName>
    <definedName name="Tigr_Exhibit9dcbd6ae_9c2c_42be_9fc2_71f819a528d8" hidden="1">#REF!</definedName>
    <definedName name="Tigr_Exhibit9e127edb_c44a_466a_b405_16035fa161d9" hidden="1">#REF!</definedName>
    <definedName name="Tigr_Exhibit9e3b19b5_9d9a_452f_a080_1e8620964f10" hidden="1">#REF!</definedName>
    <definedName name="Tigr_Exhibit9e4b688f_800e_4bcc_b0e8_76da41ea1e75" hidden="1">#REF!</definedName>
    <definedName name="Tigr_Exhibit9e655982_4592_4d2d_955d_5a25225fe467" hidden="1">#REF!</definedName>
    <definedName name="Tigr_Exhibit9e74807d_9c29_4f0a_8346_89a08ee34827" hidden="1">#REF!</definedName>
    <definedName name="Tigr_Exhibit9e836c5b_8a23_458c_bbd5_7d17e41130cc" hidden="1">#REF!</definedName>
    <definedName name="Tigr_Exhibit9eb34ccb_360a_4a30_acdd_018e919d97ab" hidden="1">#REF!</definedName>
    <definedName name="Tigr_Exhibit9ec643ec_55e7_4319_8fa4_6ca125b947dc" hidden="1">#REF!</definedName>
    <definedName name="Tigr_Exhibit9eea4ef1_c247_440c_b0ac_12b96b48af73" hidden="1">#REF!</definedName>
    <definedName name="Tigr_Exhibit9f0a8905_1524_42f0_ade9_25dbdbe46a75" hidden="1">#REF!</definedName>
    <definedName name="Tigr_Exhibit9f99b3f9_4293_47d5_94c5_587fc0d7221a" hidden="1">#REF!</definedName>
    <definedName name="Tigr_Exhibit9fd42e18_330d_4d13_a020_d71332754d55" hidden="1">#REF!</definedName>
    <definedName name="Tigr_Exhibit9ffdaea4_4bf1_4a60_86a3_7d51e452c3ae" hidden="1">#REF!</definedName>
    <definedName name="Tigr_Exhibita0487f2d_a60f_468e_bec5_990b356c4855" hidden="1">#REF!</definedName>
    <definedName name="Tigr_Exhibita087c2f4_8266_4ae8_84f3_7d7d008f2c9a" hidden="1">#REF!</definedName>
    <definedName name="Tigr_Exhibita0a4688e_3135_4962_aa3a_5c03188360b7" hidden="1">#REF!</definedName>
    <definedName name="Tigr_Exhibita0dd1ec2_88f4_480f_9770_4156b08bb539" hidden="1">#REF!</definedName>
    <definedName name="Tigr_Exhibita12bfb3f_06f3_4e09_9a57_f4920bfe525b" hidden="1">#REF!</definedName>
    <definedName name="Tigr_Exhibita130d622_7b9e_489a_8d12_b828013bc2bb" hidden="1">#REF!</definedName>
    <definedName name="Tigr_Exhibita15573af_006a_4e39_8c28_3903d25d8aa2" hidden="1">#REF!</definedName>
    <definedName name="Tigr_Exhibita1c4878c_cf2e_4d44_b3e5_629ce828931a" hidden="1">#REF!</definedName>
    <definedName name="Tigr_Exhibita238d0ab_f876_42eb_9530_49ea16fba9f3" hidden="1">#REF!</definedName>
    <definedName name="Tigr_Exhibita2632fc7_3f14_4904_972c_472097a658d0" hidden="1">#REF!</definedName>
    <definedName name="Tigr_Exhibita28dde03_d27a_4ea4_a380_f9f70a23458a" hidden="1">#REF!</definedName>
    <definedName name="Tigr_Exhibita2a9fd2c_0f6a_4a67_8efb_0c34bed2d728" hidden="1">#REF!</definedName>
    <definedName name="Tigr_Exhibita2d1efd7_67f0_4efd_a254_a6e54a0f9397" localSheetId="3" hidden="1">#REF!</definedName>
    <definedName name="Tigr_Exhibita2d1efd7_67f0_4efd_a254_a6e54a0f9397" hidden="1">#REF!</definedName>
    <definedName name="Tigr_Exhibita2f281fb_1663_4d00_8780_35466b6a49d3" hidden="1">#REF!</definedName>
    <definedName name="Tigr_Exhibita3828bc7_073f_402b_bb53_6dd3245f2447" hidden="1">#REF!</definedName>
    <definedName name="Tigr_Exhibita3998839_406f_403e_baee_b074f7dbda51" hidden="1">#REF!</definedName>
    <definedName name="Tigr_Exhibita3d9e72d_5eb8_461b_8446_376df9b78ba3" hidden="1">#REF!</definedName>
    <definedName name="Tigr_Exhibita431effb_bfe2_4932_8053_f62dd2c277ef" hidden="1">#REF!</definedName>
    <definedName name="Tigr_Exhibita4a743da_14f9_4065_a9e5_c04b69a66dc5" hidden="1">#REF!</definedName>
    <definedName name="Tigr_Exhibita4c50790_9755_45ff_bf05_2cdf47d54f79" hidden="1">#REF!</definedName>
    <definedName name="Tigr_Exhibita4e1ef5c_7650_49e6_9d10_ba211be7c5a5" localSheetId="3" hidden="1">#REF!</definedName>
    <definedName name="Tigr_Exhibita4e1ef5c_7650_49e6_9d10_ba211be7c5a5" hidden="1">#REF!</definedName>
    <definedName name="Tigr_Exhibita58ecf7c_59cd_4baf_90f4_8697663abb62" hidden="1">#REF!</definedName>
    <definedName name="Tigr_Exhibita617536f_8e20_4b8a_9088_c53e95dc37cc" hidden="1">#REF!</definedName>
    <definedName name="Tigr_Exhibita651d1f7_20f3_4fec_abb8_c1349817732a" hidden="1">#REF!</definedName>
    <definedName name="Tigr_Exhibita65b988c_d6ed_48d7_b6ee_5daed42c4117" hidden="1">#REF!</definedName>
    <definedName name="Tigr_Exhibita685516e_35c7_48d6_b0bd_ef4dcaf9183e" hidden="1">#REF!</definedName>
    <definedName name="Tigr_Exhibita69b0e08_3e54_4de8_8818_ad6da7b18eda" hidden="1">#REF!</definedName>
    <definedName name="Tigr_Exhibita6cb43f5_7ea3_4edf_a19f_9be9912e4cb4" hidden="1">#REF!</definedName>
    <definedName name="Tigr_Exhibita72c0715_2a62_4bf7_9bd0_f322745a6828" hidden="1">#REF!</definedName>
    <definedName name="Tigr_Exhibita74f6fb2_0ccf_4ecb_8ac3_b9f0ab958805" hidden="1">#REF!</definedName>
    <definedName name="Tigr_Exhibita758b328_0638_4825_8747_d68644482a05" hidden="1">#REF!</definedName>
    <definedName name="Tigr_Exhibita77337f9_229f_46ec_bd1e_89ecc541684a" hidden="1">#REF!</definedName>
    <definedName name="Tigr_Exhibita78bb8b6_f9e7_4e16_9c23_3298ac8ae71c" hidden="1">#REF!</definedName>
    <definedName name="Tigr_Exhibita7cdbd26_3e09_45d2_a6ab_833947f7bd19" hidden="1">#REF!</definedName>
    <definedName name="Tigr_Exhibita8caaca7_ce5f_4aa6_a3bb_676c5cfb38f9" hidden="1">#REF!</definedName>
    <definedName name="Tigr_Exhibita9218ed6_333e_4482_bc73_05e050a03e00" hidden="1">#REF!</definedName>
    <definedName name="Tigr_Exhibita962132f_b607_4f2d_b6cb_976f6b18b24a" hidden="1">#REF!</definedName>
    <definedName name="Tigr_Exhibita96ac017_fa83_40d0_8071_983c9dd14efb" hidden="1">#REF!</definedName>
    <definedName name="Tigr_Exhibita9d6f1b4_4fec_4c24_be27_7a9175c9ffb3" hidden="1">#REF!</definedName>
    <definedName name="Tigr_Exhibitaa03ad5c_38a5_4687_8c55_74c5c4b3035e" hidden="1">#REF!</definedName>
    <definedName name="Tigr_Exhibitaa1e621e_56ed_438e_aa50_27eebc11b0cd" hidden="1">#REF!</definedName>
    <definedName name="Tigr_Exhibitaa2807b0_2944_41b2_a288_815a931f0590" hidden="1">#REF!</definedName>
    <definedName name="Tigr_Exhibitaa7eef51_ab5d_4980_9fe1_f5319783cb78" hidden="1">#REF!</definedName>
    <definedName name="Tigr_Exhibitaab620ad_3f35_498c_b2ef_bd973ad83605" hidden="1">#REF!</definedName>
    <definedName name="Tigr_Exhibitaabb7986_b2f7_49aa_867d_babad8112bfa" hidden="1">#REF!</definedName>
    <definedName name="Tigr_Exhibitaad0b8ad_467c_4b63_8b38_9113224ddafa" hidden="1">#REF!</definedName>
    <definedName name="Tigr_Exhibitaafbd3cd_09b4_47a1_8435_9a84146ec8fb" hidden="1">#REF!</definedName>
    <definedName name="Tigr_Exhibitab1cd67a_3339_4876_a31a_b416effbec3c" hidden="1">#REF!</definedName>
    <definedName name="Tigr_Exhibitab4ccfe3_cb16_4b4b_a509_9deeb464c253" hidden="1">#REF!</definedName>
    <definedName name="Tigr_Exhibitac0fa8f0_f66d_4594_9b95_49884814ad22" hidden="1">#REF!</definedName>
    <definedName name="Tigr_Exhibitac6b7dde_2987_4056_aac5_528573643f45" hidden="1">#REF!</definedName>
    <definedName name="Tigr_Exhibitaca1322f_be90_4d77_85d1_45416d993a6d" hidden="1">#REF!</definedName>
    <definedName name="Tigr_Exhibitace02f69_92ce_4b13_9dd0_e771a4682ac7" hidden="1">#REF!</definedName>
    <definedName name="Tigr_Exhibitad357980_b945_40f7_b520_a80f2e2dd2db" hidden="1">#REF!</definedName>
    <definedName name="Tigr_Exhibitadd0762b_eb26_4520_afe7_13deaf285f58" hidden="1">#REF!</definedName>
    <definedName name="Tigr_Exhibitadf04408_8fef_4c83_8a89_9fc8ec64c075" hidden="1">#REF!</definedName>
    <definedName name="Tigr_Exhibitae00d63e_4955_49fc_92bc_5df7b026ef50" hidden="1">#REF!</definedName>
    <definedName name="Tigr_Exhibitae3e1138_ae56_4a49_8f40_b5016761c1ed" hidden="1">#REF!</definedName>
    <definedName name="Tigr_Exhibitae4607f0_c048_4af4_91c3_f1ea6bd43ba0" hidden="1">#REF!</definedName>
    <definedName name="Tigr_Exhibitae7aa7bd_fbdf_45ca_9be7_082e0589a799" hidden="1">#REF!</definedName>
    <definedName name="Tigr_Exhibitaeb48be1_e248_44f8_8a53_b6e607db141c" hidden="1">#REF!</definedName>
    <definedName name="Tigr_Exhibitaed20054_3ee0_49e2_875d_1512e4e2f2d5" hidden="1">#REF!</definedName>
    <definedName name="Tigr_Exhibitaf1937f9_4f31_4b78_b460_00acc00eb286" hidden="1">#REF!</definedName>
    <definedName name="Tigr_Exhibitaf275f9a_a019_4f4b_b812_4279be9cad07" hidden="1">#REF!</definedName>
    <definedName name="Tigr_Exhibitaf700965_35df_47e5_883d_a93e3c459388" hidden="1">#REF!</definedName>
    <definedName name="Tigr_Exhibitafd00f9e_a200_4202_a4b1_da67e7cb9fa4" hidden="1">#REF!</definedName>
    <definedName name="Tigr_Exhibitafe31343_9c58_4b1b_a10f_bbe356fb4a00" hidden="1">#REF!</definedName>
    <definedName name="Tigr_Exhibitb019a731_b8f0_44b6_91fc_4e64ff51c1c7" hidden="1">#REF!</definedName>
    <definedName name="Tigr_Exhibitb04c93be_0644_4490_91df_a0f691d75ddf" hidden="1">#REF!</definedName>
    <definedName name="Tigr_Exhibitb057286a_bec4_4c27_9b97_e85e0d4f0b55" hidden="1">#REF!</definedName>
    <definedName name="Tigr_Exhibitb0688a2a_0710_4005_80f9_262a9365411a" hidden="1">#REF!</definedName>
    <definedName name="Tigr_Exhibitb0731e0d_d9f4_4eef_9af8_89cecaa0fbeb" hidden="1">#REF!</definedName>
    <definedName name="Tigr_Exhibitb0fcf948_3885_4782_8012_afc372f05407" hidden="1">#REF!</definedName>
    <definedName name="Tigr_Exhibitb13af1c2_b779_48fb_91ee_3ba62736f4e1" hidden="1">#REF!</definedName>
    <definedName name="Tigr_Exhibitb14ddeca_f5c5_442b_9239_e86bff24fffe" hidden="1">#REF!</definedName>
    <definedName name="Tigr_Exhibitb16dd1cf_5dad_45ce_b8c1_41365ec2b941" hidden="1">#REF!</definedName>
    <definedName name="Tigr_Exhibitb1ce9ae9_68b6_4c4d_ad5f_58cd8a4760ae" hidden="1">#REF!</definedName>
    <definedName name="Tigr_Exhibitb1f3df2e_4fa1_4256_926f_f38873a9823f" hidden="1">#REF!</definedName>
    <definedName name="Tigr_Exhibitb203a67b_a62b_4fee_b73a_debc5439caf4" hidden="1">#REF!</definedName>
    <definedName name="Tigr_Exhibitb20553c9_1554_49ab_82e0_f3904a996dd0" hidden="1">#REF!</definedName>
    <definedName name="Tigr_Exhibitb22198a6_cef3_4085_bcb1_6e45b21d6f76" hidden="1">#REF!</definedName>
    <definedName name="Tigr_Exhibitb2286cbb_7d04_4be5_bbaa_3bfd755cc21d" hidden="1">#REF!</definedName>
    <definedName name="Tigr_Exhibitb23e153f_59e1_40c6_bfc0_538f9be303e6" hidden="1">#REF!</definedName>
    <definedName name="Tigr_Exhibitb26546e6_5e3e_4cbd_8e80_321bfd8f61c0" hidden="1">#REF!</definedName>
    <definedName name="Tigr_Exhibitb292317d_e219_4a18_9737_65f0354a9e20" hidden="1">#REF!</definedName>
    <definedName name="Tigr_Exhibitb2bf74ab_0194_4182_9a10_d94d56714def" hidden="1">#REF!</definedName>
    <definedName name="Tigr_Exhibitb2c7983e_0b0d_42a8_94c8_c39d997585ff" hidden="1">#REF!</definedName>
    <definedName name="Tigr_Exhibitb2e58906_7955_40e9_89a4_2dbffabed8ae" hidden="1">#REF!</definedName>
    <definedName name="Tigr_Exhibitb32f5d3f_ffe9_4789_bbf5_ee3a1444ad70" hidden="1">#REF!</definedName>
    <definedName name="Tigr_Exhibitb33e6995_ee50_4036_99a3_7f988623d48c" hidden="1">#REF!</definedName>
    <definedName name="Tigr_Exhibitb3d6f449_4558_4863_b7e6_6e288109f0e6" hidden="1">#REF!</definedName>
    <definedName name="Tigr_Exhibitb40a39d3_8ae9_4569_97a0_82272a898dc5" hidden="1">#REF!</definedName>
    <definedName name="Tigr_Exhibitb40cb991_0860_41a7_9166_b81a17f8e768" hidden="1">#REF!</definedName>
    <definedName name="Tigr_Exhibitb43031cf_720d_4a2f_91f9_b59011b7151a" hidden="1">#REF!</definedName>
    <definedName name="Tigr_Exhibitb444596d_d039_4fec_a2fd_623be2819eef" hidden="1">#REF!</definedName>
    <definedName name="Tigr_Exhibitb45cbb0a_0fc0_44b6_a33e_fa94d9082aac" hidden="1">#REF!</definedName>
    <definedName name="Tigr_Exhibitb477dcf4_e53d_46d8_8401_837161f66c5f" hidden="1">#REF!</definedName>
    <definedName name="Tigr_Exhibitb4d1d10b_c5ff_434a_81d7_60af9e52b674" hidden="1">#REF!</definedName>
    <definedName name="Tigr_Exhibitb4de4ca5_9f6c_4260_9b54_d4be820f7ee4" hidden="1">#REF!</definedName>
    <definedName name="Tigr_Exhibitb4edf74d_281c_43c9_9eb3_fc9f3e654a00" hidden="1">#REF!</definedName>
    <definedName name="Tigr_Exhibitb5daa3cc_f247_45c0_8890_8b83b0d44dfe" hidden="1">#REF!</definedName>
    <definedName name="Tigr_Exhibitb5e59879_78b6_4fe9_a92b_283800285a53" hidden="1">#REF!</definedName>
    <definedName name="Tigr_Exhibitb6038851_358a_4246_885a_bd469133c5cf" hidden="1">#REF!</definedName>
    <definedName name="Tigr_Exhibitb699c5ed_b222_4d63_a92a_250986e2e44e" hidden="1">#REF!</definedName>
    <definedName name="Tigr_Exhibitb6efeab5_c04c_4f8a_80fc_610985e063a4" hidden="1">#REF!</definedName>
    <definedName name="Tigr_Exhibitb78c9c35_d903_4f72_90f1_a0fc94085c45" hidden="1">#REF!</definedName>
    <definedName name="Tigr_Exhibitb7a48dbb_75d2_4783_84a3_2c09127e4d2e" hidden="1">#REF!</definedName>
    <definedName name="Tigr_Exhibitb7fb184c_89e4_4b3f_af89_c3dc060d70bc" hidden="1">#REF!</definedName>
    <definedName name="Tigr_Exhibitb8003366_09e2_4c54_a53d_6a43e361e771" hidden="1">#REF!</definedName>
    <definedName name="Tigr_Exhibitb8169456_e3f2_4664_8d29_1c772fb9cd8e" hidden="1">#REF!</definedName>
    <definedName name="Tigr_Exhibitb83ff3d0_3466_4525_901c_4273cdae906c" hidden="1">#REF!</definedName>
    <definedName name="Tigr_Exhibitb8a25385_2293_4f81_865c_c6a5bed492f5" hidden="1">#REF!</definedName>
    <definedName name="Tigr_Exhibitb8f62396_8338_4d3e_b23a_5b6ff70f1e79" hidden="1">#REF!</definedName>
    <definedName name="Tigr_Exhibitb90e0c9e_db9f_42fb_b92f_465e47a089f6" hidden="1">#REF!</definedName>
    <definedName name="Tigr_Exhibitb92f29d9_cd2e_42cc_b065_e5a6a11d348c" hidden="1">#REF!</definedName>
    <definedName name="Tigr_Exhibitb9f1877e_d989_449a_a25d_8b64b282096f" hidden="1">#REF!</definedName>
    <definedName name="Tigr_Exhibitb9ff8c39_89d7_4d1f_890b_a08a035969ab" hidden="1">#REF!</definedName>
    <definedName name="Tigr_Exhibitba57f245_c3ab_464a_a029_3e9ac51384bb" hidden="1">#REF!</definedName>
    <definedName name="Tigr_Exhibitba73417a_4948_4a5a_beb8_c69dbb1da016" hidden="1">#REF!</definedName>
    <definedName name="Tigr_Exhibitbae586dd_99f2_49e9_91f6_91b62e838093" hidden="1">#REF!</definedName>
    <definedName name="Tigr_Exhibitbb65d61f_c35e_459c_a91b_f3b59eed7626" hidden="1">#REF!</definedName>
    <definedName name="Tigr_Exhibitbbad5e52_d7f1_418e_b301_8bc71525d939" hidden="1">#REF!</definedName>
    <definedName name="Tigr_Exhibitbbf341d4_5ed5_4e64_a4c3_6e4aa1baa861" hidden="1">#REF!</definedName>
    <definedName name="Tigr_Exhibitbc00d811_9d41_4157_9add_3035ff780917" hidden="1">#REF!</definedName>
    <definedName name="Tigr_Exhibitbc40d9b9_9b2d_4040_a659_72a985a5fd04" hidden="1">#REF!</definedName>
    <definedName name="Tigr_Exhibitbc4bc219_91fd_4aa5_aa36_aa50e8e9be25" hidden="1">#REF!</definedName>
    <definedName name="Tigr_Exhibitbc7b9453_56fc_4b74_8bcb_9215ad1652d6" hidden="1">#REF!</definedName>
    <definedName name="Tigr_Exhibitbcdfec3b_8ee7_4ef5_8c31_94d1042cc7c6" hidden="1">#REF!</definedName>
    <definedName name="Tigr_Exhibitbd1f19ac_9550_409e_9ca9_564b3aeb656c" hidden="1">#REF!</definedName>
    <definedName name="Tigr_Exhibitbd3596ee_3b89_431a_ac21_de8b0a984469" hidden="1">#REF!</definedName>
    <definedName name="Tigr_Exhibitbd3d09d3_76f0_4095_8ed4_dee560f3c0ac" hidden="1">#REF!</definedName>
    <definedName name="Tigr_Exhibitbdb62644_5ebc_4b85_b74b_ecd840ade0aa" hidden="1">#REF!</definedName>
    <definedName name="Tigr_Exhibitbddd9f35_f9f6_4a8f_a0ac_04c5eabca568" hidden="1">#REF!</definedName>
    <definedName name="Tigr_Exhibitbe3000d0_4275_4829_9e05_3251da57587d" hidden="1">#REF!</definedName>
    <definedName name="Tigr_Exhibitbe5d340a_e941_4c5f_a2c0_cd6ce1169568" hidden="1">#REF!</definedName>
    <definedName name="Tigr_Exhibitbe8a1185_bca7_4470_988e_f3d0fc14abc6" hidden="1">#REF!</definedName>
    <definedName name="Tigr_Exhibitbf0ab5eb_b86e_49d9_88ab_ceb52843638a" hidden="1">#REF!</definedName>
    <definedName name="Tigr_Exhibitbf101d28_5fa7_4eeb_be34_ded75b532533" hidden="1">#REF!</definedName>
    <definedName name="Tigr_Exhibitbf1780d5_c07a_4a7a_81bf_0285eea9561e" hidden="1">#REF!</definedName>
    <definedName name="Tigr_Exhibitbf52e71a_a1fc_4524_9f43_afeb18561f88" hidden="1">#REF!</definedName>
    <definedName name="Tigr_Exhibitbfac90d1_3407_4dee_991c_2643caf5b2b8" hidden="1">#REF!</definedName>
    <definedName name="Tigr_Exhibitc0297468_0f38_40be_8523_8bae926f1db7" hidden="1">#REF!</definedName>
    <definedName name="Tigr_Exhibitc0578117_3c4c_4b73_9147_db3499678d56" hidden="1">#REF!</definedName>
    <definedName name="Tigr_Exhibitc0b6b4cf_2731_4019_8ca6_328748d923f2" hidden="1">#REF!</definedName>
    <definedName name="Tigr_Exhibitc0fd692a_14d6_471c_96a3_baf63540c484" hidden="1">#REF!</definedName>
    <definedName name="Tigr_Exhibitc105e37e_0d62_4678_ad83_f904e588fa1c" hidden="1">#REF!</definedName>
    <definedName name="Tigr_Exhibitc1285ea8_65de_46de_a38a_d401bcbdd4e1" hidden="1">#REF!</definedName>
    <definedName name="Tigr_Exhibitc14ea195_60a3_4ecf_9103_99cc4799a82e" hidden="1">#REF!</definedName>
    <definedName name="Tigr_Exhibitc1797d20_041c_4051_b4c6_c017a21d8dc8" hidden="1">#REF!</definedName>
    <definedName name="Tigr_Exhibitc1a1942f_066e_43e5_9869_591fe49c9dff" hidden="1">#REF!</definedName>
    <definedName name="Tigr_Exhibitc1e343af_0f27_4c40_a522_2453d6404feb" hidden="1">#REF!</definedName>
    <definedName name="Tigr_Exhibitc20e42c1_3970_47a7_849a_ce7ebd1c8655" hidden="1">#REF!</definedName>
    <definedName name="Tigr_Exhibitc2466b94_1550_4fce_b61c_588eab5ecb79" hidden="1">#REF!</definedName>
    <definedName name="Tigr_Exhibitc34b49e6_3955_4b31_b0b0_a5b797c8a6e7" hidden="1">#REF!</definedName>
    <definedName name="Tigr_Exhibitc3627d2e_51b3_4426_b317_fd956744b37d" hidden="1">#REF!</definedName>
    <definedName name="Tigr_Exhibitc3a3f928_2938_4a29_9661_336e95ec4532" hidden="1">#REF!</definedName>
    <definedName name="Tigr_Exhibitc3ccf51e_bf12_49c0_9bde_eb02f9ff712b" hidden="1">#REF!</definedName>
    <definedName name="Tigr_Exhibitc41f2f70_9654_4001_abe7_4039a3115473" hidden="1">#REF!</definedName>
    <definedName name="Tigr_Exhibitc44bd91a_a416_47de_a8ab_2a1d1ac750f2" hidden="1">#REF!</definedName>
    <definedName name="Tigr_Exhibitc4678483_da16_498a_abb0_412f5622065e" hidden="1">#REF!</definedName>
    <definedName name="Tigr_Exhibitc4e8df15_73db_4d32_b7ee_4550ba4243ea" hidden="1">#REF!</definedName>
    <definedName name="Tigr_Exhibitc5b27f90_2ca5_491a_88ce_5969e2ffd70a" hidden="1">#REF!</definedName>
    <definedName name="Tigr_Exhibitc623887a_74b6_4c77_b222_2ded5c855746" hidden="1">#REF!</definedName>
    <definedName name="Tigr_Exhibitc66fa36f_95c8_42a1_8061_3b0d39129b6e" hidden="1">#REF!</definedName>
    <definedName name="Tigr_Exhibitc6789787_f6e2_4ca9_8f65_c5bd5111361c" hidden="1">#REF!</definedName>
    <definedName name="Tigr_Exhibitc6f75a00_fe58_4a0b_91ad_b9ea026bbd1a" hidden="1">#REF!</definedName>
    <definedName name="Tigr_Exhibitc781b86f_bd18_493f_ab3a_c7156c4dd565" hidden="1">#REF!</definedName>
    <definedName name="Tigr_Exhibitc7845dc7_66cc_4b2c_9d28_862f9be15601" hidden="1">#REF!</definedName>
    <definedName name="Tigr_Exhibitc7b76323_c53b_44b7_8cd3_9fa488f37285" hidden="1">#REF!</definedName>
    <definedName name="Tigr_Exhibitc7e47041_76bb_4781_9af2_804b6dad890b" hidden="1">#REF!</definedName>
    <definedName name="Tigr_Exhibitc85fc064_6885_46f3_989c_20161744a195" hidden="1">#REF!</definedName>
    <definedName name="Tigr_Exhibitc87cf2b5_a895_4c92_96aa_c6f65230a9c0" hidden="1">#REF!</definedName>
    <definedName name="Tigr_Exhibitc8898439_480d_46a0_930e_d2a1a76e18f5" hidden="1">#REF!</definedName>
    <definedName name="Tigr_Exhibitc8ec086e_482c_4026_92f0_c1fa2fc2d8bf" hidden="1">#REF!</definedName>
    <definedName name="Tigr_Exhibitc92dc48a_2646_49b9_bd10_f65539e841de" hidden="1">#REF!</definedName>
    <definedName name="Tigr_Exhibitc94814ae_d5d5_441b_bcab_2554f518e445" hidden="1">#REF!</definedName>
    <definedName name="Tigr_Exhibitc972539f_ff13_4976_99e0_6be69e0e1a0f" hidden="1">#REF!</definedName>
    <definedName name="Tigr_Exhibitc97c72e9_e1ff_4386_99f3_be4d7e0d56f0" hidden="1">#REF!</definedName>
    <definedName name="Tigr_Exhibitc994cc34_cafe_4770_ae2b_c615892a0989" hidden="1">#REF!</definedName>
    <definedName name="Tigr_Exhibitc9a0c716_bc70_4fa2_be5a_9432ac9588ec" hidden="1">#REF!</definedName>
    <definedName name="Tigr_Exhibitc9b5c7cc_f087_48fb_90a9_ea0361e5e29c" hidden="1">#REF!</definedName>
    <definedName name="Tigr_Exhibitca1aa228_ac8a_4109_8554_361a902af747" hidden="1">#REF!</definedName>
    <definedName name="Tigr_Exhibitca63a1ef_be7f_467e_bed4_66aac1378ea5" hidden="1">#REF!</definedName>
    <definedName name="Tigr_Exhibitca79e302_f2ba_4c8c_b744_120abadd121a" hidden="1">#REF!</definedName>
    <definedName name="Tigr_Exhibitcaa16882_28d9_411f_bb94_3c3a2a3a3d09" hidden="1">#REF!</definedName>
    <definedName name="Tigr_Exhibitcb2d79fa_8300_47c1_8319_e22fefe9c4d0" hidden="1">#REF!</definedName>
    <definedName name="Tigr_Exhibitcb338465_b6cd_47bf_80d9_f36c3fb772a0" hidden="1">#REF!</definedName>
    <definedName name="Tigr_Exhibitcb9036d8_10ba_4f8e_8e76_5444be8b9b42" hidden="1">#REF!</definedName>
    <definedName name="Tigr_Exhibitcd286ca4_61bf_4bdc_9721_768a93158b99" hidden="1">#REF!</definedName>
    <definedName name="Tigr_Exhibitcd425106_a81b_4464_9915_76ef7c88ceb3" hidden="1">#REF!</definedName>
    <definedName name="Tigr_Exhibitcd554042_e47e_434b_83d8_f4bfbf1c1dc7" hidden="1">#REF!</definedName>
    <definedName name="Tigr_Exhibitcd61dd57_fe70_4c82_a0fe_c8f728cbae44" hidden="1">#REF!</definedName>
    <definedName name="Tigr_Exhibitcd8925d2_09be_46ce_a77e_b5638466a4d6" hidden="1">#REF!</definedName>
    <definedName name="Tigr_Exhibitcda14391_f5e1_4972_b4ee_420c66c1b21c" hidden="1">#REF!</definedName>
    <definedName name="Tigr_Exhibitcdb22ae7_70e9_4d22_80cc_d11c4b542cd3" hidden="1">#REF!</definedName>
    <definedName name="Tigr_Exhibitcddd673e_4bfb_4735_a31a_a472ceccad5e" hidden="1">#REF!</definedName>
    <definedName name="Tigr_Exhibitce38840f_525b_46bd_a74e_af3f46003022" hidden="1">#REF!</definedName>
    <definedName name="Tigr_Exhibitce89d445_6bcb_429b_bf84_3e84bc87ab75" hidden="1">#REF!</definedName>
    <definedName name="Tigr_Exhibitceb65608_a72f_4130_b009_ef5fdb301854" hidden="1">#REF!</definedName>
    <definedName name="Tigr_Exhibitcf0db728_f9e7_4e8c_bc06_55925a8cc663" hidden="1">#REF!</definedName>
    <definedName name="Tigr_Exhibitcf18eef7_fc35_4806_aad6_54a4b42054fe" hidden="1">#REF!</definedName>
    <definedName name="Tigr_Exhibitcf30a10d_742d_4c3d_9a98_4ffa0bdf0f3f" hidden="1">#REF!</definedName>
    <definedName name="Tigr_Exhibitcf3ec3de_93b4_4479_94f6_fcc0a4b1ddbc" hidden="1">#REF!</definedName>
    <definedName name="Tigr_Exhibitcf719fe7_5666_49e0_8755_058e20d6ec3e" hidden="1">#REF!</definedName>
    <definedName name="Tigr_Exhibitcf8dc62b_0fbc_48e0_a8df_0838ff65c7bf" hidden="1">#REF!</definedName>
    <definedName name="Tigr_Exhibitcfaf37f3_5536_4cf0_a33d_f39b9085a4cf" hidden="1">#REF!</definedName>
    <definedName name="Tigr_Exhibitcfb83d66_7012_4703_931e_593ad4e1512a" hidden="1">#REF!</definedName>
    <definedName name="Tigr_Exhibitcfc2ed96_40a3_42b8_91f3_b3060c83bff6" hidden="1">#REF!</definedName>
    <definedName name="Tigr_Exhibitcffbbb7a_8446_45ad_8770_d38013df468d" hidden="1">#REF!</definedName>
    <definedName name="Tigr_Exhibitd19b8d14_6176_4034_9f6c_97f0c73ac987" hidden="1">#REF!</definedName>
    <definedName name="Tigr_Exhibitd1c236e0_3927_4965_a85c_58907ff8e450" hidden="1">#REF!</definedName>
    <definedName name="Tigr_Exhibitd22a952f_8978_4e29_886d_c217a7d1df84" hidden="1">#REF!</definedName>
    <definedName name="Tigr_Exhibitd26431e9_3ccf_4163_a57d_dd3b8682b1c9" hidden="1">#REF!</definedName>
    <definedName name="Tigr_Exhibitd280c2b9_ca87_4dfe_9fef_0e9630f7f7d7" hidden="1">#REF!</definedName>
    <definedName name="Tigr_Exhibitd2cd768b_2abb_4478_aa93_28a36e4a05da" hidden="1">#REF!</definedName>
    <definedName name="Tigr_Exhibitd2d75562_ece8_4845_8d17_6e49ecb6b762" hidden="1">#REF!</definedName>
    <definedName name="Tigr_Exhibitd30871ab_05b1_4830_a067_9ab894ae6eb1" hidden="1">#REF!</definedName>
    <definedName name="Tigr_Exhibitd30ebc60_af0c_4a4d_b3f3_f098d7c57bbf" hidden="1">#REF!</definedName>
    <definedName name="Tigr_Exhibitd33505ff_496f_4318_a33f_92a0924b5771" hidden="1">#REF!</definedName>
    <definedName name="Tigr_Exhibitd3356e2e_8e58_4912_89b9_1877401b557a" hidden="1">#REF!</definedName>
    <definedName name="Tigr_Exhibitd34dfba6_e463_4e33_910a_d4c4f17f4968" hidden="1">#REF!</definedName>
    <definedName name="Tigr_Exhibitd35d27d4_9b45_4e1b_acd3_fd580e68a20a" hidden="1">#REF!</definedName>
    <definedName name="Tigr_Exhibitd3c53e5a_626b_406f_9b43_eeb2c7b77f09" hidden="1">#REF!</definedName>
    <definedName name="Tigr_Exhibitd3d14a86_ca0a_4161_9062_8ccb220a83ac" hidden="1">#REF!</definedName>
    <definedName name="Tigr_Exhibitd3ef26eb_0645_4d2b_9326_c0f5a7a5c851" hidden="1">#REF!</definedName>
    <definedName name="Tigr_Exhibitd3fbca04_a40f_4a32_b577_07f6e4633a78" hidden="1">#REF!</definedName>
    <definedName name="Tigr_Exhibitd4187c3d_5eaf_4077_b39d_689fc354cba3" hidden="1">#REF!</definedName>
    <definedName name="Tigr_Exhibitd4d4f2af_b672_4b41_b8b5_305983a71acf" hidden="1">#REF!</definedName>
    <definedName name="Tigr_Exhibitd4e4b731_6ee2_48aa_9885_06a93480cb15" hidden="1">#REF!</definedName>
    <definedName name="Tigr_Exhibitd5325037_780f_42c0_9fb5_6576167a34e3" hidden="1">#REF!</definedName>
    <definedName name="Tigr_Exhibitd58b3389_f450_46f1_92a8_80cd47a62839" hidden="1">#REF!</definedName>
    <definedName name="Tigr_Exhibitd5b932af_d9e6_4835_86fb_94e765f1e2e6" hidden="1">#REF!</definedName>
    <definedName name="Tigr_Exhibitd5e8f04c_e64c_4aff_a543_01acbc15b35b" hidden="1">#REF!</definedName>
    <definedName name="Tigr_Exhibitd5f096d9_b101_4a57_b78c_9663ced9467c" hidden="1">#REF!</definedName>
    <definedName name="Tigr_Exhibitd60bf6a6_a1ce_41c5_b78f_f34b506c61ae" hidden="1">#REF!</definedName>
    <definedName name="Tigr_Exhibitd6d041c0_f89b_414c_9dd3_1ee58d0a6948" hidden="1">#REF!</definedName>
    <definedName name="Tigr_Exhibitd7085c9f_1191_4848_9ff7_e612ddac6147" hidden="1">#REF!</definedName>
    <definedName name="Tigr_Exhibitd72edaff_3952_4a66_983a_9a109f16af18" hidden="1">#REF!</definedName>
    <definedName name="Tigr_Exhibitd7720fee_5a6a_4aa4_bb28_10cf13e15419" hidden="1">#REF!</definedName>
    <definedName name="Tigr_Exhibitd78a7c06_8f4f_4ac5_b64c_a13017840f59" hidden="1">#REF!</definedName>
    <definedName name="Tigr_Exhibitd7e77b7b_fb07_4fe3_b293_f2d49362594f" hidden="1">#REF!</definedName>
    <definedName name="Tigr_Exhibitd801af5b_fd6b_4480_b757_9a504820f650" hidden="1">#REF!</definedName>
    <definedName name="Tigr_Exhibitd8a783e9_0a3b_4ab6_9dbb_1b6992580223" hidden="1">#REF!</definedName>
    <definedName name="Tigr_Exhibitd8b15071_2911_4d66_956e_d84fc0b4738a" hidden="1">#REF!</definedName>
    <definedName name="Tigr_Exhibitd9570a4b_5ec4_4504_b6c0_84b9a9e43f44" hidden="1">#REF!</definedName>
    <definedName name="Tigr_Exhibitda2a67bf_ae2c_457f_b0cf_e84150d1a918" hidden="1">#REF!</definedName>
    <definedName name="Tigr_Exhibitda583c0b_4dec_4820_a551_ca5f51c42081" hidden="1">#REF!</definedName>
    <definedName name="Tigr_Exhibitda88462e_ccf4_43d7_b0ce_ede0b5533c86" hidden="1">#REF!</definedName>
    <definedName name="Tigr_Exhibitda899833_9210_46ca_8a76_c4b06d51dea1" hidden="1">#REF!</definedName>
    <definedName name="Tigr_Exhibitda8f5e7b_0a11_47d9_9291_bb417bffdd3a" hidden="1">#REF!</definedName>
    <definedName name="Tigr_Exhibitdaaabe3a_d657_4baa_ba27_c682ba06ee7b" hidden="1">#REF!</definedName>
    <definedName name="Tigr_Exhibitdac62c64_5da6_4edc_ba8e_14e74403af94" hidden="1">#REF!</definedName>
    <definedName name="Tigr_Exhibitdadccd47_94dc_4f56_9ad5_7fd9375e0766" hidden="1">#REF!</definedName>
    <definedName name="Tigr_Exhibitdade7477_b358_4e3f_90b2_6a1f0ba927d0" hidden="1">#REF!</definedName>
    <definedName name="Tigr_Exhibitdaf6f7f4_d2e0_4af3_8a2d_1c68e18ee5e2" hidden="1">#REF!</definedName>
    <definedName name="Tigr_Exhibitdafb8cbb_1085_4f65_8619_27b7c14a67f3" hidden="1">#REF!</definedName>
    <definedName name="Tigr_Exhibitdb05c911_016c_452d_9374_98a94c54dd7c" hidden="1">#REF!</definedName>
    <definedName name="Tigr_Exhibitdb6baa80_6a4b_4988_b404_a1ce5cba6f0c" hidden="1">#REF!</definedName>
    <definedName name="Tigr_Exhibitdb91827c_8aa6_48e3_89c1_9c3a136ecc7b" hidden="1">#REF!</definedName>
    <definedName name="Tigr_Exhibitdba13809_e91b_4dda_bcf8_caf35be4388d" hidden="1">#REF!</definedName>
    <definedName name="Tigr_Exhibitdbca1504_985d_4462_b5e4_eda4eb73fac6" hidden="1">#REF!</definedName>
    <definedName name="Tigr_Exhibitdbef9c59_a659_4cd8_b3e6_17a77322f770" hidden="1">Automotive!#REF!</definedName>
    <definedName name="Tigr_Exhibitdc12b7f4_179f_4be0_b8bc_3bfc86349ac7" hidden="1">#REF!</definedName>
    <definedName name="Tigr_Exhibitdc303b36_b7e0_46ac_8608_c8343fc66550" hidden="1">#REF!</definedName>
    <definedName name="Tigr_Exhibitdc317c70_904e_4753_9d86_3a7148323a83" hidden="1">#REF!</definedName>
    <definedName name="Tigr_Exhibitdc58f681_3788_47bd_a72a_19e43ec583d1" hidden="1">#REF!</definedName>
    <definedName name="Tigr_Exhibitdc9be048_f126_41c6_b1b5_696f0712b779" hidden="1">#REF!</definedName>
    <definedName name="Tigr_Exhibitdce47a03_3a98_4137_b4c9_f85ef1f22e84" hidden="1">#REF!</definedName>
    <definedName name="Tigr_Exhibitdcfbf6e3_cc67_48f5_a382_749e28e5a777" hidden="1">#REF!</definedName>
    <definedName name="Tigr_Exhibitdda50483_ed3f_426c_925b_0b46af0777d5" hidden="1">#REF!</definedName>
    <definedName name="Tigr_Exhibitde1d67e6_8b30_411f_b259_4cdf78b98f27" hidden="1">#REF!</definedName>
    <definedName name="Tigr_Exhibitde761a7f_7c45_47b0_8f13_ecede0189a97" hidden="1">#REF!</definedName>
    <definedName name="Tigr_Exhibitde825008_bd91_4e56_b487_4d4e2068d106" hidden="1">#REF!</definedName>
    <definedName name="Tigr_Exhibitdeeebbf5_d346_45e3_b33d_3a56fe72f958" hidden="1">#REF!</definedName>
    <definedName name="Tigr_Exhibitdef4074f_afbe_4c09_8735_cdd946993557" hidden="1">#REF!</definedName>
    <definedName name="Tigr_Exhibitdf14bf7d_edf2_45d6_8583_e14e2d16d91b" hidden="1">#REF!</definedName>
    <definedName name="Tigr_Exhibitdf2f664f_8928_44e0_a453_e5dc00821384" hidden="1">#REF!</definedName>
    <definedName name="Tigr_Exhibitdf408d4e_eda9_4614_b8a0_08ba1390f05e" hidden="1">#REF!</definedName>
    <definedName name="Tigr_Exhibitdf50a480_3637_4bc0_b739_53ce1c636bbc" hidden="1">#REF!</definedName>
    <definedName name="Tigr_Exhibitdf79b2f5_c0fa_4e12_9876_eca4c474e0b1" hidden="1">#REF!</definedName>
    <definedName name="Tigr_Exhibitdfa3ca7f_51b5_436f_a1a4_b943f7f6aedb" hidden="1">#REF!</definedName>
    <definedName name="Tigr_Exhibitdfb6d735_3baf_491a_8477_8a78ed4ff4ef" hidden="1">#REF!</definedName>
    <definedName name="Tigr_Exhibitdfbac79c_c1a6_40be_b95c_fa4cad22a27c" hidden="1">#REF!</definedName>
    <definedName name="Tigr_Exhibitdfc7c18e_affa_4b6c_a42f_ccc687de55e2" hidden="1">#REF!</definedName>
    <definedName name="Tigr_Exhibitdfef2d64_578a_4bdc_b8a7_60443ea17b69" hidden="1">#REF!</definedName>
    <definedName name="Tigr_Exhibite0690cd6_20a3_476b_bb58_3f42def74d1d" hidden="1">#REF!</definedName>
    <definedName name="Tigr_Exhibite0743f65_dd4f_4f3b_8830_ee6ae2a9648f" hidden="1">#REF!</definedName>
    <definedName name="Tigr_Exhibite079df78_912d_4072_b07c_820d0229d699" hidden="1">#REF!</definedName>
    <definedName name="Tigr_Exhibite09af743_74fb_46f9_8fb6_a08e99f8aaa0" hidden="1">#REF!</definedName>
    <definedName name="Tigr_Exhibite0ca30bc_941b_4881_bc33_ee4260a7988a" hidden="1">#REF!</definedName>
    <definedName name="Tigr_Exhibite1749e61_512c_473f_832b_596df8d7350d" hidden="1">#REF!</definedName>
    <definedName name="Tigr_Exhibite1e11c75_c154_416a_be4f_727aa3fe90bd" hidden="1">#REF!</definedName>
    <definedName name="Tigr_Exhibite1e90bf7_fdde_432f_a8d4_9c3e4a1f404c" hidden="1">#REF!</definedName>
    <definedName name="Tigr_Exhibite20cd44b_ca69_4ec2_bc80_d5eb3a7404c1" hidden="1">#REF!</definedName>
    <definedName name="Tigr_Exhibite20fc7ae_b7a9_4953_8d71_41e50ab5ddc8" hidden="1">#REF!</definedName>
    <definedName name="Tigr_Exhibite2100bd0_d5ad_4f38_aa4e_81ee0e8aa750" hidden="1">#REF!</definedName>
    <definedName name="Tigr_Exhibite22ef638_d7c5_4480_ae9e_7363875e37cc" hidden="1">#REF!</definedName>
    <definedName name="Tigr_Exhibite25136c2_ec56_4732_9126_1ee8b7673694" hidden="1">#REF!</definedName>
    <definedName name="Tigr_Exhibite2d6e216_f7da_4171_9909_9f2fa41d0ea8" hidden="1">#REF!</definedName>
    <definedName name="Tigr_Exhibite3430fbd_1475_4da2_ba68_ab58520c7f8f" hidden="1">#REF!</definedName>
    <definedName name="Tigr_Exhibite34710fa_1a49_4d4e_86ba_ac32d1c2bebf" hidden="1">#REF!</definedName>
    <definedName name="Tigr_Exhibite35f0cce_420b_4695_aa5c_aa38a6dc1e86" hidden="1">#REF!</definedName>
    <definedName name="Tigr_Exhibite35fb9df_34b7_4b50_b8fb_3ea7097d35ef" hidden="1">#REF!</definedName>
    <definedName name="Tigr_Exhibite37c116b_3555_4cf3_9162_e72a25ccea01" hidden="1">#REF!</definedName>
    <definedName name="Tigr_Exhibite3930ab2_936c_42b4_8072_fb3104b48a10" hidden="1">#REF!</definedName>
    <definedName name="Tigr_Exhibite39de712_2001_4768_8128_fc3879eee49c" hidden="1">#REF!</definedName>
    <definedName name="Tigr_Exhibite3bc35c7_cb26_4fe3_b0e2_00b5871778f7" hidden="1">#REF!</definedName>
    <definedName name="Tigr_Exhibite3c1c97c_c086_41cc_a412_1259e548a896" hidden="1">#REF!</definedName>
    <definedName name="Tigr_Exhibite3cc1892_ad99_454c_88f2_174b65647b73" hidden="1">#REF!</definedName>
    <definedName name="Tigr_Exhibite3f8b8cd_97ab_4abc_9392_6295e8fac7d9" hidden="1">#REF!</definedName>
    <definedName name="Tigr_Exhibite43d5358_6366_4d88_9795_1f585d052298" hidden="1">#REF!</definedName>
    <definedName name="Tigr_Exhibite44e892b_6fa9_4280_bd72_767d0c1d8465" hidden="1">#REF!</definedName>
    <definedName name="Tigr_Exhibite4b34f01_4e86_47b8_aa15_73f2709e2c68" hidden="1">#REF!</definedName>
    <definedName name="Tigr_Exhibite4ba6416_41f1_4420_b1eb_3f76cbb36b70" hidden="1">#REF!</definedName>
    <definedName name="Tigr_Exhibite4beaec5_3bc4_42ff_9518_b1b34628112f" hidden="1">#REF!</definedName>
    <definedName name="Tigr_Exhibite4fc3731_4f02_4779_9941_a0002903ee87" hidden="1">#REF!</definedName>
    <definedName name="Tigr_Exhibite527e41b_11cc_4e8e_9bc3_5de87b36e714" hidden="1">#REF!</definedName>
    <definedName name="Tigr_Exhibite55f6042_6f96_4126_ae92_3382274190b5" hidden="1">#REF!</definedName>
    <definedName name="Tigr_Exhibite5cc4989_ab0f_4467_978a_a297b4cacb17" hidden="1">#REF!</definedName>
    <definedName name="Tigr_Exhibite5ccd3da_ecf7_4187_b601_04a4c1a4ea4f" hidden="1">#REF!</definedName>
    <definedName name="Tigr_Exhibite5fbb439_3b47_43fc_8ebf_b55176b64c93" hidden="1">#REF!</definedName>
    <definedName name="Tigr_Exhibite62c7b22_af92_42f9_9d66_8d6a980c2791" hidden="1">#REF!</definedName>
    <definedName name="Tigr_Exhibite6402540_8d25_4068_be16_781b879eceba" hidden="1">#REF!</definedName>
    <definedName name="Tigr_Exhibite65a6547_279b_451b_a20f_769ab530b05b" hidden="1">#REF!</definedName>
    <definedName name="Tigr_Exhibite6b18181_020f_4929_aba2_c88976a4e1bf" hidden="1">#REF!</definedName>
    <definedName name="Tigr_Exhibite6c6e1e2_cc93_4389_b2b0_3c43b73c48cb" hidden="1">#REF!</definedName>
    <definedName name="Tigr_Exhibite6cd45a3_d245_4392_9740_85aa3e756e6c" hidden="1">#REF!</definedName>
    <definedName name="Tigr_Exhibite6eff987_13e8_442e_bcbf_7ac80d3589a0" hidden="1">#REF!</definedName>
    <definedName name="Tigr_Exhibite6fc4fbd_8e46_4e8f_a87a_1ce45114bdcc" hidden="1">#REF!</definedName>
    <definedName name="Tigr_Exhibite7332461_25c7_4f3a_9623_890e0e615a27" hidden="1">#REF!</definedName>
    <definedName name="Tigr_Exhibite741d478_86d3_4e4f_9aa7_f63970d0b073" hidden="1">#REF!</definedName>
    <definedName name="Tigr_Exhibite7691348_e12e_4ce5_964f_a0e11e4c34a4" hidden="1">#REF!</definedName>
    <definedName name="Tigr_Exhibite770e962_e3e9_4825_88db_8b77ed4e97d2" hidden="1">#REF!</definedName>
    <definedName name="Tigr_Exhibite87e361e_6135_4f7f_9e2d_5b1df4d96471" hidden="1">#REF!</definedName>
    <definedName name="Tigr_Exhibite90f0b79_db4e_4bb2_861d_fc5aa71fc31d" hidden="1">#REF!</definedName>
    <definedName name="Tigr_Exhibite9607d18_b0f7_4d2e_928a_1d3b50c3334d" hidden="1">#REF!</definedName>
    <definedName name="Tigr_Exhibite9686083_59db_42ac_a895_0752d1ee1860" hidden="1">#REF!</definedName>
    <definedName name="Tigr_Exhibite9c71912_e7c1_490c_894e_c6c8c74e3d9f" hidden="1">#REF!</definedName>
    <definedName name="Tigr_Exhibite9ebb0d3_1a52_49c2_a034_24fbbf7cd5c0" hidden="1">#REF!</definedName>
    <definedName name="Tigr_Exhibitea1424ca_89b5_4f7c_aeab_d03180a92a6d" hidden="1">#REF!</definedName>
    <definedName name="Tigr_Exhibitea78e364_01ca_420a_9581_44d3bfa894d1" hidden="1">#REF!</definedName>
    <definedName name="Tigr_Exhibiteafcf6ad_afa6_489e_87e7_b29e17b24fde" hidden="1">#REF!</definedName>
    <definedName name="Tigr_Exhibiteb6e4427_a496_42f4_bc07_e887fc8c6389" hidden="1">#REF!</definedName>
    <definedName name="Tigr_Exhibiteb70fe85_4509_4c6c_80ee_ea3c1d7ff192" hidden="1">#REF!</definedName>
    <definedName name="Tigr_Exhibiteb91c770_d71c_4020_b751_f8b194576184" hidden="1">#REF!</definedName>
    <definedName name="Tigr_Exhibiteba657ef_5453_4a22_89a2_bcc4a069d3ed" hidden="1">#REF!</definedName>
    <definedName name="Tigr_Exhibitebc845bc_9ab3_435a_988a_6aeae5f47e95" hidden="1">#REF!</definedName>
    <definedName name="Tigr_Exhibitebe81fd5_f6c7_43c4_bf3e_8f4d34bf17cc" hidden="1">#REF!</definedName>
    <definedName name="Tigr_Exhibitec0e36f1_4ccc_4bea_adb8_cc790e738805" hidden="1">#REF!</definedName>
    <definedName name="Tigr_Exhibitec8604d4_2828_4f01_9bcd_1209fa75f8f5" hidden="1">#REF!</definedName>
    <definedName name="Tigr_Exhibitecab850f_ee15_4cf5_b1b3_8c0a041575e0" hidden="1">#REF!</definedName>
    <definedName name="Tigr_Exhibited00278a_9f21_4b72_b5b6_796222cad072" hidden="1">#REF!</definedName>
    <definedName name="Tigr_Exhibited300370_8f27_4fc0_8735_6836d0791ed1" hidden="1">#REF!</definedName>
    <definedName name="Tigr_Exhibited69b919_cf1d_4cf9_8a9c_35c401dab33e" hidden="1">#REF!</definedName>
    <definedName name="Tigr_Exhibited8c561c_2743_4762_80ef_93db5b1e4d24" hidden="1">#REF!</definedName>
    <definedName name="Tigr_Exhibitedd0dd26_fa79_4cef_9bdb_6348d430ff07" hidden="1">#REF!</definedName>
    <definedName name="Tigr_Exhibitedd2f42d_f090_46f3_9c38_faccc791a043" hidden="1">#REF!</definedName>
    <definedName name="Tigr_Exhibitede66d53_1e9f_4ea2_9b58_0975430ebcf6" hidden="1">#REF!</definedName>
    <definedName name="Tigr_Exhibitee9aa4c2_5790_4e44_81af_957213734efe" hidden="1">#REF!</definedName>
    <definedName name="Tigr_Exhibiteeda760f_e1da_4950_a6c6_f90c26e6dc8a" hidden="1">#REF!</definedName>
    <definedName name="Tigr_Exhibiteefc861d_c889_4828_96eb_e282203ebf5b" hidden="1">#REF!</definedName>
    <definedName name="Tigr_Exhibitef31cf2a_dd8b_4d49_9b65_0d57b76bda1e" hidden="1">#REF!</definedName>
    <definedName name="Tigr_Exhibitef409d5e_14c3_4260_a799_5e1ba9fa2ceb" hidden="1">#REF!</definedName>
    <definedName name="Tigr_Exhibitefc1a6c0_8b70_4ea6_92dd_8478f7c10da0" hidden="1">#REF!</definedName>
    <definedName name="Tigr_Exhibitf00f2ef8_78fe_4166_bee1_1da403ffeac4" hidden="1">#REF!</definedName>
    <definedName name="Tigr_Exhibitf058d27a_e863_4570_a662_d9231d9890cc" hidden="1">#REF!</definedName>
    <definedName name="Tigr_Exhibitf09cd042_fd96_47d2_93dc_794b1e68711d" hidden="1">#REF!</definedName>
    <definedName name="Tigr_Exhibitf0ac682d_3ceb_47b0_9c33_b5ef286c491a" hidden="1">#REF!</definedName>
    <definedName name="Tigr_Exhibitf0f78dd3_6709_423e_8d7f_424ee71e310f" hidden="1">#REF!</definedName>
    <definedName name="Tigr_Exhibitf116e141_bb57_480a_b687_af9b117ee8dc" hidden="1">#REF!</definedName>
    <definedName name="Tigr_Exhibitf1711d1d_f16d_494f_83dc_5a21d156a85d" hidden="1">#REF!</definedName>
    <definedName name="Tigr_Exhibitf17d2a01_cc12_4c6f_8f08_dd185375647d" hidden="1">#REF!</definedName>
    <definedName name="Tigr_Exhibitf28b3983_8027_4e9b_8adf_2d877f319e10" hidden="1">#REF!</definedName>
    <definedName name="Tigr_Exhibitf2af2ce7_db0e_445d_a52f_487599fa40a1" hidden="1">#REF!</definedName>
    <definedName name="Tigr_Exhibitf2bfdd68_24a5_4f2f_a528_9b590855fc92" hidden="1">#REF!</definedName>
    <definedName name="Tigr_Exhibitf2d36fdb_c08d_4448_b400_cd9d1a0d070d" hidden="1">#REF!</definedName>
    <definedName name="Tigr_Exhibitf33348ab_6439_48ae_b328_544a3c9a1e52" hidden="1">#REF!</definedName>
    <definedName name="Tigr_Exhibitf33f1f66_cb80_4d54_a1f4_9b50a2d298f0" hidden="1">#REF!</definedName>
    <definedName name="Tigr_Exhibitf3570ed1_e106_4bf4_8ffd_673c28c50a85" hidden="1">#REF!</definedName>
    <definedName name="Tigr_Exhibitf3ced83c_0ba0_4718_885c_56a03ffc08ca" hidden="1">#REF!</definedName>
    <definedName name="Tigr_Exhibitf3f01b5c_6091_4bc9_abfe_4248b131c3bf" hidden="1">#REF!</definedName>
    <definedName name="Tigr_Exhibitf4000fbf_90d9_4da9_80ce_eb42e588d96f" hidden="1">#REF!</definedName>
    <definedName name="Tigr_Exhibitf433fdb0_37a1_4909_a5f3_e2889c69d0bf" hidden="1">#REF!</definedName>
    <definedName name="Tigr_Exhibitf54064b9_fe15_4519_833c_9c2adbf37823" hidden="1">#REF!</definedName>
    <definedName name="Tigr_Exhibitf580f9cb_9f5a_4f54_8e3c_1f37932de9be" hidden="1">#REF!</definedName>
    <definedName name="Tigr_Exhibitf5993eec_8f1d_4fb7_8404_38c9bbdd0830" hidden="1">#REF!</definedName>
    <definedName name="Tigr_Exhibitf59ab019_2c7e_49c5_b946_008552c8c7a3" hidden="1">#REF!</definedName>
    <definedName name="Tigr_Exhibitf5a4a2fe_cb5e_417b_8f37_2004101d8d02" hidden="1">#REF!</definedName>
    <definedName name="Tigr_Exhibitf6119ba9_46b4_4203_87e9_5e851ac759d0" hidden="1">#REF!</definedName>
    <definedName name="Tigr_Exhibitf692b3ea_0a7e_4a03_a58d_78651fb1ffb1" hidden="1">#REF!</definedName>
    <definedName name="Tigr_Exhibitf6c32a0e_6c96_4649_a8ba_235ff5c6014f" hidden="1">#REF!</definedName>
    <definedName name="Tigr_Exhibitf6e82a16_5f97_45ed_a635_2711aa1781ba" hidden="1">#REF!</definedName>
    <definedName name="Tigr_Exhibitf6f2f26c_861d_499c_a32a_62c38148888e" hidden="1">#REF!</definedName>
    <definedName name="Tigr_Exhibitf6f7e5cc_89c8_4571_9c05_ea7ff0c144cf" hidden="1">#REF!</definedName>
    <definedName name="Tigr_Exhibitf728c5b8_fb4d_406a_8a06_303c51bac97a" hidden="1">#REF!</definedName>
    <definedName name="Tigr_Exhibitf7554988_b6e8_429c_99c3_26d7c68b36a9" hidden="1">#REF!</definedName>
    <definedName name="Tigr_Exhibitf7b4ecbc_7753_45a1_8bee_c119e89a6b72" hidden="1">#REF!</definedName>
    <definedName name="Tigr_Exhibitf7b618a1_7071_4e64_ab7d_f90515278632" hidden="1">#REF!</definedName>
    <definedName name="Tigr_Exhibitf7cc33d3_179b_4c40_a792_5d1299d02aca" hidden="1">#REF!</definedName>
    <definedName name="Tigr_Exhibitf7dc3c78_88a0_4ef6_b18b_4ecabaa29483" hidden="1">#REF!</definedName>
    <definedName name="Tigr_Exhibitf801ac2d_1475_42a1_9228_d7053e1d9443" hidden="1">#REF!</definedName>
    <definedName name="Tigr_Exhibitf85d3adb_b111_43db_a78b_21f4ecf13494" hidden="1">#REF!</definedName>
    <definedName name="Tigr_Exhibitf8aca3ea_4792_4691_800f_36765908fd08" hidden="1">#REF!</definedName>
    <definedName name="Tigr_Exhibitf8d48119_bf7a_436c_9495_644056dc9167" hidden="1">#REF!</definedName>
    <definedName name="Tigr_Exhibitf919d447_8abc_4423_b60e_2e7dc42e9620" hidden="1">#REF!</definedName>
    <definedName name="Tigr_Exhibitf943b908_98f7_4cce_8fa9_22989a59c585" hidden="1">#REF!</definedName>
    <definedName name="Tigr_Exhibitf968d109_4bf4_4b19_8520_7ba1b896686b" hidden="1">#REF!</definedName>
    <definedName name="Tigr_Exhibitf97a3948_3143_4a98_8698_b4fe0a6af83f" hidden="1">#REF!</definedName>
    <definedName name="Tigr_Exhibitfa4f1a05_3d62_4ac4_aa4e_4524592de66e" hidden="1">#REF!</definedName>
    <definedName name="Tigr_Exhibitfa6c2090_0a21_474d_9328_5a15fb06ca43" hidden="1">#REF!</definedName>
    <definedName name="Tigr_Exhibitfaa96148_981e_48c8_9a36_22fc8ff631ac" hidden="1">#REF!</definedName>
    <definedName name="Tigr_Exhibitface3230_f578_4e8a_bc2c_b4e40a88c178" hidden="1">#REF!</definedName>
    <definedName name="Tigr_Exhibitfb6bc94a_15fd_404e_89aa_8a3f60de47d4" hidden="1">#REF!</definedName>
    <definedName name="Tigr_Exhibitfbd48eef_a251_4cf1_a703_6844d3a2cc98" hidden="1">#REF!</definedName>
    <definedName name="Tigr_Exhibitfc3a5226_2c97_4d9f_9a1c_2363d15a9fb2" hidden="1">#REF!</definedName>
    <definedName name="Tigr_Exhibitfc3b0921_25aa_49a1_8af5_d8c8d05bb9d4" hidden="1">Automotive!$CL$3:$CR$7</definedName>
    <definedName name="Tigr_Exhibitfc771fd7_51fe_4f08_9737_6904fdf89e45" hidden="1">#REF!</definedName>
    <definedName name="Tigr_Exhibitfd1eaff5_6206_4af6_bc04_f95e96bdf266" hidden="1">#REF!</definedName>
    <definedName name="Tigr_Exhibitfd522d20_fb70_447f_a528_30b5cd04af22" hidden="1">#REF!</definedName>
    <definedName name="Tigr_Exhibitfd94c231_17a7_4a82_9975_0e2b4c240a9e" hidden="1">#REF!</definedName>
    <definedName name="Tigr_Exhibitfdbadd6a_8145_42c6_a9e3_6c249d17f184" hidden="1">#REF!</definedName>
    <definedName name="Tigr_Exhibitfdee6fa4_cb28_44e0_a126_3e505bbc83a7" hidden="1">#REF!</definedName>
    <definedName name="Tigr_Exhibitfdf8c879_67c2_4957_929e_03606d3fbac2" hidden="1">#REF!</definedName>
    <definedName name="Tigr_Exhibitfe5d8c82_0853_4576_b988_a38e0e945b85" hidden="1">#REF!</definedName>
    <definedName name="Tigr_Exhibitfeabaac0_2175_42f9_bafe_a188df703cda" hidden="1">#REF!</definedName>
    <definedName name="Tigr_Exhibitfebc9922_b21d_4571_8b33_ca54ddd0bc25" hidden="1">#REF!</definedName>
    <definedName name="Tigr_Exhibitfebd3d3d_215d_4660_bfc9_b5925f9ed082" hidden="1">#REF!</definedName>
    <definedName name="Tigr_Exhibitff5d53b6_ca04_42e6_bc7c_2814e92774bb" hidden="1">#REF!</definedName>
    <definedName name="Tigr_Exhibitff805fbe_7d8e_488f_ad05_c5187bd2e24f" hidden="1">#REF!</definedName>
    <definedName name="Tigr_Exhibitffa9d669_b87e_4957_a420_45e874d7b9a5" hidden="1">#REF!</definedName>
    <definedName name="TIM_AdjustedEV">#REF!</definedName>
    <definedName name="TIM_AssociatesMinorities">#REF!</definedName>
    <definedName name="TIM_UnleveredFCF">#REF!</definedName>
    <definedName name="timestamp">#REF!</definedName>
    <definedName name="Title">#REF!</definedName>
    <definedName name="Title1">#REF!</definedName>
    <definedName name="TKCL_AdjustedEV">#REF!</definedName>
    <definedName name="TKCL_AssociatesMinorities">#REF!</definedName>
    <definedName name="TKCL_UnleveredFCF">#REF!</definedName>
    <definedName name="tklccurr">#REF!</definedName>
    <definedName name="tklccurrffq">#REF!</definedName>
    <definedName name="tklcpegrelavg">#REF!</definedName>
    <definedName name="tklcpegrelcurr">#REF!</definedName>
    <definedName name="tklcpegrowthavg">#REF!</definedName>
    <definedName name="tklcpegrowthcurr">#REF!</definedName>
    <definedName name="tlab1998dsho">#REF!</definedName>
    <definedName name="tlab1998eps">#REF!</definedName>
    <definedName name="tlab1998rev">#REF!</definedName>
    <definedName name="tlab1998sho">#REF!</definedName>
    <definedName name="tlab1999dsho">#REF!</definedName>
    <definedName name="tlab1999eps">#REF!</definedName>
    <definedName name="tlab1999rev">#REF!</definedName>
    <definedName name="tlab1999sho">#REF!</definedName>
    <definedName name="tlab1q00dsho">#REF!</definedName>
    <definedName name="tlab1q00eps">#REF!</definedName>
    <definedName name="tlab1q00rev">#REF!</definedName>
    <definedName name="tlab1q00sho">#REF!</definedName>
    <definedName name="tlab1q01dsho">#REF!</definedName>
    <definedName name="tlab1q01eps">#REF!</definedName>
    <definedName name="tlab1q01rev">#REF!</definedName>
    <definedName name="tlab1q01sho">#REF!</definedName>
    <definedName name="tlab2000dsho">#REF!</definedName>
    <definedName name="tlab2000eps">#REF!</definedName>
    <definedName name="tlab2000rev">#REF!</definedName>
    <definedName name="tlab2000sho">#REF!</definedName>
    <definedName name="tlab2001dsho">#REF!</definedName>
    <definedName name="tlab2001eps">#REF!</definedName>
    <definedName name="tlab2001rev">#REF!</definedName>
    <definedName name="tlab2001sho">#REF!</definedName>
    <definedName name="tlab2002dsho">#REF!</definedName>
    <definedName name="tlab2002eps">#REF!</definedName>
    <definedName name="tlab2002rev">#REF!</definedName>
    <definedName name="tlab2002sho">#REF!</definedName>
    <definedName name="tlab2003dsho">#REF!</definedName>
    <definedName name="tlab2003eps">#REF!</definedName>
    <definedName name="tlab2003rev">#REF!</definedName>
    <definedName name="tlab2003sho">#REF!</definedName>
    <definedName name="tlab2q00dsho">#REF!</definedName>
    <definedName name="tlab2q00eps">#REF!</definedName>
    <definedName name="tlab2q00rev">#REF!</definedName>
    <definedName name="tlab2q00sho">#REF!</definedName>
    <definedName name="tlab2q01dsho">#REF!</definedName>
    <definedName name="tlab2q01eps">#REF!</definedName>
    <definedName name="tlab2q01rev">#REF!</definedName>
    <definedName name="tlab2q01sho">#REF!</definedName>
    <definedName name="tlab3q00dsho">#REF!</definedName>
    <definedName name="tlab3q00eps">#REF!</definedName>
    <definedName name="tlab3q00rev">#REF!</definedName>
    <definedName name="tlab3q00sho">#REF!</definedName>
    <definedName name="tlab3q01dsho">#REF!</definedName>
    <definedName name="tlab3q01eps">#REF!</definedName>
    <definedName name="tlab3q01rev">#REF!</definedName>
    <definedName name="tlab3q01sho">#REF!</definedName>
    <definedName name="tlab4q00dsho">#REF!</definedName>
    <definedName name="tlab4q00eps">#REF!</definedName>
    <definedName name="tlab4q00rev">#REF!</definedName>
    <definedName name="tlab4q00sho">#REF!</definedName>
    <definedName name="tlab4q01dsho">#REF!</definedName>
    <definedName name="tlab4q01eps">#REF!</definedName>
    <definedName name="tlab4q01rev">#REF!</definedName>
    <definedName name="tlab4q01sho">#REF!</definedName>
    <definedName name="tlabcurr">#REF!</definedName>
    <definedName name="tlabcurrffq">#REF!</definedName>
    <definedName name="tlabpegrelavg">#REF!</definedName>
    <definedName name="tlabpegrelcurr">#REF!</definedName>
    <definedName name="tlabpegrowthavg">#REF!</definedName>
    <definedName name="tlabpegrowthcurr">#REF!</definedName>
    <definedName name="tlabshares">#REF!</definedName>
    <definedName name="TMDisplay">#REF!</definedName>
    <definedName name="TMDisplay2">#REF!</definedName>
    <definedName name="tnbavg">#REF!</definedName>
    <definedName name="tnbchg">#REF!</definedName>
    <definedName name="tnbcrpe">#REF!</definedName>
    <definedName name="tnbcurr">#REF!</definedName>
    <definedName name="tnbdate">#REF!</definedName>
    <definedName name="tnbdown">#REF!</definedName>
    <definedName name="tnbdownsup">#REF!</definedName>
    <definedName name="tnbeps99">#REF!</definedName>
    <definedName name="tnbfy1cons">#REF!</definedName>
    <definedName name="tnbfy2cons">#REF!</definedName>
    <definedName name="tnbhi">#REF!</definedName>
    <definedName name="tnbhilo">#REF!</definedName>
    <definedName name="tnblow">#REF!</definedName>
    <definedName name="tnbmktcap">#REF!</definedName>
    <definedName name="tnbpegrowthavg">#REF!</definedName>
    <definedName name="tnbpegrowthcurr">#REF!</definedName>
    <definedName name="tnbpegrowthhi">#REF!</definedName>
    <definedName name="tnbpegrowthlow">#REF!</definedName>
    <definedName name="tnbprice">#REF!</definedName>
    <definedName name="tnbrpe">#REF!</definedName>
    <definedName name="tnbshares">#REF!</definedName>
    <definedName name="tnbtprice">#REF!</definedName>
    <definedName name="tnbttmavg">#REF!</definedName>
    <definedName name="tnbttmcurr">#REF!</definedName>
    <definedName name="tnbttmhi">#REF!</definedName>
    <definedName name="tnbttmlow">#REF!</definedName>
    <definedName name="tnbttmrelavg">#REF!</definedName>
    <definedName name="tnbttmrelcurr">#REF!</definedName>
    <definedName name="tnbttmrelhi">#REF!</definedName>
    <definedName name="tnbttmrellow">#REF!</definedName>
    <definedName name="tnbup">#REF!</definedName>
    <definedName name="tnbupsup">#REF!</definedName>
    <definedName name="tnbvol">#REF!</definedName>
    <definedName name="tnbyield">#REF!</definedName>
    <definedName name="TODAY">#REF!</definedName>
    <definedName name="TOG">#REF!</definedName>
    <definedName name="Tom30YrBond">#REF!</definedName>
    <definedName name="TomYield">#REF!</definedName>
    <definedName name="Top_5_Access_File_3Q">#REF!</definedName>
    <definedName name="Top10db">#REF!</definedName>
    <definedName name="TOP10prelim">#REF!</definedName>
    <definedName name="TOP10prelim_2004q2">#REF!</definedName>
    <definedName name="TOP10prelim2003q3">#REF!</definedName>
    <definedName name="TOP10prelim2004q1">#REF!</definedName>
    <definedName name="TOP10prelimv2">#REF!</definedName>
    <definedName name="Toppoly">#REF!</definedName>
    <definedName name="Torisan">#REF!</definedName>
    <definedName name="tot_debt">#REF!</definedName>
    <definedName name="tot_fd_shares_actual">#REF!</definedName>
    <definedName name="tot_fd_shares_over">#REF!</definedName>
    <definedName name="tot_fd_shares_sum_sec">#REF!</definedName>
    <definedName name="tot_mkt_cap_actual">#REF!</definedName>
    <definedName name="tot_mkt_cap_calc">#REF!</definedName>
    <definedName name="tot_mkt_cap_ext">#REF!</definedName>
    <definedName name="tot_ud_shares_actual">#REF!</definedName>
    <definedName name="tot_ud_shares_over">#REF!</definedName>
    <definedName name="tot_ud_shares_sum_sec">#REF!</definedName>
    <definedName name="TOTAD">#REF!</definedName>
    <definedName name="totad00">#REF!</definedName>
    <definedName name="totad01">#REF!</definedName>
    <definedName name="totad02">#REF!</definedName>
    <definedName name="totad03">#REF!</definedName>
    <definedName name="totad04">#REF!</definedName>
    <definedName name="totad05">#REF!</definedName>
    <definedName name="totad96">#REF!</definedName>
    <definedName name="totad97">#REF!</definedName>
    <definedName name="totad98">#REF!</definedName>
    <definedName name="totad99">#REF!</definedName>
    <definedName name="totadgr00">#REF!</definedName>
    <definedName name="totadgr01">#REF!</definedName>
    <definedName name="totadgr02">#REF!</definedName>
    <definedName name="totadgr03">#REF!</definedName>
    <definedName name="totadgr04">#REF!</definedName>
    <definedName name="totadgr05">#REF!</definedName>
    <definedName name="totadgr95">#REF!</definedName>
    <definedName name="totadgr96">#REF!</definedName>
    <definedName name="totadgr97">#REF!</definedName>
    <definedName name="totadgr98">#REF!</definedName>
    <definedName name="totadgr99">#REF!</definedName>
    <definedName name="total">#REF!</definedName>
    <definedName name="Total_amort_fore">#REF!</definedName>
    <definedName name="Total_Amortization">#REF!</definedName>
    <definedName name="Total_Amortization_fore">#REF!</definedName>
    <definedName name="Total_COS">#REF!</definedName>
    <definedName name="Total_COS_fore">#REF!</definedName>
    <definedName name="Total_COS_growth_fore">#REF!</definedName>
    <definedName name="Total_COS_net_DnA">#REF!</definedName>
    <definedName name="Total_COS_net_DnA_fore">#REF!</definedName>
    <definedName name="Total_Current_Assets">#REF!</definedName>
    <definedName name="Total_Current_Liabilities">#REF!</definedName>
    <definedName name="Total_Customers">#REF!</definedName>
    <definedName name="Total_debt">#REF!</definedName>
    <definedName name="Total_debt_DCF">#REF!</definedName>
    <definedName name="Total_debt_fore">#REF!</definedName>
    <definedName name="Total_debt_growth_fore">#REF!</definedName>
    <definedName name="Total_Equity">#REF!</definedName>
    <definedName name="Total_increase_in_EEs">#REF!</definedName>
    <definedName name="Total_Increase_in_EEs_fore">#REF!</definedName>
    <definedName name="Total_Operating_Capital">#REF!</definedName>
    <definedName name="Total_other_assets">#REF!</definedName>
    <definedName name="Total_Rev">#REF!</definedName>
    <definedName name="Total_Rev_oldRevDetail">#REF!</definedName>
    <definedName name="Total_Rev_preMACR">#REF!</definedName>
    <definedName name="Total_Rev_RevDetail">#REF!</definedName>
    <definedName name="Total_Revenue">#REF!</definedName>
    <definedName name="total_revenues_pretelstra">#REF!</definedName>
    <definedName name="Total1995">SUM(#REF!)</definedName>
    <definedName name="TOTAL2003">SUM([0]!Quarters2003)</definedName>
    <definedName name="TOTAL2004">SUM([0]!Quarters2004)</definedName>
    <definedName name="TOTAL2005">SUM([0]!Quarters2005)</definedName>
    <definedName name="totala">#REF!</definedName>
    <definedName name="TOTALASP">#REF!</definedName>
    <definedName name="totalEBITDA2000">#REF!</definedName>
    <definedName name="totalEBITDA2001">#REF!</definedName>
    <definedName name="totalEBITDA2002">#REF!</definedName>
    <definedName name="totalEBITDA2003">#REF!</definedName>
    <definedName name="totalEBITDA2004">#REF!</definedName>
    <definedName name="totalEBITDA98">#REF!</definedName>
    <definedName name="totalEBITDA99">#REF!</definedName>
    <definedName name="totall">#REF!</definedName>
    <definedName name="TOTALREV">#REF!</definedName>
    <definedName name="TotalRev.">#REF!</definedName>
    <definedName name="totalrev2000">#REF!</definedName>
    <definedName name="totalrev2001">#REF!</definedName>
    <definedName name="totalrev2002">#REF!</definedName>
    <definedName name="totalrev2003">#REF!</definedName>
    <definedName name="totalrev2004">#REF!</definedName>
    <definedName name="totalrev2005">#REF!</definedName>
    <definedName name="totalrev98">#REF!</definedName>
    <definedName name="totalrev99">#REF!</definedName>
    <definedName name="TotalRevenue">#REF!</definedName>
    <definedName name="TotalShare">#REF!</definedName>
    <definedName name="TOTALSHIP.">#REF!</definedName>
    <definedName name="TotalSupplyChain">#REF!</definedName>
    <definedName name="totdebt">#REF!</definedName>
    <definedName name="totshares">#REF!</definedName>
    <definedName name="TotWeeklyStoreSales">#REF!</definedName>
    <definedName name="trailing_revs">#REF!</definedName>
    <definedName name="transpo_tax">#REF!</definedName>
    <definedName name="trc_CFPSGROWTH5YR">#REF!</definedName>
    <definedName name="trc_CFPSGRWPRV5YR">#REF!</definedName>
    <definedName name="trc_CurFY">#REF!</definedName>
    <definedName name="trc_DIVGROWTH5YR">#REF!</definedName>
    <definedName name="trc_DIVGRWPRV5YR">#REF!</definedName>
    <definedName name="trc_DocID">#REF!</definedName>
    <definedName name="trc_EBITDAGROWTH5YR">#REF!</definedName>
    <definedName name="trc_EBITDAGRWPRV5YR">#REF!</definedName>
    <definedName name="trc_EBITNXT5">#REF!</definedName>
    <definedName name="trc_EBITPRV5">#REF!</definedName>
    <definedName name="trc_EPSGRWPRV5YR">#REF!</definedName>
    <definedName name="trc_Flavor">#REF!</definedName>
    <definedName name="trc_NETGROWTH5YR">#REF!</definedName>
    <definedName name="trc_NETGRWPRV5YR">#REF!</definedName>
    <definedName name="trc_QDType">#REF!</definedName>
    <definedName name="trc_RATING">#REF!</definedName>
    <definedName name="trc_ReleaseDate">#REF!</definedName>
    <definedName name="trc_REVGROWTH5YR">#REF!</definedName>
    <definedName name="trc_REVGRWPRV5YR">#REF!</definedName>
    <definedName name="trc_RISK">#REF!</definedName>
    <definedName name="trc_SHARESOUT">#REF!</definedName>
    <definedName name="trc_SHROUTGROWTH5YR">#REF!</definedName>
    <definedName name="trc_SHROUTGRWPRV5YR">#REF!</definedName>
    <definedName name="trc_submitter">#REF!</definedName>
    <definedName name="trc_submittername">#REF!</definedName>
    <definedName name="trc_TARGET">#REF!</definedName>
    <definedName name="trc_TemplateID">#REF!</definedName>
    <definedName name="trc_TEV">#REF!</definedName>
    <definedName name="trc_Ticker">#REF!</definedName>
    <definedName name="trc_Version">#REF!</definedName>
    <definedName name="trc_XLS_DATASHEET_ProtectDate">36895.4265625</definedName>
    <definedName name="trc_Y1">#REF!</definedName>
    <definedName name="trc_Y1COMMONEQ">#REF!</definedName>
    <definedName name="trc_Y1DILSHR">#REF!</definedName>
    <definedName name="trc_Y1DPS">#REF!</definedName>
    <definedName name="trc_Y1EBIT">#REF!</definedName>
    <definedName name="trc_Y1EBITDA">#REF!</definedName>
    <definedName name="trc_Y1FREE_CFPS">#REF!</definedName>
    <definedName name="trc_Y1LTDEBT">#REF!</definedName>
    <definedName name="trc_Y1NETINC">#REF!</definedName>
    <definedName name="trc_Y1Q1">#REF!</definedName>
    <definedName name="trc_Y1Q2">#REF!</definedName>
    <definedName name="trc_Y1Q3">#REF!</definedName>
    <definedName name="trc_Y1Q4">#REF!</definedName>
    <definedName name="trc_Y1REVENUE">#REF!</definedName>
    <definedName name="trc_Y1ROE">#REF!</definedName>
    <definedName name="trc_Y1TAXRATE">#REF!</definedName>
    <definedName name="trc_Y1Total">#REF!</definedName>
    <definedName name="trc_Y2">#REF!</definedName>
    <definedName name="trc_Y2COMMONEQ">#REF!</definedName>
    <definedName name="trc_Y2DILSHR">#REF!</definedName>
    <definedName name="trc_Y2DPS">#REF!</definedName>
    <definedName name="trc_Y2EBIT">#REF!</definedName>
    <definedName name="trc_Y2EBITDA">#REF!</definedName>
    <definedName name="trc_Y2FREE_CFPS">#REF!</definedName>
    <definedName name="trc_Y2LTDEBT">#REF!</definedName>
    <definedName name="trc_Y2NETINC">#REF!</definedName>
    <definedName name="trc_Y2Q1">#REF!</definedName>
    <definedName name="trc_Y2Q2">#REF!</definedName>
    <definedName name="trc_Y2Q3">#REF!</definedName>
    <definedName name="trc_Y2Q4">#REF!</definedName>
    <definedName name="trc_Y2REVENUE">#REF!</definedName>
    <definedName name="trc_Y2ROE">#REF!</definedName>
    <definedName name="trc_Y2TAXRATE">#REF!</definedName>
    <definedName name="trc_Y2Total">#REF!</definedName>
    <definedName name="trc_Y3">#REF!</definedName>
    <definedName name="trc_Y3COMMONEQ">#REF!</definedName>
    <definedName name="trc_Y3DILSHR">#REF!</definedName>
    <definedName name="trc_Y3DPS">#REF!</definedName>
    <definedName name="trc_Y3EBIT">#REF!</definedName>
    <definedName name="trc_Y3EBITDA">#REF!</definedName>
    <definedName name="trc_Y3FREE_CFPS">#REF!</definedName>
    <definedName name="trc_Y3LTDEBT">#REF!</definedName>
    <definedName name="trc_Y3NETINC">#REF!</definedName>
    <definedName name="trc_Y3Q1">#REF!</definedName>
    <definedName name="trc_Y3Q2">#REF!</definedName>
    <definedName name="trc_Y3Q3">#REF!</definedName>
    <definedName name="trc_Y3Q4">#REF!</definedName>
    <definedName name="trc_Y3REVENUE">#REF!</definedName>
    <definedName name="trc_Y3ROE">#REF!</definedName>
    <definedName name="trc_Y3TAXRATE">#REF!</definedName>
    <definedName name="trc_Y3Total">#REF!</definedName>
    <definedName name="trc_Y4">#REF!</definedName>
    <definedName name="trc_Y4COMMONEQ">#REF!</definedName>
    <definedName name="trc_Y4DILSHR">#REF!</definedName>
    <definedName name="trc_Y4DPS">#REF!</definedName>
    <definedName name="trc_Y4EBIT">#REF!</definedName>
    <definedName name="trc_Y4EBITDA">#REF!</definedName>
    <definedName name="trc_Y4FREE_CFPS">#REF!</definedName>
    <definedName name="trc_Y4LTDEBT">#REF!</definedName>
    <definedName name="trc_Y4NETINC">#REF!</definedName>
    <definedName name="trc_Y4Q1">#REF!</definedName>
    <definedName name="trc_Y4Q2">#REF!</definedName>
    <definedName name="trc_Y4Q3">#REF!</definedName>
    <definedName name="trc_Y4Q4">#REF!</definedName>
    <definedName name="trc_Y4REVENUE">#REF!</definedName>
    <definedName name="trc_Y4ROE">#REF!</definedName>
    <definedName name="trc_Y4TAXRATE">#REF!</definedName>
    <definedName name="trc_Y4Total">#REF!</definedName>
    <definedName name="TRES_1yrEPS">#REF!</definedName>
    <definedName name="TRES_2yrEPS">#REF!</definedName>
    <definedName name="TRES_52HIGH">#REF!</definedName>
    <definedName name="TRES_5YRGROWTH">#REF!</definedName>
    <definedName name="TRES_ASSET">#REF!</definedName>
    <definedName name="TRES_DEBT">#REF!</definedName>
    <definedName name="TRES_DIV">#REF!</definedName>
    <definedName name="TRES_INTANGIBLE">#REF!</definedName>
    <definedName name="TRES_LTMCAPEX">#REF!</definedName>
    <definedName name="TRES_LTMEBIT">#REF!</definedName>
    <definedName name="TRES_LTMEBITDA">#REF!</definedName>
    <definedName name="TRES_LTMINT">#REF!</definedName>
    <definedName name="TRES_LTMNI">#REF!</definedName>
    <definedName name="TRES_LTMREV">#REF!</definedName>
    <definedName name="TRES_min">#REF!</definedName>
    <definedName name="TRES_name">#REF!</definedName>
    <definedName name="TRES_netdebt">#REF!</definedName>
    <definedName name="TRES_PRICE">#REF!</definedName>
    <definedName name="TRES_SE">#REF!</definedName>
    <definedName name="TRES_share">#REF!</definedName>
    <definedName name="TRES_ticker">#REF!</definedName>
    <definedName name="Triton">#REF!</definedName>
    <definedName name="TRIVOL">8</definedName>
    <definedName name="TTWO">#REF!</definedName>
    <definedName name="TURIU_1Q98">#REF!</definedName>
    <definedName name="TURL_1Q98">#REF!</definedName>
    <definedName name="TURL_2Q98">#REF!</definedName>
    <definedName name="Turn">#REF!</definedName>
    <definedName name="TV_Ad_market_share_98">#REF!</definedName>
    <definedName name="TV_ad_mkt_share00">#REF!</definedName>
    <definedName name="TV_Ad_Mkt_share99">#REF!</definedName>
    <definedName name="TV4_EBIT1997">#REF!</definedName>
    <definedName name="TV4_EBIT1998">#REF!</definedName>
    <definedName name="TV4_EBIT1999">#REF!</definedName>
    <definedName name="TV4_EBIT2000">#REF!</definedName>
    <definedName name="TV4_EBIT2001">#REF!</definedName>
    <definedName name="TV4_EBITDAAAPR1997">#REF!</definedName>
    <definedName name="TV4_EBITDAAAPR1998">#REF!</definedName>
    <definedName name="TV4_EBITDAAAPR1999">#REF!</definedName>
    <definedName name="TV4_EBITDAAAPR2000">#REF!</definedName>
    <definedName name="TV4_EBITDAAAPR2001">#REF!</definedName>
    <definedName name="TV4_NetDebt">#REF!</definedName>
    <definedName name="TV4_NetIncome1997">#REF!</definedName>
    <definedName name="TV4_NetIncome1998">#REF!</definedName>
    <definedName name="TV4_NetIncome1999">#REF!</definedName>
    <definedName name="TV4_NetIncome2000">#REF!</definedName>
    <definedName name="TV4_NetIncome2001">#REF!</definedName>
    <definedName name="TV4_NoShares">#REF!</definedName>
    <definedName name="TV4_Rev1997">#REF!</definedName>
    <definedName name="TV4_Rev1998">#REF!</definedName>
    <definedName name="TV4_Rev1999">#REF!</definedName>
    <definedName name="TV4_Rev2000">#REF!</definedName>
    <definedName name="TV4_Rev2001">#REF!</definedName>
    <definedName name="tvad00">#REF!</definedName>
    <definedName name="tvad01">#REF!</definedName>
    <definedName name="tvad02">#REF!</definedName>
    <definedName name="tvad03">#REF!</definedName>
    <definedName name="tvad04">#REF!</definedName>
    <definedName name="tvad05">#REF!</definedName>
    <definedName name="tvad96">#REF!</definedName>
    <definedName name="tvad97">#REF!</definedName>
    <definedName name="tvad98">#REF!</definedName>
    <definedName name="tvad99">#REF!</definedName>
    <definedName name="tvadgr00">#REF!</definedName>
    <definedName name="tvadgr01">#REF!</definedName>
    <definedName name="tvadgr02">#REF!</definedName>
    <definedName name="tvadgr03">#REF!</definedName>
    <definedName name="tvadgr04">#REF!</definedName>
    <definedName name="tvadgr94">#REF!</definedName>
    <definedName name="tvadgr95">#REF!</definedName>
    <definedName name="tvadgr96">#REF!</definedName>
    <definedName name="tvadgr97">#REF!</definedName>
    <definedName name="tvadgr98">#REF!</definedName>
    <definedName name="tvadgr99">#REF!</definedName>
    <definedName name="twaprice">#REF!</definedName>
    <definedName name="twashares">#REF!</definedName>
    <definedName name="twrxrato">#REF!</definedName>
    <definedName name="ualprice">#REF!</definedName>
    <definedName name="ualshares">#REF!</definedName>
    <definedName name="UMTShipPosToRank">#REF!</definedName>
    <definedName name="UMTVendorShipmentList">#REF!</definedName>
    <definedName name="UNE_churn">#REF!</definedName>
    <definedName name="UniqueRange_0">#REF!</definedName>
    <definedName name="UniqueRange_1">#REF!</definedName>
    <definedName name="UniqueRange_10">#REF!</definedName>
    <definedName name="UniqueRange_11">#REF!</definedName>
    <definedName name="UniqueRange_12">#REF!</definedName>
    <definedName name="UniqueRange_13">#REF!</definedName>
    <definedName name="UniqueRange_14">#REF!</definedName>
    <definedName name="UniqueRange_15">#REF!</definedName>
    <definedName name="UniqueRange_153">#REF!</definedName>
    <definedName name="UniqueRange_154">#REF!</definedName>
    <definedName name="UniqueRange_159">#REF!</definedName>
    <definedName name="UniqueRange_16">#REF!</definedName>
    <definedName name="UniqueRange_160">#REF!</definedName>
    <definedName name="UniqueRange_165">#REF!</definedName>
    <definedName name="UniqueRange_166">#REF!</definedName>
    <definedName name="UniqueRange_17">#REF!</definedName>
    <definedName name="UniqueRange_18">#REF!</definedName>
    <definedName name="UniqueRange_19">#REF!</definedName>
    <definedName name="UniqueRange_2">#REF!</definedName>
    <definedName name="UniqueRange_20">#REF!</definedName>
    <definedName name="UniqueRange_21">#REF!</definedName>
    <definedName name="UniqueRange_22">#REF!</definedName>
    <definedName name="UniqueRange_2229">#REF!</definedName>
    <definedName name="UniqueRange_2230">#REF!</definedName>
    <definedName name="UniqueRange_2231">#REF!</definedName>
    <definedName name="UniqueRange_2232">#REF!</definedName>
    <definedName name="UniqueRange_2233">#REF!</definedName>
    <definedName name="UniqueRange_2234">#REF!</definedName>
    <definedName name="UniqueRange_2235">#REF!</definedName>
    <definedName name="UniqueRange_2236">#REF!</definedName>
    <definedName name="UniqueRange_2237">#REF!</definedName>
    <definedName name="UniqueRange_2238">#REF!</definedName>
    <definedName name="UniqueRange_2239">#REF!</definedName>
    <definedName name="UniqueRange_2240">#REF!</definedName>
    <definedName name="UniqueRange_2241">#REF!</definedName>
    <definedName name="UniqueRange_2242">#REF!</definedName>
    <definedName name="UniqueRange_2243">#REF!</definedName>
    <definedName name="UniqueRange_2244">#REF!</definedName>
    <definedName name="UniqueRange_2245">#REF!</definedName>
    <definedName name="UniqueRange_2246">#REF!</definedName>
    <definedName name="UniqueRange_2247">#REF!</definedName>
    <definedName name="UniqueRange_2248">#REF!</definedName>
    <definedName name="UniqueRange_2249">#REF!</definedName>
    <definedName name="UniqueRange_2250">#REF!</definedName>
    <definedName name="UniqueRange_2251">#REF!</definedName>
    <definedName name="UniqueRange_2252">#REF!</definedName>
    <definedName name="UniqueRange_2253">#REF!</definedName>
    <definedName name="UniqueRange_2254">#REF!</definedName>
    <definedName name="UniqueRange_2255">#REF!</definedName>
    <definedName name="UniqueRange_2256">#REF!</definedName>
    <definedName name="UniqueRange_2257">#REF!</definedName>
    <definedName name="UniqueRange_2258">#REF!</definedName>
    <definedName name="UniqueRange_2259">#REF!</definedName>
    <definedName name="UniqueRange_2260">#REF!</definedName>
    <definedName name="UniqueRange_2261">#REF!</definedName>
    <definedName name="UniqueRange_2262">#REF!</definedName>
    <definedName name="UniqueRange_2263">#REF!</definedName>
    <definedName name="UniqueRange_2264">#REF!</definedName>
    <definedName name="UniqueRange_2265">#REF!</definedName>
    <definedName name="UniqueRange_2266">#REF!</definedName>
    <definedName name="UniqueRange_2267">#REF!</definedName>
    <definedName name="UniqueRange_2268">#REF!</definedName>
    <definedName name="UniqueRange_2269">#REF!</definedName>
    <definedName name="UniqueRange_2270">#REF!</definedName>
    <definedName name="UniqueRange_2271">#REF!</definedName>
    <definedName name="UniqueRange_2272">#REF!</definedName>
    <definedName name="UniqueRange_2273">#REF!</definedName>
    <definedName name="UniqueRange_2274">#REF!</definedName>
    <definedName name="UniqueRange_2275">#REF!</definedName>
    <definedName name="UniqueRange_2276">#REF!</definedName>
    <definedName name="UniqueRange_2277">#REF!</definedName>
    <definedName name="UniqueRange_2278">#REF!</definedName>
    <definedName name="UniqueRange_2279">#REF!</definedName>
    <definedName name="UniqueRange_2280">#REF!</definedName>
    <definedName name="UniqueRange_2281">#REF!</definedName>
    <definedName name="UniqueRange_2282">#REF!</definedName>
    <definedName name="UniqueRange_2283">#REF!</definedName>
    <definedName name="UniqueRange_2284">#REF!</definedName>
    <definedName name="UniqueRange_2285">#REF!</definedName>
    <definedName name="UniqueRange_2286">#REF!</definedName>
    <definedName name="UniqueRange_2287">#REF!</definedName>
    <definedName name="UniqueRange_2288">#REF!</definedName>
    <definedName name="UniqueRange_2289">#REF!</definedName>
    <definedName name="UniqueRange_2290">#REF!</definedName>
    <definedName name="UniqueRange_2291">#REF!</definedName>
    <definedName name="UniqueRange_2292">#REF!</definedName>
    <definedName name="UniqueRange_2293">#REF!</definedName>
    <definedName name="UniqueRange_2294">#REF!</definedName>
    <definedName name="UniqueRange_2295">#REF!</definedName>
    <definedName name="UniqueRange_2296">#REF!</definedName>
    <definedName name="UniqueRange_2297">#REF!</definedName>
    <definedName name="UniqueRange_2298">#REF!</definedName>
    <definedName name="UniqueRange_2299">#REF!</definedName>
    <definedName name="UniqueRange_23">#REF!</definedName>
    <definedName name="UniqueRange_2300">#REF!</definedName>
    <definedName name="UniqueRange_2301">#REF!</definedName>
    <definedName name="UniqueRange_2302">#REF!</definedName>
    <definedName name="UniqueRange_2303">#REF!</definedName>
    <definedName name="UniqueRange_2304">#REF!</definedName>
    <definedName name="UniqueRange_2305">#REF!</definedName>
    <definedName name="UniqueRange_2306">#REF!</definedName>
    <definedName name="UniqueRange_2307">#REF!</definedName>
    <definedName name="UniqueRange_2308">#REF!</definedName>
    <definedName name="UniqueRange_2309">#REF!</definedName>
    <definedName name="UniqueRange_2310">#REF!</definedName>
    <definedName name="UniqueRange_2311">#REF!</definedName>
    <definedName name="UniqueRange_2312">#REF!</definedName>
    <definedName name="UniqueRange_2313">#REF!</definedName>
    <definedName name="UniqueRange_2314">#REF!</definedName>
    <definedName name="UniqueRange_2315">#REF!</definedName>
    <definedName name="UniqueRange_2316">#REF!</definedName>
    <definedName name="UniqueRange_2317">#REF!</definedName>
    <definedName name="UniqueRange_2318">#REF!</definedName>
    <definedName name="UniqueRange_2319">#REF!</definedName>
    <definedName name="UniqueRange_2320">#REF!</definedName>
    <definedName name="UniqueRange_2321">#REF!</definedName>
    <definedName name="UniqueRange_24">#REF!</definedName>
    <definedName name="UniqueRange_25">#REF!</definedName>
    <definedName name="UniqueRange_26">#REF!</definedName>
    <definedName name="UniqueRange_27">#REF!</definedName>
    <definedName name="UniqueRange_28">#REF!</definedName>
    <definedName name="UniqueRange_29">#REF!</definedName>
    <definedName name="UniqueRange_3">#REF!</definedName>
    <definedName name="UniqueRange_30">#REF!</definedName>
    <definedName name="UniqueRange_31">#REF!</definedName>
    <definedName name="UniqueRange_32">#REF!</definedName>
    <definedName name="UniqueRange_33">#REF!</definedName>
    <definedName name="UniqueRange_34">#REF!</definedName>
    <definedName name="UniqueRange_35">#REF!</definedName>
    <definedName name="UniqueRange_36">#REF!</definedName>
    <definedName name="UniqueRange_367">#REF!</definedName>
    <definedName name="UniqueRange_368">#REF!</definedName>
    <definedName name="UniqueRange_37">#REF!</definedName>
    <definedName name="UniqueRange_38">#REF!</definedName>
    <definedName name="UniqueRange_39">#REF!</definedName>
    <definedName name="UniqueRange_392">#REF!</definedName>
    <definedName name="UniqueRange_393">#REF!</definedName>
    <definedName name="UniqueRange_394">#REF!</definedName>
    <definedName name="UniqueRange_395">#REF!</definedName>
    <definedName name="UniqueRange_396">#REF!</definedName>
    <definedName name="UniqueRange_397">#REF!</definedName>
    <definedName name="UniqueRange_398">#REF!</definedName>
    <definedName name="UniqueRange_399">#REF!</definedName>
    <definedName name="UniqueRange_4">#REF!</definedName>
    <definedName name="UniqueRange_40">#REF!</definedName>
    <definedName name="UniqueRange_400">#REF!</definedName>
    <definedName name="UniqueRange_401">#REF!</definedName>
    <definedName name="UniqueRange_402">#REF!</definedName>
    <definedName name="UniqueRange_403">#REF!</definedName>
    <definedName name="UniqueRange_41">#REF!</definedName>
    <definedName name="UniqueRange_42">#REF!</definedName>
    <definedName name="UniqueRange_43">#REF!</definedName>
    <definedName name="UniqueRange_44">#REF!</definedName>
    <definedName name="UniqueRange_45">#REF!</definedName>
    <definedName name="UniqueRange_46">#REF!</definedName>
    <definedName name="UniqueRange_47">#REF!</definedName>
    <definedName name="UniqueRange_48">#REF!</definedName>
    <definedName name="UniqueRange_485">#REF!</definedName>
    <definedName name="UniqueRange_49">#REF!</definedName>
    <definedName name="UniqueRange_5">#REF!</definedName>
    <definedName name="UniqueRange_50">#REF!</definedName>
    <definedName name="UniqueRange_51">#REF!</definedName>
    <definedName name="UniqueRange_52">#REF!</definedName>
    <definedName name="UniqueRange_53">#REF!</definedName>
    <definedName name="UniqueRange_54">#REF!</definedName>
    <definedName name="UniqueRange_55">#REF!</definedName>
    <definedName name="UniqueRange_6">#REF!</definedName>
    <definedName name="UniqueRange_7">#REF!</definedName>
    <definedName name="UniqueRange_8">#REF!</definedName>
    <definedName name="UniqueRange_9">#REF!</definedName>
    <definedName name="unitcost">#REF!</definedName>
    <definedName name="UnitPricing">#REF!</definedName>
    <definedName name="unitrev">#REF!</definedName>
    <definedName name="Units">#REF!</definedName>
    <definedName name="UnitsASPs">#REF!</definedName>
    <definedName name="UNIVERSE2">#REF!</definedName>
    <definedName name="update_date">#REF!</definedName>
    <definedName name="update_id">#REF!</definedName>
    <definedName name="UpdatePeriod">#REF!</definedName>
    <definedName name="UpdatePeriodMOYR">#REF!</definedName>
    <definedName name="upper_left1">#REF!</definedName>
    <definedName name="upper_left2">#REF!</definedName>
    <definedName name="uprice">#REF!</definedName>
    <definedName name="us_gaap_eps_used_flag">#REF!</definedName>
    <definedName name="UseMidPoint">#REF!</definedName>
    <definedName name="usffr">#REF!</definedName>
    <definedName name="USFX">#REF!</definedName>
    <definedName name="ushares">#REF!</definedName>
    <definedName name="usitl">#REF!</definedName>
    <definedName name="USLD_1yrEPS">#REF!</definedName>
    <definedName name="USLD_2yrEPS">#REF!</definedName>
    <definedName name="USLD_52high">#REF!</definedName>
    <definedName name="USLD_5YRGROWTH">#REF!</definedName>
    <definedName name="USLD_95EBIT">#REF!</definedName>
    <definedName name="USLD_95EBITDA">#REF!</definedName>
    <definedName name="USLD_96EPS">#REF!</definedName>
    <definedName name="USLD_97EPS">#REF!</definedName>
    <definedName name="USLD_98EPS">#REF!</definedName>
    <definedName name="USLD_ASSET">#REF!</definedName>
    <definedName name="USLD_DEBT">#REF!</definedName>
    <definedName name="USLD_DIV">#REF!</definedName>
    <definedName name="USLD_INTANGIBLE">#REF!</definedName>
    <definedName name="USLD_LTMCAPEX">#REF!</definedName>
    <definedName name="USLD_LTMEBIT">#REF!</definedName>
    <definedName name="USLD_LTMEBITDA">#REF!</definedName>
    <definedName name="USLD_LTMINT">#REF!</definedName>
    <definedName name="USLD_LTMNI">#REF!</definedName>
    <definedName name="USLD_LTMREV">#REF!</definedName>
    <definedName name="USLD_LTMSGA">#REF!</definedName>
    <definedName name="usld_min">#REF!</definedName>
    <definedName name="USLD_name">#REF!</definedName>
    <definedName name="USLD_netdebt">#REF!</definedName>
    <definedName name="USLD_price">#REF!</definedName>
    <definedName name="USLD_SE">#REF!</definedName>
    <definedName name="USLD_share">#REF!</definedName>
    <definedName name="USLD_ticker">#REF!</definedName>
    <definedName name="USW_1yrEPS">#REF!</definedName>
    <definedName name="USW_2yrEPS">#REF!</definedName>
    <definedName name="USW_52high">#REF!</definedName>
    <definedName name="USW_5YRGROWTH">#REF!</definedName>
    <definedName name="USW_96EPS">#REF!</definedName>
    <definedName name="USW_97EPS">#REF!</definedName>
    <definedName name="USW_98EPS">#REF!</definedName>
    <definedName name="USW_LTMSGA">#REF!</definedName>
    <definedName name="USW_price">#REF!</definedName>
    <definedName name="v" hidden="1">{"IS",#N/A,FALSE,"IS";"RPTIS",#N/A,FALSE,"RPTIS";"STATS",#N/A,FALSE,"STATS";"CELL",#N/A,FALSE,"CELL";"BS",#N/A,FALSE,"BS"}</definedName>
    <definedName name="V_ALL_ACN">#REF!</definedName>
    <definedName name="V_ALL_ADI">#REF!</definedName>
    <definedName name="V_ALL_ADI_">#REF!</definedName>
    <definedName name="V_ALL_ALTR">#REF!</definedName>
    <definedName name="V_ALL_AMAT">#REF!</definedName>
    <definedName name="V_ALL_AMAT_">#REF!</definedName>
    <definedName name="V_ALL_AMD">#REF!</definedName>
    <definedName name="V_ALL_AMD_">#REF!</definedName>
    <definedName name="V_ALL_AMT">#REF!</definedName>
    <definedName name="V_ALL_APH">#REF!</definedName>
    <definedName name="V_ALL_APXT">#REF!</definedName>
    <definedName name="V_ALL_ARM">#REF!</definedName>
    <definedName name="V_ALL_ARW">#REF!</definedName>
    <definedName name="V_ALL_ARW_">#REF!</definedName>
    <definedName name="V_ALL_ARX">#REF!</definedName>
    <definedName name="V_ALL_AVGO">#REF!</definedName>
    <definedName name="V_ALL_AVGO_">#REF!</definedName>
    <definedName name="V_ALL_BCE">#REF!</definedName>
    <definedName name="V_ALL_BRCM">#REF!</definedName>
    <definedName name="V_ALL_BRCM_">#REF!</definedName>
    <definedName name="V_ALL_BSY">#REF!</definedName>
    <definedName name="V_ALL_CCI">#REF!</definedName>
    <definedName name="V_ALL_CDNS">#REF!</definedName>
    <definedName name="V_ALL_CFG">#REF!</definedName>
    <definedName name="V_ALL_CHTR">#REF!</definedName>
    <definedName name="V_ALL_CMCSA">#REF!</definedName>
    <definedName name="V_ALL_CRWD">#REF!</definedName>
    <definedName name="V_ALL_CTL">#REF!</definedName>
    <definedName name="V_ALL_CTL_">#REF!</definedName>
    <definedName name="V_ALL_CTSH">#REF!</definedName>
    <definedName name="V_ALL_CYBR">#REF!</definedName>
    <definedName name="V_ALL_DBX">#REF!</definedName>
    <definedName name="V_ALL_DIS">#REF!</definedName>
    <definedName name="V_ALL_DTV">#REF!</definedName>
    <definedName name="V_ALL_DWRE">#REF!</definedName>
    <definedName name="V_ALL_ENTG">#REF!</definedName>
    <definedName name="V_ALL_EPAM">#REF!</definedName>
    <definedName name="V_ALL_EQIX">#REF!</definedName>
    <definedName name="V_ALL_FSL">#REF!</definedName>
    <definedName name="V_ALL_FTRCQ">#REF!</definedName>
    <definedName name="V_ALL_FYBR">#REF!</definedName>
    <definedName name="V_ALL_GLOB">#REF!</definedName>
    <definedName name="V_ALL_IBM">#REF!</definedName>
    <definedName name="V_ALL_INTC">#REF!</definedName>
    <definedName name="V_ALL_INTC_">#REF!</definedName>
    <definedName name="V_ALL_INTU" localSheetId="3">#REF!</definedName>
    <definedName name="V_ALL_INTU">#REF!</definedName>
    <definedName name="V_ALL_INTU_" localSheetId="3">#REF!</definedName>
    <definedName name="V_ALL_INTU_">#REF!</definedName>
    <definedName name="V_ALL_JBL">#REF!</definedName>
    <definedName name="V_ALL_KEYWORDS_TYPE_Breakdown_EQTY_200001646">#REF!</definedName>
    <definedName name="V_ALL_KEYWORDS_TYPE_Breakdown_EQTY_200004419">#REF!</definedName>
    <definedName name="V_ALL_KEYWORDS_TYPE_ScalarContributed_EQTY_200000304">#REF!,#REF!,#REF!,#REF!</definedName>
    <definedName name="V_ALL_KEYWORDS_TYPE_ScalarContributed_EQTY_200000813">#REF!,#REF!,#REF!,#REF!,#REF!</definedName>
    <definedName name="V_ALL_KEYWORDS_TYPE_ScalarContributed_EQTY_200001265">#REF!,#REF!,#REF!,#REF!</definedName>
    <definedName name="V_ALL_KEYWORDS_TYPE_ScalarContributed_EQTY_200001320">#REF!,#REF!,#REF!,#REF!</definedName>
    <definedName name="V_ALL_KEYWORDS_TYPE_ScalarContributed_EQTY_200001330">#REF!,#REF!,#REF!,#REF!</definedName>
    <definedName name="V_ALL_KEYWORDS_TYPE_ScalarContributed_EQTY_200001353">#REF!,#REF!</definedName>
    <definedName name="V_ALL_KEYWORDS_TYPE_ScalarContributed_EQTY_200001371">#REF!,#REF!</definedName>
    <definedName name="V_ALL_KEYWORDS_TYPE_ScalarContributed_EQTY_200001381">#REF!,#REF!,#REF!,#REF!,#REF!</definedName>
    <definedName name="V_ALL_KEYWORDS_TYPE_ScalarContributed_EQTY_200001646">#REF!,#REF!,#REF!,#REF!</definedName>
    <definedName name="V_ALL_KEYWORDS_TYPE_ScalarContributed_EQTY_200002283">#REF!,#REF!,#REF!,#REF!,#REF!</definedName>
    <definedName name="V_ALL_KEYWORDS_TYPE_ScalarContributed_EQTY_200002309">#REF!,#REF!,#REF!,#REF!,#REF!</definedName>
    <definedName name="V_ALL_KEYWORDS_TYPE_ScalarContributed_EQTY_200002831">#REF!,#REF!,#REF!,#REF!,#REF!</definedName>
    <definedName name="V_ALL_KEYWORDS_TYPE_ScalarContributed_EQTY_200002833">#REF!,#REF!,#REF!,#REF!</definedName>
    <definedName name="V_ALL_KEYWORDS_TYPE_ScalarContributed_EQTY_200003036">#REF!,#REF!,#REF!,#REF!,#REF!</definedName>
    <definedName name="V_ALL_KEYWORDS_TYPE_ScalarContributed_EQTY_200003037">#REF!,#REF!,#REF!,#REF!</definedName>
    <definedName name="V_ALL_KEYWORDS_TYPE_ScalarContributed_EQTY_200003892">#REF!,#REF!,#REF!,#REF!</definedName>
    <definedName name="V_ALL_KEYWORDS_TYPE_ScalarContributed_EQTY_200004230">#REF!,#REF!,#REF!,#REF!,#REF!</definedName>
    <definedName name="V_ALL_KEYWORDS_TYPE_ScalarContributed_EQTY_200004419">#REF!,#REF!,#REF!,#REF!</definedName>
    <definedName name="V_ALL_KEYWORDS_TYPE_ScalarContributed_EQTY_200004906">#REF!,#REF!,#REF!,#REF!,#REF!</definedName>
    <definedName name="V_ALL_KEYWORDS_TYPE_ScalarContributed_EQTY_200005326">#REF!,#REF!,#REF!,#REF!,#REF!</definedName>
    <definedName name="V_ALL_KEYWORDS_TYPE_ScalarContributed_EQTY_200005490">#REF!,#REF!,#REF!,#REF!,#REF!</definedName>
    <definedName name="V_ALL_KEYWORDS_TYPE_ScalarContributed_EQTY_200005674">#REF!,#REF!,#REF!,#REF!,#REF!</definedName>
    <definedName name="V_ALL_KEYWORDS_TYPE_ScalarContributed_EQTY_200005722">#REF!,#REF!,#REF!,#REF!,#REF!</definedName>
    <definedName name="V_ALL_KEYWORDS_TYPE_ScalarContributed_EQTY_200006232">#REF!,#REF!,#REF!,#REF!</definedName>
    <definedName name="V_ALL_KEYWORDS_TYPE_ScalarContributed_EQTY_200006333">#REF!,#REF!,#REF!,#REF!</definedName>
    <definedName name="V_ALL_KEYWORDS_TYPE_ScalarContributed_EQTY_200006384">#REF!,#REF!,#REF!,#REF!,#REF!</definedName>
    <definedName name="V_ALL_KEYWORDS_TYPE_ScalarContributed_EQTY_200007794">#REF!,#REF!,#REF!,#REF!,#REF!</definedName>
    <definedName name="V_ALL_KEYWORDS_TYPE_ScalarContributed_EQTY_200009556">#REF!,#REF!,#REF!,#REF!</definedName>
    <definedName name="V_ALL_KEYWORDS_TYPE_ScalarContributed_EQTY_200009677">#REF!,#REF!,#REF!,#REF!,#REF!</definedName>
    <definedName name="V_ALL_KEYWORDS_TYPE_ScalarContributed_EQTY_200010313">#REF!,#REF!,#REF!,#REF!</definedName>
    <definedName name="V_ALL_KEYWORDS_TYPE_ScalarContributed_EQTY_200011598">#REF!,#REF!,#REF!,#REF!,#REF!</definedName>
    <definedName name="V_ALL_KEYWORDS_TYPE_ScalarContributed_EQTY_200012393">#REF!,#REF!,#REF!,#REF!,#REF!</definedName>
    <definedName name="V_ALL_KEYWORDS_TYPE_ScalarContributed_EQTY_200012762">#REF!,#REF!,#REF!,#REF!</definedName>
    <definedName name="V_ALL_KEYWORDS_TYPE_ScalarContributed_EQTY_200014300">#REF!,#REF!,#REF!,#REF!</definedName>
    <definedName name="V_ALL_KEYWORDS_TYPE_ScalarContributed_EQTY_200014367">#REF!,#REF!,#REF!,#REF!,#REF!</definedName>
    <definedName name="V_ALL_KEYWORDS_TYPE_ScalarContributed_EQTY_200014493">#REF!,#REF!,#REF!,#REF!</definedName>
    <definedName name="V_ALL_KEYWORDS_TYPE_ScalarContributed_EQTY_200014750">#REF!,#REF!,#REF!,#REF!,#REF!</definedName>
    <definedName name="V_ALL_KEYWORDS_TYPE_ScalarContributed_EQTY_200015107">#REF!,#REF!,#REF!,#REF!</definedName>
    <definedName name="V_ALL_KEYWORDS_TYPE_ScalarContributed_EQTY_200015716">#REF!,#REF!,#REF!,#REF!</definedName>
    <definedName name="V_ALL_KEYWORDS_TYPE_ScalarContributed_EQTY_200015757">#REF!,#REF!,#REF!,#REF!</definedName>
    <definedName name="V_ALL_KEYWORDS_TYPE_ScalarContributed_EQTY_200016026">#REF!,#REF!,#REF!,#REF!</definedName>
    <definedName name="V_ALL_KEYWORDS_TYPE_ScalarContributed_EQTY_200017745">#REF!,#REF!,#REF!,#REF!,#REF!</definedName>
    <definedName name="V_ALL_KEYWORDS_TYPE_ScalarContributed_EQTY_200019587">#REF!,#REF!,#REF!,#REF!</definedName>
    <definedName name="V_ALL_KEYWORDS_TYPE_ScalarContributed_EQTY_200019588">#REF!,#REF!,#REF!,#REF!</definedName>
    <definedName name="V_ALL_KEYWORDS_TYPE_ScalarContributed_EQTY_200021484">#REF!,#REF!,#REF!,#REF!,#REF!</definedName>
    <definedName name="V_ALL_KEYWORDS_TYPE_ScalarContributed_ISSR_208000027">#REF!,#REF!</definedName>
    <definedName name="V_ALL_KEYWORDS_TYPE_ScalarContributed_ISSR_208000156">#REF!,#REF!</definedName>
    <definedName name="V_ALL_KEYWORDS_TYPE_ScalarContributed_ISSR_208000430">#REF!,#REF!,#REF!,#REF!,#REF!,#REF!,#REF!,#REF!,#REF!,#REF!,#REF!</definedName>
    <definedName name="V_ALL_KEYWORDS_TYPE_ScalarContributed_ISSR_208000435">#REF!,#REF!</definedName>
    <definedName name="V_ALL_KEYWORDS_TYPE_ScalarContributed_ISSR_208000468">#REF!,#REF!</definedName>
    <definedName name="V_ALL_KEYWORDS_TYPE_ScalarContributed_ISSR_208000603">#REF!</definedName>
    <definedName name="V_ALL_KEYWORDS_TYPE_ScalarContributed_ISSR_208000826">#REF!,#REF!,#REF!</definedName>
    <definedName name="V_ALL_KEYWORDS_TYPE_ScalarContributed_ISSR_208000827">#REF!,#REF!,#REF!</definedName>
    <definedName name="V_ALL_KEYWORDS_TYPE_ScalarContributed_ISSR_208000836">#REF!,#REF!,#REF!</definedName>
    <definedName name="V_ALL_KEYWORDS_TYPE_ScalarContributed_ISSR_208000976">#REF!,#REF!</definedName>
    <definedName name="V_ALL_KEYWORDS_TYPE_ScalarContributed_ISSR_208000977">#REF!,#REF!</definedName>
    <definedName name="V_ALL_KEYWORDS_TYPE_ScalarContributed_ISSR_208001048">#REF!,#REF!</definedName>
    <definedName name="V_ALL_KEYWORDS_TYPE_ScalarContributed_ISSR_208001204">#REF!,#REF!,#REF!</definedName>
    <definedName name="V_ALL_KEYWORDS_TYPE_ScalarContributed_ISSR_208001258">#REF!</definedName>
    <definedName name="V_ALL_KEYWORDS_TYPE_ScalarContributed_ISSR_208001370">#REF!,#REF!</definedName>
    <definedName name="V_ALL_KEYWORDS_TYPE_ScalarContributed_ISSR_208001515">#REF!,#REF!</definedName>
    <definedName name="V_ALL_KEYWORDS_TYPE_ScalarContributed_ISSR_208001562">#REF!,#REF!,#REF!</definedName>
    <definedName name="V_ALL_KEYWORDS_TYPE_ScalarContributed_ISSR_208001627">#REF!,#REF!,#REF!</definedName>
    <definedName name="V_ALL_KEYWORDS_TYPE_ScalarContributed_ISSR_208001640">#REF!,#REF!</definedName>
    <definedName name="V_ALL_KEYWORDS_TYPE_ScalarContributed_ISSR_208001765">#REF!,#REF!,#REF!</definedName>
    <definedName name="V_ALL_KEYWORDS_TYPE_ScalarContributed_ISSR_208001785">#REF!,#REF!</definedName>
    <definedName name="V_ALL_KEYWORDS_TYPE_ScalarContributed_ISSR_208002651">#REF!,#REF!</definedName>
    <definedName name="V_ALL_KEYWORDS_TYPE_ScalarContributed_ISSR_208005795">#REF!,#REF!</definedName>
    <definedName name="V_ALL_KEYWORDS_TYPE_ScalarContributed_ISSR_208007986">#REF!,#REF!,#REF!</definedName>
    <definedName name="V_ALL_KEYWORDS_TYPE_ScalarContributed_ISSR_208008030">#REF!,#REF!,#REF!</definedName>
    <definedName name="V_ALL_KEYWORDS_TYPE_ScalarContributed_ISSR_208008836">#REF!,#REF!</definedName>
    <definedName name="V_ALL_KEYWORDS_TYPE_ScalarContributed_ISSR_208009377">#REF!,#REF!</definedName>
    <definedName name="V_ALL_KEYWORDS_TYPE_ScalarContributed_ISSR_208009722">#REF!</definedName>
    <definedName name="V_ALL_KEYWORDS_TYPE_ScalarContributed_ISSR_208011028">#REF!,#REF!,#REF!</definedName>
    <definedName name="V_ALL_KEYWORDS_TYPE_ScalarContributed_ISSR_208011556">#REF!,#REF!</definedName>
    <definedName name="V_ALL_KEYWORDS_TYPE_ScalarContributed_ISSR_208011888">#REF!,#REF!,#REF!,#REF!,#REF!,#REF!,#REF!,#REF!,#REF!,#REF!,#REF!</definedName>
    <definedName name="V_ALL_KEYWORDS_TYPE_ScalarContributed_ISSR_208012959">#REF!,#REF!,#REF!</definedName>
    <definedName name="V_ALL_KEYWORDS_TYPE_ScalarContributed_ISSR_208015351">#REF!,#REF!</definedName>
    <definedName name="V_ALL_KEYWORDS_TYPE_ScalarContributed_ISSR_208018132">#REF!,#REF!,#REF!</definedName>
    <definedName name="V_ALL_KEYWORDS_TYPE_ScalarContributed_ISSR_208018133">#REF!,#REF!,#REF!,#REF!,#REF!,#REF!,#REF!,#REF!,#REF!,#REF!,#REF!,#REF!</definedName>
    <definedName name="V_ALL_KEYWORDS_TYPE_ScalarContributed_ISSR_208018253">#REF!,#REF!,#REF!</definedName>
    <definedName name="V_ALL_KEYWORDS_TYPE_ScalarContributed_ISSR_208020566">#REF!,#REF!,#REF!</definedName>
    <definedName name="V_ALL_KEYWORDS_TYPE_ScalarContributed_ISSR_208020919">#REF!,#REF!,#REF!</definedName>
    <definedName name="V_ALL_KEYWORDS_TYPE_ScalarReference_EQTY_200001646">#REF!</definedName>
    <definedName name="V_ALL_KEYWORDS_TYPE_ScalarReference_EQTY_200004419">#REF!</definedName>
    <definedName name="V_ALL_KEYWORDS_TYPE_ScalarReference_EQTY_200012762">#REF!</definedName>
    <definedName name="V_ALL_KEYWORDS_TYPE_ScalarReference_ISSR_208000603">#REF!</definedName>
    <definedName name="V_ALL_KEYWORDS_TYPE_ScalarReference_ISSR_208001258">#REF!</definedName>
    <definedName name="V_ALL_KEYWORDS_TYPE_ScalarReference_ISSR_208009722">#REF!</definedName>
    <definedName name="V_ALL_KEYWORDS_TYPE_Vector_EQTY_200000304">#REF!,#REF!,#REF!,#REF!,#REF!,#REF!,#REF!</definedName>
    <definedName name="V_ALL_KEYWORDS_TYPE_Vector_EQTY_200000813">#REF!,#REF!,#REF!,#REF!,#REF!,#REF!,#REF!</definedName>
    <definedName name="V_ALL_KEYWORDS_TYPE_Vector_EQTY_200001265">#REF!,#REF!,#REF!,#REF!,#REF!,#REF!,#REF!</definedName>
    <definedName name="V_ALL_KEYWORDS_TYPE_Vector_EQTY_200001320">#REF!,#REF!,#REF!,#REF!,#REF!,#REF!,#REF!</definedName>
    <definedName name="V_ALL_KEYWORDS_TYPE_Vector_EQTY_200001330">#REF!,#REF!,#REF!,#REF!,#REF!,#REF!,#REF!</definedName>
    <definedName name="V_ALL_KEYWORDS_TYPE_Vector_EQTY_200001353">#REF!,#REF!,#REF!,#REF!,#REF!</definedName>
    <definedName name="V_ALL_KEYWORDS_TYPE_Vector_EQTY_200001371">#REF!,#REF!,#REF!,#REF!,#REF!</definedName>
    <definedName name="V_ALL_KEYWORDS_TYPE_Vector_EQTY_200001381">#REF!,#REF!,#REF!,#REF!,#REF!,#REF!,#REF!</definedName>
    <definedName name="V_ALL_KEYWORDS_TYPE_Vector_EQTY_200001646">#REF!,#REF!,#REF!,#REF!,#REF!,#REF!,#REF!,#REF!</definedName>
    <definedName name="V_ALL_KEYWORDS_TYPE_Vector_EQTY_200002282">#REF!,#REF!,#REF!,#REF!,#REF!,#REF!,#REF!,#REF!</definedName>
    <definedName name="V_ALL_KEYWORDS_TYPE_Vector_EQTY_200002283">#REF!,#REF!,#REF!,#REF!,#REF!,#REF!,#REF!,#REF!</definedName>
    <definedName name="V_ALL_KEYWORDS_TYPE_Vector_EQTY_200002309">#REF!,#REF!,#REF!,#REF!,#REF!,#REF!,#REF!,#REF!</definedName>
    <definedName name="V_ALL_KEYWORDS_TYPE_Vector_EQTY_200002831">#REF!,#REF!,#REF!,#REF!,#REF!,#REF!,#REF!</definedName>
    <definedName name="V_ALL_KEYWORDS_TYPE_Vector_EQTY_200002833">#REF!,#REF!,#REF!,#REF!,#REF!,#REF!,#REF!</definedName>
    <definedName name="V_ALL_KEYWORDS_TYPE_Vector_EQTY_200003036">#REF!,#REF!,#REF!,#REF!,#REF!,#REF!,#REF!</definedName>
    <definedName name="V_ALL_KEYWORDS_TYPE_Vector_EQTY_200003037">#REF!,#REF!,#REF!,#REF!,#REF!,#REF!,#REF!</definedName>
    <definedName name="V_ALL_KEYWORDS_TYPE_Vector_EQTY_200003892">#REF!,#REF!,#REF!,#REF!,#REF!,#REF!,#REF!</definedName>
    <definedName name="V_ALL_KEYWORDS_TYPE_Vector_EQTY_200004230">#REF!,#REF!,#REF!,#REF!,#REF!,#REF!,#REF!,#REF!</definedName>
    <definedName name="V_ALL_KEYWORDS_TYPE_Vector_EQTY_200004419">#REF!,#REF!,#REF!,#REF!,#REF!,#REF!,#REF!</definedName>
    <definedName name="V_ALL_KEYWORDS_TYPE_Vector_EQTY_200004906">#REF!,#REF!,#REF!,#REF!,#REF!,#REF!,#REF!</definedName>
    <definedName name="V_ALL_KEYWORDS_TYPE_Vector_EQTY_200005184">#REF!,#REF!,#REF!,#REF!,#REF!,#REF!,#REF!</definedName>
    <definedName name="V_ALL_KEYWORDS_TYPE_Vector_EQTY_200005326">#REF!,#REF!,#REF!,#REF!,#REF!,#REF!,#REF!</definedName>
    <definedName name="V_ALL_KEYWORDS_TYPE_Vector_EQTY_200005490">#REF!,#REF!,#REF!,#REF!,#REF!,#REF!,#REF!,#REF!</definedName>
    <definedName name="V_ALL_KEYWORDS_TYPE_Vector_EQTY_200005722">#REF!,#REF!,#REF!,#REF!,#REF!,#REF!,#REF!</definedName>
    <definedName name="V_ALL_KEYWORDS_TYPE_Vector_EQTY_200006232">#REF!,#REF!,#REF!,#REF!,#REF!,#REF!,#REF!</definedName>
    <definedName name="V_ALL_KEYWORDS_TYPE_Vector_EQTY_200006333">#REF!,#REF!,#REF!,#REF!,#REF!,#REF!,#REF!,#REF!,#REF!</definedName>
    <definedName name="V_ALL_KEYWORDS_TYPE_Vector_EQTY_200006384">#REF!,#REF!,#REF!,#REF!,#REF!,#REF!,#REF!</definedName>
    <definedName name="V_ALL_KEYWORDS_TYPE_Vector_EQTY_200009556">#REF!,#REF!,#REF!,#REF!,#REF!,#REF!,#REF!</definedName>
    <definedName name="V_ALL_KEYWORDS_TYPE_Vector_EQTY_200010313">#REF!,#REF!,#REF!,#REF!,#REF!,#REF!,#REF!,#REF!</definedName>
    <definedName name="V_ALL_KEYWORDS_TYPE_Vector_EQTY_200011598">#REF!,#REF!,#REF!,#REF!,#REF!,#REF!,#REF!</definedName>
    <definedName name="V_ALL_KEYWORDS_TYPE_Vector_EQTY_200012393">#REF!,#REF!,#REF!,#REF!,#REF!,#REF!,#REF!</definedName>
    <definedName name="V_ALL_KEYWORDS_TYPE_Vector_EQTY_200012762">#REF!,#REF!,#REF!,#REF!,#REF!,#REF!,#REF!</definedName>
    <definedName name="V_ALL_KEYWORDS_TYPE_Vector_EQTY_200014300">#REF!,#REF!,#REF!,#REF!,#REF!,#REF!,#REF!</definedName>
    <definedName name="V_ALL_KEYWORDS_TYPE_Vector_EQTY_200014493">#REF!,#REF!,#REF!,#REF!,#REF!,#REF!,#REF!</definedName>
    <definedName name="V_ALL_KEYWORDS_TYPE_Vector_EQTY_200014750">#REF!,#REF!,#REF!,#REF!,#REF!,#REF!,#REF!</definedName>
    <definedName name="V_ALL_KEYWORDS_TYPE_Vector_EQTY_200015107">#REF!,#REF!,#REF!,#REF!,#REF!,#REF!,#REF!</definedName>
    <definedName name="V_ALL_KEYWORDS_TYPE_Vector_EQTY_200015716">#REF!,#REF!,#REF!,#REF!,#REF!,#REF!,#REF!</definedName>
    <definedName name="V_ALL_KEYWORDS_TYPE_Vector_EQTY_200015757">#REF!,#REF!,#REF!,#REF!,#REF!,#REF!,#REF!,#REF!</definedName>
    <definedName name="V_ALL_KEYWORDS_TYPE_Vector_EQTY_200016026">#REF!,#REF!,#REF!,#REF!,#REF!,#REF!,#REF!,#REF!</definedName>
    <definedName name="V_ALL_KEYWORDS_TYPE_Vector_EQTY_200017745">#REF!,#REF!,#REF!,#REF!,#REF!,#REF!,#REF!</definedName>
    <definedName name="V_ALL_KEYWORDS_TYPE_Vector_EQTY_200019588">#REF!,#REF!,#REF!,#REF!,#REF!,#REF!,#REF!</definedName>
    <definedName name="V_ALL_KEYWORDS_TYPE_Vector_EQTY_200021484">#REF!,#REF!,#REF!,#REF!,#REF!,#REF!,#REF!</definedName>
    <definedName name="V_ALL_KEYWORDS_TYPE_Vector_ISSR_208000027">#REF!,#REF!,#REF!,#REF!,#REF!,#REF!,#REF!,#REF!,#REF!,#REF!</definedName>
    <definedName name="V_ALL_KEYWORDS_TYPE_Vector_ISSR_208000156">#REF!,#REF!,#REF!,#REF!,#REF!,#REF!,#REF!,#REF!,#REF!,#REF!,#REF!,#REF!,#REF!</definedName>
    <definedName name="V_ALL_KEYWORDS_TYPE_Vector_ISSR_208000430">#REF!,#REF!,#REF!,#REF!,#REF!,#REF!,#REF!,#REF!,#REF!,#REF!,#REF!,#REF!,#REF!,#REF!</definedName>
    <definedName name="V_ALL_KEYWORDS_TYPE_Vector_ISSR_208000435">#REF!,#REF!,#REF!,#REF!,#REF!,#REF!,#REF!,#REF!,#REF!,#REF!</definedName>
    <definedName name="V_ALL_KEYWORDS_TYPE_Vector_ISSR_208000451">#REF!,#REF!,#REF!,#REF!,#REF!,#REF!,#REF!,#REF!,#REF!,#REF!,#REF!,#REF!,#REF!,#REF!,#REF!,#REF!,#REF!,#REF!,#REF!,#REF!,#REF!,#REF!,#REF!,#REF!,#REF!,#REF!</definedName>
    <definedName name="V_ALL_KEYWORDS_TYPE_Vector_ISSR_208000468">#REF!,#REF!,#REF!,#REF!,#REF!,#REF!,#REF!,#REF!,#REF!,#REF!,#REF!,#REF!,#REF!,#REF!</definedName>
    <definedName name="V_ALL_KEYWORDS_TYPE_Vector_ISSR_208000603">#REF!,#REF!,#REF!,#REF!,#REF!,#REF!,#REF!,#REF!,#REF!,#REF!</definedName>
    <definedName name="V_ALL_KEYWORDS_TYPE_Vector_ISSR_208000826">#REF!,#REF!,#REF!,#REF!,#REF!,#REF!,#REF!,#REF!,#REF!,#REF!,#REF!,#REF!,#REF!,#REF!,#REF!,#REF!</definedName>
    <definedName name="V_ALL_KEYWORDS_TYPE_Vector_ISSR_208000827">#REF!,#REF!,#REF!,#REF!,#REF!,#REF!,#REF!,#REF!,#REF!,#REF!,#REF!,#REF!,#REF!,#REF!,#REF!,#REF!</definedName>
    <definedName name="V_ALL_KEYWORDS_TYPE_Vector_ISSR_208000836">#REF!,#REF!,#REF!,#REF!,#REF!,#REF!,#REF!,#REF!,#REF!,#REF!,#REF!,#REF!,#REF!</definedName>
    <definedName name="V_ALL_KEYWORDS_TYPE_Vector_ISSR_208000976">#REF!,#REF!,#REF!,#REF!,#REF!,#REF!,#REF!,#REF!,#REF!,#REF!,#REF!,#REF!,#REF!</definedName>
    <definedName name="V_ALL_KEYWORDS_TYPE_Vector_ISSR_208000977">#REF!,#REF!,#REF!,#REF!,#REF!,#REF!,#REF!,#REF!,#REF!,#REF!,#REF!,#REF!,#REF!,#REF!,#REF!</definedName>
    <definedName name="V_ALL_KEYWORDS_TYPE_Vector_ISSR_208001018" localSheetId="3">#REF!,#REF!,#REF!,#REF!,#REF!,#REF!,#REF!,#REF!,#REF!,#REF!</definedName>
    <definedName name="V_ALL_KEYWORDS_TYPE_Vector_ISSR_208001018">#REF!,#REF!,#REF!,#REF!,#REF!,#REF!,#REF!,#REF!,#REF!,#REF!</definedName>
    <definedName name="V_ALL_KEYWORDS_TYPE_Vector_ISSR_208001048">#REF!,#REF!,#REF!,#REF!,#REF!,#REF!,#REF!,#REF!,#REF!,#REF!,#REF!,#REF!,#REF!,#REF!</definedName>
    <definedName name="V_ALL_KEYWORDS_TYPE_Vector_ISSR_208001049">#REF!,#REF!,#REF!,#REF!,#REF!,#REF!,#REF!,#REF!,#REF!,#REF!,#REF!,#REF!,#REF!,#REF!,#REF!</definedName>
    <definedName name="V_ALL_KEYWORDS_TYPE_Vector_ISSR_208001137">#REF!,#REF!,#REF!,#REF!,#REF!,#REF!,#REF!,#REF!,#REF!,#REF!,#REF!,#REF!,#REF!,#REF!,#REF!</definedName>
    <definedName name="V_ALL_KEYWORDS_TYPE_Vector_ISSR_208001204">#REF!,#REF!,#REF!,#REF!,#REF!,#REF!,#REF!,#REF!,#REF!,#REF!,#REF!,#REF!,#REF!,#REF!</definedName>
    <definedName name="V_ALL_KEYWORDS_TYPE_Vector_ISSR_208001217">#REF!,#REF!,#REF!,#REF!,#REF!,#REF!,#REF!,#REF!,#REF!,#REF!,#REF!,#REF!,#REF!,#REF!,#REF!</definedName>
    <definedName name="V_ALL_KEYWORDS_TYPE_Vector_ISSR_208001258">#REF!,#REF!,#REF!,#REF!,#REF!,#REF!,#REF!,#REF!,#REF!,#REF!,#REF!,#REF!,#REF!,#REF!,#REF!</definedName>
    <definedName name="V_ALL_KEYWORDS_TYPE_Vector_ISSR_208001370">#REF!,#REF!,#REF!,#REF!,#REF!,#REF!,#REF!,#REF!,#REF!,#REF!,#REF!,#REF!,#REF!</definedName>
    <definedName name="V_ALL_KEYWORDS_TYPE_Vector_ISSR_208001515">#REF!,#REF!,#REF!,#REF!,#REF!,#REF!,#REF!,#REF!,#REF!,#REF!,#REF!,#REF!</definedName>
    <definedName name="V_ALL_KEYWORDS_TYPE_Vector_ISSR_208001562">#REF!,#REF!,#REF!,#REF!,#REF!,#REF!,#REF!,#REF!,#REF!,#REF!,#REF!,#REF!,#REF!</definedName>
    <definedName name="V_ALL_KEYWORDS_TYPE_Vector_ISSR_208001627">#REF!,#REF!,#REF!,#REF!,#REF!,#REF!,#REF!,#REF!,#REF!,#REF!,#REF!,#REF!,#REF!</definedName>
    <definedName name="V_ALL_KEYWORDS_TYPE_Vector_ISSR_208001640">#REF!,#REF!,#REF!,#REF!,#REF!,#REF!,#REF!,#REF!,#REF!,#REF!,#REF!,#REF!,#REF!</definedName>
    <definedName name="V_ALL_KEYWORDS_TYPE_Vector_ISSR_208001765">#REF!,#REF!,#REF!,#REF!,#REF!,#REF!,#REF!,#REF!,#REF!,#REF!,#REF!,#REF!,#REF!,#REF!,#REF!</definedName>
    <definedName name="V_ALL_KEYWORDS_TYPE_Vector_ISSR_208001785">#REF!,#REF!,#REF!,#REF!,#REF!,#REF!,#REF!,#REF!,#REF!,#REF!,#REF!,#REF!,#REF!</definedName>
    <definedName name="V_ALL_KEYWORDS_TYPE_Vector_ISSR_208002651">#REF!,#REF!,#REF!,#REF!,#REF!,#REF!,#REF!,#REF!,#REF!,#REF!,#REF!,#REF!,#REF!</definedName>
    <definedName name="V_ALL_KEYWORDS_TYPE_Vector_ISSR_208005795">#REF!,#REF!,#REF!,#REF!,#REF!,#REF!,#REF!,#REF!,#REF!,#REF!</definedName>
    <definedName name="V_ALL_KEYWORDS_TYPE_Vector_ISSR_208007359">#REF!,#REF!,#REF!,#REF!,#REF!,#REF!,#REF!,#REF!,#REF!</definedName>
    <definedName name="V_ALL_KEYWORDS_TYPE_Vector_ISSR_208007452">#REF!,#REF!,#REF!,#REF!,#REF!,#REF!,#REF!,#REF!,#REF!,#REF!,#REF!,#REF!,#REF!,#REF!,#REF!,#REF!,#REF!,#REF!,#REF!,#REF!,#REF!,#REF!,#REF!,#REF!,#REF!</definedName>
    <definedName name="V_ALL_KEYWORDS_TYPE_Vector_ISSR_208007986">#REF!,#REF!,#REF!,#REF!,#REF!,#REF!,#REF!,#REF!,#REF!,#REF!,#REF!,#REF!,#REF!,#REF!,#REF!</definedName>
    <definedName name="V_ALL_KEYWORDS_TYPE_Vector_ISSR_208008030">#REF!,#REF!,#REF!,#REF!,#REF!,#REF!,#REF!,#REF!,#REF!,#REF!,#REF!,#REF!,#REF!,#REF!,#REF!,#REF!,#REF!,#REF!,#REF!,#REF!</definedName>
    <definedName name="V_ALL_KEYWORDS_TYPE_Vector_ISSR_208008836">#REF!,#REF!,#REF!,#REF!,#REF!,#REF!,#REF!,#REF!,#REF!,#REF!</definedName>
    <definedName name="V_ALL_KEYWORDS_TYPE_Vector_ISSR_208009377">#REF!,#REF!,#REF!,#REF!,#REF!,#REF!,#REF!,#REF!,#REF!,#REF!,#REF!,#REF!,#REF!</definedName>
    <definedName name="V_ALL_KEYWORDS_TYPE_Vector_ISSR_208009722">#REF!,#REF!,#REF!,#REF!,#REF!,#REF!,#REF!,#REF!,#REF!</definedName>
    <definedName name="V_ALL_KEYWORDS_TYPE_Vector_ISSR_208010209">#REF!,#REF!,#REF!,#REF!,#REF!,#REF!,#REF!,#REF!,#REF!,#REF!,#REF!,#REF!,#REF!,#REF!,#REF!</definedName>
    <definedName name="V_ALL_KEYWORDS_TYPE_Vector_ISSR_208011028">#REF!,#REF!,#REF!,#REF!,#REF!,#REF!,#REF!,#REF!,#REF!,#REF!,#REF!,#REF!,#REF!</definedName>
    <definedName name="V_ALL_KEYWORDS_TYPE_Vector_ISSR_208011072">#REF!,#REF!,#REF!,#REF!,#REF!,#REF!,#REF!,#REF!,#REF!,#REF!,#REF!,#REF!,#REF!,#REF!</definedName>
    <definedName name="V_ALL_KEYWORDS_TYPE_Vector_ISSR_208011212">#REF!,#REF!,#REF!,#REF!,#REF!,#REF!,#REF!,#REF!,#REF!,#REF!,#REF!,#REF!,#REF!,#REF!</definedName>
    <definedName name="V_ALL_KEYWORDS_TYPE_Vector_ISSR_208011556">#REF!,#REF!,#REF!,#REF!,#REF!,#REF!,#REF!,#REF!,#REF!,#REF!</definedName>
    <definedName name="V_ALL_KEYWORDS_TYPE_Vector_ISSR_208011888">#REF!,#REF!,#REF!,#REF!,#REF!,#REF!,#REF!,#REF!,#REF!,#REF!,#REF!,#REF!,#REF!,#REF!,#REF!,#REF!,#REF!,#REF!,#REF!</definedName>
    <definedName name="V_ALL_KEYWORDS_TYPE_Vector_ISSR_208012959">#REF!,#REF!,#REF!,#REF!,#REF!,#REF!,#REF!,#REF!,#REF!,#REF!,#REF!,#REF!,#REF!,#REF!,#REF!,#REF!</definedName>
    <definedName name="V_ALL_KEYWORDS_TYPE_Vector_ISSR_208013278">#REF!,#REF!,#REF!,#REF!,#REF!,#REF!,#REF!,#REF!,#REF!,#REF!,#REF!,#REF!</definedName>
    <definedName name="V_ALL_KEYWORDS_TYPE_Vector_ISSR_208015351">#REF!,#REF!,#REF!,#REF!,#REF!,#REF!,#REF!,#REF!,#REF!,#REF!,#REF!,#REF!</definedName>
    <definedName name="V_ALL_KEYWORDS_TYPE_Vector_ISSR_208017249">#REF!,#REF!,#REF!,#REF!,#REF!,#REF!,#REF!,#REF!,#REF!,#REF!,#REF!,#REF!</definedName>
    <definedName name="V_ALL_KEYWORDS_TYPE_Vector_ISSR_208018132">#REF!,#REF!,#REF!,#REF!,#REF!,#REF!,#REF!,#REF!,#REF!,#REF!,#REF!,#REF!,#REF!</definedName>
    <definedName name="V_ALL_KEYWORDS_TYPE_Vector_ISSR_208018133">#REF!,#REF!,#REF!,#REF!,#REF!,#REF!,#REF!,#REF!,#REF!,#REF!,#REF!,#REF!,#REF!,#REF!,#REF!,#REF!,#REF!,#REF!,#REF!,#REF!,#REF!,#REF!,#REF!</definedName>
    <definedName name="V_ALL_KEYWORDS_TYPE_Vector_ISSR_208018253">#REF!,#REF!,#REF!,#REF!,#REF!,#REF!,#REF!,#REF!,#REF!,#REF!,#REF!,#REF!,#REF!</definedName>
    <definedName name="V_ALL_KEYWORDS_TYPE_Vector_ISSR_208020566">#REF!,#REF!,#REF!,#REF!,#REF!,#REF!,#REF!,#REF!,#REF!,#REF!,#REF!,#REF!,#REF!</definedName>
    <definedName name="V_ALL_KEYWORDS_TYPE_Vector_ISSR_208020919">#REF!,#REF!,#REF!,#REF!,#REF!,#REF!,#REF!,#REF!,#REF!,#REF!,#REF!,#REF!,#REF!</definedName>
    <definedName name="V_ALL_KEYWORDS_TYPE_Vector_ISSR_208021926">#REF!,#REF!,#REF!,#REF!,#REF!,#REF!,#REF!,#REF!,#REF!,#REF!,#REF!,#REF!,#REF!</definedName>
    <definedName name="V_ALL_KNBE">#REF!</definedName>
    <definedName name="V_ALL_LLTC">#REF!</definedName>
    <definedName name="V_ALL_LUMN">#REF!</definedName>
    <definedName name="V_ALL_LVLT">#REF!</definedName>
    <definedName name="V_ALL_MCFE">#REF!</definedName>
    <definedName name="V_ALL_MCHP">#REF!</definedName>
    <definedName name="V_ALL_MCHP_">#REF!</definedName>
    <definedName name="V_ALL_MDB">#REF!</definedName>
    <definedName name="V_ALL_MIME">#REF!</definedName>
    <definedName name="V_ALL_MKTO">#REF!</definedName>
    <definedName name="V_ALL_MRVL">#REF!</definedName>
    <definedName name="V_ALL_MRVL_">#REF!</definedName>
    <definedName name="V_ALL_MSFT">#REF!</definedName>
    <definedName name="V_ALL_MU">#REF!</definedName>
    <definedName name="V_ALL_MXIM">#REF!</definedName>
    <definedName name="V_ALL_NOK1V.HE">#REF!</definedName>
    <definedName name="V_ALL_NVDA">#REF!</definedName>
    <definedName name="V_ALL_NVDA_">#REF!</definedName>
    <definedName name="V_ALL_NXPI">#REF!</definedName>
    <definedName name="V_ALL_NXPI_">#REF!</definedName>
    <definedName name="V_ALL_ON">#REF!</definedName>
    <definedName name="V_ALL_PANW">#REF!</definedName>
    <definedName name="V_ALL_PERIODS_ARX">#REF!</definedName>
    <definedName name="V_ALL_PERIODS_T">#REF!</definedName>
    <definedName name="V_ALL_PFPT">#REF!</definedName>
    <definedName name="V_ALL_QRVO">#REF!</definedName>
    <definedName name="V_ALL_QTS">#REF!</definedName>
    <definedName name="V_ALL_RCI">#REF!</definedName>
    <definedName name="V_ALL_RPD">#REF!</definedName>
    <definedName name="V_ALL_S">#REF!</definedName>
    <definedName name="V_ALL_SBAC">#REF!</definedName>
    <definedName name="V_ALL_SECTION_KEYWORDS_EQTY_200001646_1314">#REF!</definedName>
    <definedName name="V_ALL_SECTION_KEYWORDS_EQTY_200001646_1319">#REF!</definedName>
    <definedName name="V_ALL_SECTION_KEYWORDS_EQTY_200001646_131E">#REF!</definedName>
    <definedName name="V_ALL_SECTION_KEYWORDS_EQTY_200001646_131O">#REF!</definedName>
    <definedName name="V_ALL_SECTION_KEYWORDS_EQTY_200001646_131P">#REF!</definedName>
    <definedName name="V_ALL_SECTION_KEYWORDS_EQTY_200001646_13A">#REF!</definedName>
    <definedName name="V_ALL_SECTION_KEYWORDS_EQTY_200001646_13K">#REF!</definedName>
    <definedName name="V_ALL_SECTION_KEYWORDS_EQTY_200001646_13U">#REF!</definedName>
    <definedName name="V_ALL_SECTION_KEYWORDS_EQTY_200001646_13V">#REF!</definedName>
    <definedName name="V_ALL_SECTION_KEYWORDS_EQTY_200001646_13W">#REF!</definedName>
    <definedName name="V_ALL_SECTION_KEYWORDS_EQTY_200001646_Reference_Data">#REF!</definedName>
    <definedName name="V_ALL_SECTION_KEYWORDS_EQTY_200004230_13A">#REF!</definedName>
    <definedName name="V_ALL_SECTION_KEYWORDS_EQTY_200004230_13K">#REF!</definedName>
    <definedName name="V_ALL_SECTION_KEYWORDS_EQTY_200004419_1314">#REF!</definedName>
    <definedName name="V_ALL_SECTION_KEYWORDS_EQTY_200004419_1319">#REF!</definedName>
    <definedName name="V_ALL_SECTION_KEYWORDS_EQTY_200004419_131E">#REF!</definedName>
    <definedName name="V_ALL_SECTION_KEYWORDS_EQTY_200004419_131O">#REF!</definedName>
    <definedName name="V_ALL_SECTION_KEYWORDS_EQTY_200004419_13A">#REF!</definedName>
    <definedName name="V_ALL_SECTION_KEYWORDS_EQTY_200004419_13K">#REF!</definedName>
    <definedName name="V_ALL_SECTION_KEYWORDS_EQTY_200004419_13U">#REF!</definedName>
    <definedName name="V_ALL_SECTION_KEYWORDS_EQTY_200004419_13V">#REF!</definedName>
    <definedName name="V_ALL_SECTION_KEYWORDS_EQTY_200004419_13W">#REF!</definedName>
    <definedName name="V_ALL_SECTION_KEYWORDS_EQTY_200004419_Reference_Data">#REF!</definedName>
    <definedName name="V_ALL_SECTION_KEYWORDS_EQTY_200005326_13A">#REF!</definedName>
    <definedName name="V_ALL_SECTION_KEYWORDS_EQTY_200005326_13K">#REF!</definedName>
    <definedName name="V_ALL_SECTION_KEYWORDS_EQTY_200005722_13A">#REF!</definedName>
    <definedName name="V_ALL_SECTION_KEYWORDS_EQTY_200005722_13K">#REF!</definedName>
    <definedName name="V_ALL_SECTION_KEYWORDS_EQTY_200006333_13A">#REF!</definedName>
    <definedName name="V_ALL_SECTION_KEYWORDS_EQTY_200006333_13K">#REF!</definedName>
    <definedName name="V_ALL_SECTION_KEYWORDS_EQTY_200012762_1314">#REF!</definedName>
    <definedName name="V_ALL_SECTION_KEYWORDS_EQTY_200012762_1319">#REF!</definedName>
    <definedName name="V_ALL_SECTION_KEYWORDS_EQTY_200012762_131E">#REF!</definedName>
    <definedName name="V_ALL_SECTION_KEYWORDS_EQTY_200012762_131O">#REF!</definedName>
    <definedName name="V_ALL_SECTION_KEYWORDS_EQTY_200012762_13A">#REF!</definedName>
    <definedName name="V_ALL_SECTION_KEYWORDS_EQTY_200012762_13K">#REF!</definedName>
    <definedName name="V_ALL_SECTION_KEYWORDS_EQTY_200012762_13U">#REF!</definedName>
    <definedName name="V_ALL_SECTION_KEYWORDS_EQTY_200012762_13V">#REF!</definedName>
    <definedName name="V_ALL_SECTION_KEYWORDS_EQTY_200012762_13W">#REF!</definedName>
    <definedName name="V_ALL_SECTION_KEYWORDS_EQTY_200012762_Reference_Data">#REF!</definedName>
    <definedName name="V_ALL_SECTION_KEYWORDS_EQTY_200019587_13A">#REF!</definedName>
    <definedName name="V_ALL_SECTION_KEYWORDS_EQTY_200019588_13A">#REF!</definedName>
    <definedName name="V_ALL_SECTION_KEYWORDS_EQTY_200019588_13K">#REF!</definedName>
    <definedName name="V_ALL_SECTION_KEYWORDS_EQTY_200021484_13A">#REF!</definedName>
    <definedName name="V_ALL_SECTION_KEYWORDS_EQTY_200021484_13K">#REF!</definedName>
    <definedName name="V_ALL_SECTION_KEYWORDS_ISSR_208000027_136E">#REF!,#REF!</definedName>
    <definedName name="V_ALL_SECTION_KEYWORDS_ISSR_208000402_136J">#REF!,#REF!</definedName>
    <definedName name="V_ALL_SECTION_KEYWORDS_ISSR_208000430_136E">#REF!,#REF!</definedName>
    <definedName name="V_ALL_SECTION_KEYWORDS_ISSR_208000435_136E">#REF!,#REF!</definedName>
    <definedName name="V_ALL_SECTION_KEYWORDS_ISSR_208000435_136J">#REF!,#REF!</definedName>
    <definedName name="V_ALL_SECTION_KEYWORDS_ISSR_208000468_13V">#REF!,#REF!</definedName>
    <definedName name="V_ALL_SECTION_KEYWORDS_ISSR_208000603_1314">#REF!</definedName>
    <definedName name="V_ALL_SECTION_KEYWORDS_ISSR_208000603_13168">#REF!</definedName>
    <definedName name="V_ALL_SECTION_KEYWORDS_ISSR_208000603_1319">#REF!</definedName>
    <definedName name="V_ALL_SECTION_KEYWORDS_ISSR_208000603_131E">#REF!</definedName>
    <definedName name="V_ALL_SECTION_KEYWORDS_ISSR_208000603_131J">#REF!</definedName>
    <definedName name="V_ALL_SECTION_KEYWORDS_ISSR_208000603_131O">#REF!</definedName>
    <definedName name="V_ALL_SECTION_KEYWORDS_ISSR_208000603_131P">#REF!</definedName>
    <definedName name="V_ALL_SECTION_KEYWORDS_ISSR_208000603_13A">#REF!</definedName>
    <definedName name="V_ALL_SECTION_KEYWORDS_ISSR_208000603_13U">#REF!</definedName>
    <definedName name="V_ALL_SECTION_KEYWORDS_ISSR_208000603_13V">#REF!</definedName>
    <definedName name="V_ALL_SECTION_KEYWORDS_ISSR_208000603_Reference_Data">#REF!</definedName>
    <definedName name="V_ALL_SECTION_KEYWORDS_ISSR_208000826_13V">#REF!,#REF!</definedName>
    <definedName name="V_ALL_SECTION_KEYWORDS_ISSR_208000827_136J">#REF!,#REF!</definedName>
    <definedName name="V_ALL_SECTION_KEYWORDS_ISSR_208000836_131O">#REF!,#REF!</definedName>
    <definedName name="V_ALL_SECTION_KEYWORDS_ISSR_208000976_136E">#REF!,#REF!</definedName>
    <definedName name="V_ALL_SECTION_KEYWORDS_ISSR_208000976_13V">#REF!,#REF!</definedName>
    <definedName name="V_ALL_SECTION_KEYWORDS_ISSR_208000977_136E">#REF!,#REF!</definedName>
    <definedName name="V_ALL_SECTION_KEYWORDS_ISSR_208001018_13168" localSheetId="3">#REF!</definedName>
    <definedName name="V_ALL_SECTION_KEYWORDS_ISSR_208001018_13168">#REF!</definedName>
    <definedName name="V_ALL_SECTION_KEYWORDS_ISSR_208001018_136E" localSheetId="3">#REF!,#REF!</definedName>
    <definedName name="V_ALL_SECTION_KEYWORDS_ISSR_208001018_136E">#REF!,#REF!</definedName>
    <definedName name="V_ALL_SECTION_KEYWORDS_ISSR_208001018_13V" localSheetId="3">#REF!</definedName>
    <definedName name="V_ALL_SECTION_KEYWORDS_ISSR_208001018_13V">#REF!</definedName>
    <definedName name="V_ALL_SECTION_KEYWORDS_ISSR_208001048_13V">#REF!,#REF!</definedName>
    <definedName name="V_ALL_SECTION_KEYWORDS_ISSR_208001204_136J">#REF!,#REF!</definedName>
    <definedName name="V_ALL_SECTION_KEYWORDS_ISSR_208001217_13168">#REF!,#REF!</definedName>
    <definedName name="V_ALL_SECTION_KEYWORDS_ISSR_208001217_136E">#REF!,#REF!</definedName>
    <definedName name="V_ALL_SECTION_KEYWORDS_ISSR_208001258_1314">#REF!</definedName>
    <definedName name="V_ALL_SECTION_KEYWORDS_ISSR_208001258_13168">#REF!</definedName>
    <definedName name="V_ALL_SECTION_KEYWORDS_ISSR_208001258_1316T">#REF!</definedName>
    <definedName name="V_ALL_SECTION_KEYWORDS_ISSR_208001258_1316U">#REF!</definedName>
    <definedName name="V_ALL_SECTION_KEYWORDS_ISSR_208001258_1319">#REF!</definedName>
    <definedName name="V_ALL_SECTION_KEYWORDS_ISSR_208001258_131E">#REF!</definedName>
    <definedName name="V_ALL_SECTION_KEYWORDS_ISSR_208001258_131J">#REF!</definedName>
    <definedName name="V_ALL_SECTION_KEYWORDS_ISSR_208001258_131O">#REF!</definedName>
    <definedName name="V_ALL_SECTION_KEYWORDS_ISSR_208001258_13A">#REF!</definedName>
    <definedName name="V_ALL_SECTION_KEYWORDS_ISSR_208001258_13U">#REF!</definedName>
    <definedName name="V_ALL_SECTION_KEYWORDS_ISSR_208001258_13V">#REF!</definedName>
    <definedName name="V_ALL_SECTION_KEYWORDS_ISSR_208001258_Reference_Data">#REF!</definedName>
    <definedName name="V_ALL_SECTION_KEYWORDS_ISSR_208001370_13V">#REF!,#REF!</definedName>
    <definedName name="V_ALL_SECTION_KEYWORDS_ISSR_208001515_1314">#REF!</definedName>
    <definedName name="V_ALL_SECTION_KEYWORDS_ISSR_208001515_1319">#REF!</definedName>
    <definedName name="V_ALL_SECTION_KEYWORDS_ISSR_208001515_131E">#REF!</definedName>
    <definedName name="V_ALL_SECTION_KEYWORDS_ISSR_208001515_13V">#REF!</definedName>
    <definedName name="V_ALL_SECTION_KEYWORDS_ISSR_208001562_131O">#REF!,#REF!</definedName>
    <definedName name="V_ALL_SECTION_KEYWORDS_ISSR_208001627_131O">#REF!,#REF!</definedName>
    <definedName name="V_ALL_SECTION_KEYWORDS_ISSR_208001627_136J">#REF!</definedName>
    <definedName name="V_ALL_SECTION_KEYWORDS_ISSR_208001640_1314">#REF!</definedName>
    <definedName name="V_ALL_SECTION_KEYWORDS_ISSR_208001640_1319">#REF!</definedName>
    <definedName name="V_ALL_SECTION_KEYWORDS_ISSR_208001640_131E">#REF!</definedName>
    <definedName name="V_ALL_SECTION_KEYWORDS_ISSR_208001640_13V">#REF!</definedName>
    <definedName name="V_ALL_SECTION_KEYWORDS_ISSR_208001765_1314">#REF!</definedName>
    <definedName name="V_ALL_SECTION_KEYWORDS_ISSR_208001765_13168">#REF!,#REF!</definedName>
    <definedName name="V_ALL_SECTION_KEYWORDS_ISSR_208001765_1316T">#REF!</definedName>
    <definedName name="V_ALL_SECTION_KEYWORDS_ISSR_208001765_1319">#REF!</definedName>
    <definedName name="V_ALL_SECTION_KEYWORDS_ISSR_208001765_131E">#REF!</definedName>
    <definedName name="V_ALL_SECTION_KEYWORDS_ISSR_208001765_136E">#REF!,#REF!</definedName>
    <definedName name="V_ALL_SECTION_KEYWORDS_ISSR_208001765_13V">#REF!,#REF!</definedName>
    <definedName name="V_ALL_SECTION_KEYWORDS_ISSR_208001785_13V">#REF!,#REF!</definedName>
    <definedName name="V_ALL_SECTION_KEYWORDS_ISSR_208002651_13V">#REF!,#REF!</definedName>
    <definedName name="V_ALL_SECTION_KEYWORDS_ISSR_208005795_136E">#REF!,#REF!</definedName>
    <definedName name="V_ALL_SECTION_KEYWORDS_ISSR_208006029_13V">#REF!,#REF!</definedName>
    <definedName name="V_ALL_SECTION_KEYWORDS_ISSR_208007452_136J">#REF!,#REF!</definedName>
    <definedName name="V_ALL_SECTION_KEYWORDS_ISSR_208007452_13V">#REF!,#REF!</definedName>
    <definedName name="V_ALL_SECTION_KEYWORDS_ISSR_208007986_13168">#REF!,#REF!</definedName>
    <definedName name="V_ALL_SECTION_KEYWORDS_ISSR_208007986_136E">#REF!,#REF!</definedName>
    <definedName name="V_ALL_SECTION_KEYWORDS_ISSR_208007986_13V">#REF!,#REF!</definedName>
    <definedName name="V_ALL_SECTION_KEYWORDS_ISSR_208008030_1316P">#REF!,#REF!</definedName>
    <definedName name="V_ALL_SECTION_KEYWORDS_ISSR_208008030_131Y">#REF!,#REF!</definedName>
    <definedName name="V_ALL_SECTION_KEYWORDS_ISSR_208008030_134L">#REF!,#REF!</definedName>
    <definedName name="V_ALL_SECTION_KEYWORDS_ISSR_208008836_136E">#REF!,#REF!</definedName>
    <definedName name="V_ALL_SECTION_KEYWORDS_ISSR_208009722_1314">#REF!</definedName>
    <definedName name="V_ALL_SECTION_KEYWORDS_ISSR_208009722_13168">#REF!</definedName>
    <definedName name="V_ALL_SECTION_KEYWORDS_ISSR_208009722_1319">#REF!</definedName>
    <definedName name="V_ALL_SECTION_KEYWORDS_ISSR_208009722_131E">#REF!</definedName>
    <definedName name="V_ALL_SECTION_KEYWORDS_ISSR_208009722_131J">#REF!</definedName>
    <definedName name="V_ALL_SECTION_KEYWORDS_ISSR_208009722_131O">#REF!</definedName>
    <definedName name="V_ALL_SECTION_KEYWORDS_ISSR_208009722_13A">#REF!</definedName>
    <definedName name="V_ALL_SECTION_KEYWORDS_ISSR_208009722_13U">#REF!</definedName>
    <definedName name="V_ALL_SECTION_KEYWORDS_ISSR_208009722_13V">#REF!</definedName>
    <definedName name="V_ALL_SECTION_KEYWORDS_ISSR_208009722_Reference_Data">#REF!</definedName>
    <definedName name="V_ALL_SECTION_KEYWORDS_ISSR_208011028_131O">#REF!,#REF!</definedName>
    <definedName name="V_ALL_SECTION_KEYWORDS_ISSR_208011556_136E">#REF!,#REF!</definedName>
    <definedName name="V_ALL_SECTION_KEYWORDS_ISSR_208011888_136E">#REF!,#REF!</definedName>
    <definedName name="V_ALL_SECTION_KEYWORDS_ISSR_208012959_13V">#REF!,#REF!</definedName>
    <definedName name="V_ALL_SECTION_KEYWORDS_ISSR_208013278_136E">#REF!,#REF!</definedName>
    <definedName name="V_ALL_SECTION_KEYWORDS_ISSR_208015351_13168">#REF!,#REF!</definedName>
    <definedName name="V_ALL_SECTION_KEYWORDS_ISSR_208015351_136E">#REF!,#REF!</definedName>
    <definedName name="V_ALL_SECTION_KEYWORDS_ISSR_208017249_13168">#REF!</definedName>
    <definedName name="V_ALL_SECTION_KEYWORDS_ISSR_208017249_1319">#REF!</definedName>
    <definedName name="V_ALL_SECTION_KEYWORDS_ISSR_208018132_131O">#REF!,#REF!</definedName>
    <definedName name="V_ALL_SECTION_KEYWORDS_ISSR_208018133_1314">#REF!</definedName>
    <definedName name="V_ALL_SECTION_KEYWORDS_ISSR_208018133_1319">#REF!</definedName>
    <definedName name="V_ALL_SECTION_KEYWORDS_ISSR_208018133_131E">#REF!</definedName>
    <definedName name="V_ALL_SECTION_KEYWORDS_ISSR_208018133_13V">#REF!,#REF!</definedName>
    <definedName name="V_ALL_SECTION_KEYWORDS_ISSR_208018253_131O">#REF!,#REF!</definedName>
    <definedName name="V_ALL_SECTION_KEYWORDS_ISSR_208020566_131O">#REF!,#REF!</definedName>
    <definedName name="V_ALL_SECTION_KEYWORDS_ISSR_208020919_131O">#REF!,#REF!</definedName>
    <definedName name="V_ALL_SECTION_KEYWORDS_ISSR_208020919_136J">#REF!,#REF!</definedName>
    <definedName name="V_ALL_SECTIONS_EQTY_200000304">#REF!,#REF!,#REF!,#REF!,#REF!,#REF!,#REF!,#REF!,#REF!,#REF!</definedName>
    <definedName name="V_ALL_SECTIONS_EQTY_200001265">#REF!,#REF!,#REF!,#REF!,#REF!,#REF!,#REF!,#REF!,#REF!,#REF!</definedName>
    <definedName name="V_ALL_SECTIONS_EQTY_200001320">#REF!,#REF!,#REF!,#REF!,#REF!,#REF!,#REF!,#REF!,#REF!,#REF!</definedName>
    <definedName name="V_ALL_SECTIONS_EQTY_200001330">#REF!,#REF!,#REF!,#REF!,#REF!,#REF!,#REF!,#REF!,#REF!,#REF!</definedName>
    <definedName name="V_ALL_SECTIONS_EQTY_200001353">#REF!,#REF!,#REF!,#REF!,#REF!,#REF!,#REF!,#REF!</definedName>
    <definedName name="V_ALL_SECTIONS_EQTY_200001371">#REF!,#REF!,#REF!,#REF!,#REF!,#REF!,#REF!,#REF!</definedName>
    <definedName name="V_ALL_SECTIONS_EQTY_200001381">#REF!,#REF!,#REF!,#REF!,#REF!,#REF!,#REF!,#REF!,#REF!,#REF!</definedName>
    <definedName name="V_ALL_SECTIONS_EQTY_200001646">#REF!,#REF!,#REF!,#REF!,#REF!,#REF!,#REF!,#REF!,#REF!,#REF!,#REF!</definedName>
    <definedName name="V_ALL_SECTIONS_EQTY_200002831">#REF!,#REF!,#REF!,#REF!,#REF!,#REF!,#REF!,#REF!,#REF!,#REF!</definedName>
    <definedName name="V_ALL_SECTIONS_EQTY_200002833">#REF!,#REF!,#REF!,#REF!,#REF!,#REF!,#REF!,#REF!,#REF!,#REF!</definedName>
    <definedName name="V_ALL_SECTIONS_EQTY_200003037">#REF!,#REF!,#REF!,#REF!,#REF!,#REF!,#REF!,#REF!,#REF!,#REF!</definedName>
    <definedName name="V_ALL_SECTIONS_EQTY_200003892">#REF!,#REF!,#REF!,#REF!,#REF!,#REF!,#REF!,#REF!,#REF!,#REF!</definedName>
    <definedName name="V_ALL_SECTIONS_EQTY_200004419">#REF!,#REF!,#REF!,#REF!,#REF!,#REF!,#REF!,#REF!,#REF!,#REF!</definedName>
    <definedName name="V_ALL_SECTIONS_EQTY_200005326">#REF!,#REF!,#REF!,#REF!,#REF!,#REF!,#REF!,#REF!,#REF!,#REF!</definedName>
    <definedName name="V_ALL_SECTIONS_EQTY_200006232">#REF!,#REF!,#REF!,#REF!,#REF!,#REF!,#REF!,#REF!,#REF!,#REF!</definedName>
    <definedName name="V_ALL_SECTIONS_EQTY_200009556">#REF!,#REF!,#REF!,#REF!,#REF!,#REF!,#REF!,#REF!,#REF!,#REF!</definedName>
    <definedName name="V_ALL_SECTIONS_EQTY_200011598">#REF!,#REF!,#REF!,#REF!,#REF!,#REF!,#REF!,#REF!,#REF!,#REF!</definedName>
    <definedName name="V_ALL_SECTIONS_EQTY_200012762">#REF!,#REF!,#REF!,#REF!,#REF!,#REF!,#REF!,#REF!,#REF!,#REF!</definedName>
    <definedName name="V_ALL_SECTIONS_EQTY_200014300">#REF!,#REF!,#REF!,#REF!,#REF!,#REF!,#REF!,#REF!,#REF!,#REF!</definedName>
    <definedName name="V_ALL_SECTIONS_EQTY_200014493">#REF!,#REF!,#REF!,#REF!,#REF!,#REF!,#REF!,#REF!,#REF!,#REF!</definedName>
    <definedName name="V_ALL_SECTIONS_EQTY_200014750">#REF!,#REF!,#REF!,#REF!,#REF!,#REF!,#REF!,#REF!,#REF!,#REF!</definedName>
    <definedName name="V_ALL_SECTIONS_EQTY_200015107">#REF!,#REF!,#REF!,#REF!,#REF!,#REF!,#REF!,#REF!,#REF!,#REF!</definedName>
    <definedName name="V_ALL_SECTIONS_EQTY_200015716">#REF!,#REF!,#REF!,#REF!,#REF!,#REF!,#REF!,#REF!,#REF!,#REF!</definedName>
    <definedName name="V_ALL_SECTIONS_EQTY_200015757">#REF!,#REF!,#REF!,#REF!,#REF!,#REF!,#REF!,#REF!,#REF!,#REF!,#REF!</definedName>
    <definedName name="V_ALL_SECTIONS_EQTY_200016026">#REF!,#REF!,#REF!,#REF!,#REF!,#REF!,#REF!,#REF!,#REF!,#REF!,#REF!</definedName>
    <definedName name="V_ALL_SECTIONS_EQTY_200017745">#REF!,#REF!,#REF!,#REF!,#REF!,#REF!,#REF!,#REF!,#REF!,#REF!</definedName>
    <definedName name="V_ALL_SECTIONS_ISSR_208000430">#REF!,#REF!,#REF!,#REF!,#REF!,#REF!,#REF!,#REF!,#REF!,#REF!,#REF!</definedName>
    <definedName name="V_ALL_SECTIONS_ISSR_208000451">#REF!,#REF!,#REF!,#REF!,#REF!,#REF!,#REF!,#REF!,#REF!,#REF!</definedName>
    <definedName name="V_ALL_SECTIONS_ISSR_208000603">#REF!,#REF!,#REF!,#REF!,#REF!,#REF!,#REF!,#REF!,#REF!,#REF!,#REF!</definedName>
    <definedName name="V_ALL_SECTIONS_ISSR_208000977">#REF!,#REF!,#REF!,#REF!,#REF!,#REF!,#REF!,#REF!,#REF!,#REF!,#REF!</definedName>
    <definedName name="V_ALL_SECTIONS_ISSR_208001049">#REF!,#REF!,#REF!,#REF!,#REF!,#REF!,#REF!,#REF!,#REF!,#REF!,#REF!</definedName>
    <definedName name="V_ALL_SECTIONS_ISSR_208001137">#REF!,#REF!,#REF!,#REF!,#REF!,#REF!,#REF!,#REF!,#REF!,#REF!,#REF!</definedName>
    <definedName name="V_ALL_SECTIONS_ISSR_208001258">#REF!,#REF!,#REF!,#REF!,#REF!,#REF!,#REF!,#REF!,#REF!,#REF!,#REF!</definedName>
    <definedName name="V_ALL_SECTIONS_ISSR_208001515">#REF!,#REF!,#REF!,#REF!,#REF!,#REF!,#REF!,#REF!,#REF!,#REF!</definedName>
    <definedName name="V_ALL_SECTIONS_ISSR_208005795">#REF!,#REF!,#REF!,#REF!,#REF!,#REF!,#REF!,#REF!,#REF!,#REF!,#REF!</definedName>
    <definedName name="V_ALL_SECTIONS_ISSR_208007359">#REF!,#REF!,#REF!,#REF!,#REF!,#REF!,#REF!,#REF!,#REF!,#REF!</definedName>
    <definedName name="V_ALL_SECTIONS_ISSR_208009722">#REF!,#REF!,#REF!,#REF!,#REF!,#REF!,#REF!,#REF!,#REF!,#REF!</definedName>
    <definedName name="V_ALL_SECTIONS_ISSR_208010209">#REF!,#REF!,#REF!,#REF!,#REF!,#REF!,#REF!,#REF!,#REF!,#REF!,#REF!</definedName>
    <definedName name="V_ALL_SECTIONS_ISSR_208011072">#REF!,#REF!,#REF!,#REF!,#REF!,#REF!,#REF!,#REF!,#REF!,#REF!,#REF!</definedName>
    <definedName name="V_ALL_SECTIONS_ISSR_208011212">#REF!,#REF!,#REF!,#REF!,#REF!,#REF!,#REF!,#REF!,#REF!,#REF!,#REF!</definedName>
    <definedName name="V_ALL_SECTIONS_ISSR_208012959">#REF!,#REF!,#REF!,#REF!,#REF!,#REF!,#REF!,#REF!,#REF!,#REF!,#REF!,#REF!,#REF!</definedName>
    <definedName name="V_ALL_SECTIONS_ISSR_208015351">#REF!,#REF!,#REF!,#REF!,#REF!,#REF!,#REF!,#REF!,#REF!,#REF!,#REF!</definedName>
    <definedName name="V_ALL_SEMI">#REF!</definedName>
    <definedName name="V_ALL_SIRI">#REF!</definedName>
    <definedName name="V_ALL_SWKS">#REF!</definedName>
    <definedName name="V_ALL_T">#REF!</definedName>
    <definedName name="V_ALL_TEL">#REF!</definedName>
    <definedName name="V_ALL_TENB">#REF!</definedName>
    <definedName name="V_ALL_TER">#REF!</definedName>
    <definedName name="V_ALL_TGT">#REF!</definedName>
    <definedName name="V_ALL_TMUS">#REF!</definedName>
    <definedName name="V_ALL_TWC">#REF!</definedName>
    <definedName name="V_ALL_TWKS">#REF!</definedName>
    <definedName name="V_ALL_TXN">#REF!</definedName>
    <definedName name="V_ALL_VMW">#REF!</definedName>
    <definedName name="V_ALL_VMW_">#REF!</definedName>
    <definedName name="V_ALL_VSM">#REF!</definedName>
    <definedName name="V_ALL_VZ">#REF!</definedName>
    <definedName name="V_ALL_WDAY">#REF!</definedName>
    <definedName name="V_ALL_WIN">#REF!</definedName>
    <definedName name="V_ALL_WIN_">#REF!</definedName>
    <definedName name="V_ALL_ZAYO">#REF!</definedName>
    <definedName name="V_ALL_ZS">#REF!</definedName>
    <definedName name="V_ALL_ZS_OLD">#REF!</definedName>
    <definedName name="V_CURRENCY_EQTY_200001646_PRI">#REF!</definedName>
    <definedName name="V_CURRENCY_EQTY_200001646_PUB">#REF!</definedName>
    <definedName name="V_CURRENCY_EQTY_200001646_REP">#REF!</definedName>
    <definedName name="V_CURRENCY_EQTY_200004419_PRI">#REF!</definedName>
    <definedName name="V_CURRENCY_EQTY_200004419_PUB">#REF!</definedName>
    <definedName name="V_CURRENCY_EQTY_200004419_REP">#REF!</definedName>
    <definedName name="V_CURRENCY_EQTY_200012762_PRI">#REF!</definedName>
    <definedName name="V_CURRENCY_EQTY_200012762_PUB">#REF!</definedName>
    <definedName name="V_CURRENCY_EQTY_200012762_REP">#REF!</definedName>
    <definedName name="V_CURRENCY_ISSR_208000603_REP">#REF!</definedName>
    <definedName name="V_CURRENCY_ISSR_208001258_REP">#REF!</definedName>
    <definedName name="V_CURRENCY_ISSR_208009722_REP">#REF!</definedName>
    <definedName name="V_ENTITY_DATA_EQTY_200001646">#REF!</definedName>
    <definedName name="V_ENTITY_DATA_EQTY_200012762">#REF!</definedName>
    <definedName name="V_ENTITY_DATA_ISSR_208000603">#REF!</definedName>
    <definedName name="V_ENTITY_DATA_ISSR_208009722">#REF!</definedName>
    <definedName name="V_KEYWORD_EQTY_200001646_ACT1">#REF!</definedName>
    <definedName name="V_KEYWORD_EQTY_200001646_AMER_CONVICTION">#REF!</definedName>
    <definedName name="V_KEYWORD_EQTY_200001646_AMER_LIST">#REF!</definedName>
    <definedName name="V_KEYWORD_EQTY_200001646_BETA_ANALYST">#REF!</definedName>
    <definedName name="V_KEYWORD_EQTY_200001646_BVPS">#REF!</definedName>
    <definedName name="V_KEYWORD_EQTY_200001646_BVPS_PUB">#REF!</definedName>
    <definedName name="V_KEYWORD_EQTY_200001646_CF_NI_PRE_PREF">#REF!</definedName>
    <definedName name="V_KEYWORD_EQTY_200001646_COMMON_DIV_PAID">#REF!</definedName>
    <definedName name="V_KEYWORD_EQTY_200001646_CURRENCY_ISO">#REF!</definedName>
    <definedName name="V_KEYWORD_EQTY_200001646_DILUTE_SHARES">#REF!</definedName>
    <definedName name="V_KEYWORD_EQTY_200001646_DPS">#REF!</definedName>
    <definedName name="V_KEYWORD_EQTY_200001646_DPS_PUB">#REF!</definedName>
    <definedName name="V_KEYWORD_EQTY_200001646_EBIT_PUB">#REF!</definedName>
    <definedName name="V_KEYWORD_EQTY_200001646_EBITDA_PUB">#REF!</definedName>
    <definedName name="V_KEYWORD_EQTY_200001646_EPS">#REF!</definedName>
    <definedName name="V_KEYWORD_EQTY_200001646_EPS_EX_ESO_B">#REF!</definedName>
    <definedName name="V_KEYWORD_EQTY_200001646_EPS_EX_ESO_D">#REF!</definedName>
    <definedName name="V_KEYWORD_EQTY_200001646_EPS_FUL_DIL">#REF!</definedName>
    <definedName name="V_KEYWORD_EQTY_200001646_EPS_POST_BASIC">#REF!</definedName>
    <definedName name="V_KEYWORD_EQTY_200001646_EPS_PUB">#REF!</definedName>
    <definedName name="V_KEYWORD_EQTY_200001646_EPS_PUB_EX_ESO">#REF!</definedName>
    <definedName name="V_KEYWORD_EQTY_200001646_EQ_PUB">#REF!</definedName>
    <definedName name="V_KEYWORD_EQTY_200001646_ESO_POST_TAX">#REF!</definedName>
    <definedName name="V_KEYWORD_EQTY_200001646_ESO_YEAR">#REF!</definedName>
    <definedName name="V_KEYWORD_EQTY_200001646_EV_ADJ_PUB">#REF!</definedName>
    <definedName name="V_KEYWORD_EQTY_200001646_FREE_FLOAT">#REF!</definedName>
    <definedName name="V_KEYWORD_EQTY_200001646_FULLY_DIL_EPS">#REF!</definedName>
    <definedName name="V_KEYWORD_EQTY_200001646_FV_GRANT">#REF!</definedName>
    <definedName name="V_KEYWORD_EQTY_200001646_GT_BETA">#REF!</definedName>
    <definedName name="V_KEYWORD_EQTY_200001646_INC_MINORITY">#REF!</definedName>
    <definedName name="V_KEYWORD_EQTY_200001646_Interim_Type">#REF!</definedName>
    <definedName name="V_KEYWORD_EQTY_200001646_LEGAL_RATING">#REF!</definedName>
    <definedName name="V_KEYWORD_EQTY_200001646_MARGIN_TAX_RATE">#REF!</definedName>
    <definedName name="V_KEYWORD_EQTY_200001646_MKT_EQ_RISK_PREM">#REF!</definedName>
    <definedName name="V_KEYWORD_EQTY_200001646_NET_DEBT_PUB">#REF!</definedName>
    <definedName name="V_KEYWORD_EQTY_200001646_NET_EARNING">#REF!</definedName>
    <definedName name="V_KEYWORD_EQTY_200001646_NET_INC">#REF!</definedName>
    <definedName name="V_KEYWORD_EQTY_200001646_NI_PRE_PREF">#REF!</definedName>
    <definedName name="V_KEYWORD_EQTY_200001646_NI_PUB">#REF!</definedName>
    <definedName name="V_KEYWORD_EQTY_200001646_NON_OP_ADD">#REF!</definedName>
    <definedName name="V_KEYWORD_EQTY_200001646_NUM_SH">#REF!</definedName>
    <definedName name="V_KEYWORD_EQTY_200001646_PREF_DIV">#REF!</definedName>
    <definedName name="V_KEYWORD_EQTY_200001646_PRICE_CURRENCY_ISO">#REF!</definedName>
    <definedName name="V_KEYWORD_EQTY_200001646_PROV_INC_TAX">#REF!</definedName>
    <definedName name="V_KEYWORD_EQTY_200001646_PTP_PUB">#REF!</definedName>
    <definedName name="V_KEYWORD_EQTY_200001646_PUB_CURRENCY_ISO">#REF!</definedName>
    <definedName name="V_KEYWORD_EQTY_200001646_REPUR_ACTUAL">#REF!</definedName>
    <definedName name="V_KEYWORD_EQTY_200001646_REPUR_REMAINING">#REF!</definedName>
    <definedName name="V_KEYWORD_EQTY_200001646_REPUR_SUSPENDED">#REF!</definedName>
    <definedName name="V_KEYWORD_EQTY_200001646_REPUR_TOT_AUTH">#REF!</definedName>
    <definedName name="V_KEYWORD_EQTY_200001646_REVS_PUB">#REF!</definedName>
    <definedName name="V_KEYWORD_EQTY_200001646_RISK_FR_RATE">#REF!</definedName>
    <definedName name="V_KEYWORD_EQTY_200001646_Security_Name">#REF!</definedName>
    <definedName name="V_KEYWORD_EQTY_200001646_SH">#REF!</definedName>
    <definedName name="V_KEYWORD_EQTY_200001646_TARGET_PRICE">#REF!</definedName>
    <definedName name="V_KEYWORD_EQTY_200001646_TAX_EXC">#REF!</definedName>
    <definedName name="V_KEYWORD_EQTY_200001646_Ticker">#REF!</definedName>
    <definedName name="V_KEYWORD_EQTY_200001646_TP_PERIOD">#REF!</definedName>
    <definedName name="V_KEYWORD_EQTY_200004419_ACT1">#REF!</definedName>
    <definedName name="V_KEYWORD_EQTY_200004419_ACT2">#REF!</definedName>
    <definedName name="V_KEYWORD_EQTY_200004419_ACT3">#REF!</definedName>
    <definedName name="V_KEYWORD_EQTY_200004419_ACT4">#REF!</definedName>
    <definedName name="V_KEYWORD_EQTY_200004419_ACT5">#REF!</definedName>
    <definedName name="V_KEYWORD_EQTY_200004419_ACT6">#REF!</definedName>
    <definedName name="V_KEYWORD_EQTY_200004419_ACT7">#REF!</definedName>
    <definedName name="V_KEYWORD_EQTY_200004419_ACT8">#REF!</definedName>
    <definedName name="V_KEYWORD_EQTY_200004419_ACT9">#REF!</definedName>
    <definedName name="V_KEYWORD_EQTY_200004419_AMER_CONVICTION">#REF!</definedName>
    <definedName name="V_KEYWORD_EQTY_200004419_AMER_LIST">#REF!</definedName>
    <definedName name="V_KEYWORD_EQTY_200004419_BETA_ANALYST">#REF!</definedName>
    <definedName name="V_KEYWORD_EQTY_200004419_BVPS">#REF!</definedName>
    <definedName name="V_KEYWORD_EQTY_200004419_BVPS_PUB">#REF!</definedName>
    <definedName name="V_KEYWORD_EQTY_200004419_CEEE_EPS">#REF!</definedName>
    <definedName name="V_KEYWORD_EQTY_200004419_CF_NI_PRE_PREF">#REF!</definedName>
    <definedName name="V_KEYWORD_EQTY_200004419_COMMON_DIV_PAID">#REF!</definedName>
    <definedName name="V_KEYWORD_EQTY_200004419_CURRENCY_ISO">#REF!</definedName>
    <definedName name="V_KEYWORD_EQTY_200004419_DILUTE_SHARES">#REF!</definedName>
    <definedName name="V_KEYWORD_EQTY_200004419_DPS">#REF!</definedName>
    <definedName name="V_KEYWORD_EQTY_200004419_DPS_PUB">#REF!</definedName>
    <definedName name="V_KEYWORD_EQTY_200004419_EBIT_PUB">#REF!</definedName>
    <definedName name="V_KEYWORD_EQTY_200004419_EBITDA_PUB">#REF!</definedName>
    <definedName name="V_KEYWORD_EQTY_200004419_EPS">#REF!</definedName>
    <definedName name="V_KEYWORD_EQTY_200004419_EPS_EX_ESO_B">#REF!</definedName>
    <definedName name="V_KEYWORD_EQTY_200004419_EPS_EX_ESO_D">#REF!</definedName>
    <definedName name="V_KEYWORD_EQTY_200004419_EPS_FUL_DIL">#REF!</definedName>
    <definedName name="V_KEYWORD_EQTY_200004419_EPS_POST_BASIC">#REF!</definedName>
    <definedName name="V_KEYWORD_EQTY_200004419_EPS_PUB">#REF!</definedName>
    <definedName name="V_KEYWORD_EQTY_200004419_EPS_PUB_EX_ESO">#REF!</definedName>
    <definedName name="V_KEYWORD_EQTY_200004419_EQ_PUB">#REF!</definedName>
    <definedName name="V_KEYWORD_EQTY_200004419_ESO_POST_TAX">#REF!</definedName>
    <definedName name="V_KEYWORD_EQTY_200004419_ESO_YEAR">#REF!</definedName>
    <definedName name="V_KEYWORD_EQTY_200004419_EV_ADJ_PUB">#REF!</definedName>
    <definedName name="V_KEYWORD_EQTY_200004419_FREE_FLOAT">#REF!</definedName>
    <definedName name="V_KEYWORD_EQTY_200004419_FULLY_DIL_EPS">#REF!</definedName>
    <definedName name="V_KEYWORD_EQTY_200004419_FV_GRANT">#REF!</definedName>
    <definedName name="V_KEYWORD_EQTY_200004419_INC_MINORITY">#REF!</definedName>
    <definedName name="V_KEYWORD_EQTY_200004419_Interim_Type">#REF!</definedName>
    <definedName name="V_KEYWORD_EQTY_200004419_LEGAL_RATING">#REF!</definedName>
    <definedName name="V_KEYWORD_EQTY_200004419_MARGIN_TAX_RATE">#REF!</definedName>
    <definedName name="V_KEYWORD_EQTY_200004419_MKT_EQ_RISK_PREM">#REF!</definedName>
    <definedName name="V_KEYWORD_EQTY_200004419_NET_DEBT_PUB">#REF!</definedName>
    <definedName name="V_KEYWORD_EQTY_200004419_NET_EARNING">#REF!</definedName>
    <definedName name="V_KEYWORD_EQTY_200004419_NET_INC">#REF!</definedName>
    <definedName name="V_KEYWORD_EQTY_200004419_NI_PRE_PREF">#REF!</definedName>
    <definedName name="V_KEYWORD_EQTY_200004419_NI_PUB">#REF!</definedName>
    <definedName name="V_KEYWORD_EQTY_200004419_NON_OP_ADD">#REF!</definedName>
    <definedName name="V_KEYWORD_EQTY_200004419_NUM_SH">#REF!</definedName>
    <definedName name="V_KEYWORD_EQTY_200004419_PREF_DIV">#REF!</definedName>
    <definedName name="V_KEYWORD_EQTY_200004419_PRICE_CURRENCY_ISO">#REF!</definedName>
    <definedName name="V_KEYWORD_EQTY_200004419_PROV_INC_TAX">#REF!</definedName>
    <definedName name="V_KEYWORD_EQTY_200004419_PTP_PUB">#REF!</definedName>
    <definedName name="V_KEYWORD_EQTY_200004419_PUB_CURRENCY_ISO">#REF!</definedName>
    <definedName name="V_KEYWORD_EQTY_200004419_REPUR_ACTUAL">#REF!</definedName>
    <definedName name="V_KEYWORD_EQTY_200004419_REPUR_REMAINING">#REF!</definedName>
    <definedName name="V_KEYWORD_EQTY_200004419_REPUR_SUSPENDED">#REF!</definedName>
    <definedName name="V_KEYWORD_EQTY_200004419_REPUR_TOT_AUTH">#REF!</definedName>
    <definedName name="V_KEYWORD_EQTY_200004419_REVS_PUB">#REF!</definedName>
    <definedName name="V_KEYWORD_EQTY_200004419_RISK_FR_RATE">#REF!</definedName>
    <definedName name="V_KEYWORD_EQTY_200004419_Security_Name">#REF!</definedName>
    <definedName name="V_KEYWORD_EQTY_200004419_SH">#REF!</definedName>
    <definedName name="V_KEYWORD_EQTY_200004419_TARGET_PRICE">#REF!</definedName>
    <definedName name="V_KEYWORD_EQTY_200004419_TAX_EXC">#REF!</definedName>
    <definedName name="V_KEYWORD_EQTY_200004419_Ticker">#REF!</definedName>
    <definedName name="V_KEYWORD_EQTY_200004419_TP_PERIOD">#REF!</definedName>
    <definedName name="V_KEYWORD_EQTY_200012762_AMER_CONVICTION">#REF!</definedName>
    <definedName name="V_KEYWORD_EQTY_200012762_AMER_LIST">#REF!</definedName>
    <definedName name="V_KEYWORD_EQTY_200012762_BETA_ANALYST">#REF!</definedName>
    <definedName name="V_KEYWORD_EQTY_200012762_BVPS">#REF!</definedName>
    <definedName name="V_KEYWORD_EQTY_200012762_BVPS_PUB">#REF!</definedName>
    <definedName name="V_KEYWORD_EQTY_200012762_CEEE_EPS">#REF!</definedName>
    <definedName name="V_KEYWORD_EQTY_200012762_CF_NI_PRE_PREF">#REF!</definedName>
    <definedName name="V_KEYWORD_EQTY_200012762_COMMON_DIV_PAID">#REF!</definedName>
    <definedName name="V_KEYWORD_EQTY_200012762_CURRENCY_ISO">#REF!</definedName>
    <definedName name="V_KEYWORD_EQTY_200012762_DILUTE_SHARES">#REF!</definedName>
    <definedName name="V_KEYWORD_EQTY_200012762_DPS">#REF!</definedName>
    <definedName name="V_KEYWORD_EQTY_200012762_DPS_PUB">#REF!</definedName>
    <definedName name="V_KEYWORD_EQTY_200012762_EBIT_PUB">#REF!</definedName>
    <definedName name="V_KEYWORD_EQTY_200012762_EBITDA_PUB">#REF!</definedName>
    <definedName name="V_KEYWORD_EQTY_200012762_EPS">#REF!</definedName>
    <definedName name="V_KEYWORD_EQTY_200012762_EPS_EX_ESO_B">#REF!</definedName>
    <definedName name="V_KEYWORD_EQTY_200012762_EPS_EX_ESO_D">#REF!</definedName>
    <definedName name="V_KEYWORD_EQTY_200012762_EPS_FUL_DIL">#REF!</definedName>
    <definedName name="V_KEYWORD_EQTY_200012762_EPS_POST_BASIC">#REF!</definedName>
    <definedName name="V_KEYWORD_EQTY_200012762_EPS_PUB">#REF!</definedName>
    <definedName name="V_KEYWORD_EQTY_200012762_EPS_PUB_EX_ESO">#REF!</definedName>
    <definedName name="V_KEYWORD_EQTY_200012762_EQ_PUB">#REF!</definedName>
    <definedName name="V_KEYWORD_EQTY_200012762_ESO_POST_TAX">#REF!</definedName>
    <definedName name="V_KEYWORD_EQTY_200012762_ESO_YEAR">#REF!</definedName>
    <definedName name="V_KEYWORD_EQTY_200012762_EV_ADJ_PUB">#REF!</definedName>
    <definedName name="V_KEYWORD_EQTY_200012762_FREE_FLOAT">#REF!</definedName>
    <definedName name="V_KEYWORD_EQTY_200012762_FULLY_DIL_EPS">#REF!</definedName>
    <definedName name="V_KEYWORD_EQTY_200012762_FV_GRANT">#REF!</definedName>
    <definedName name="V_KEYWORD_EQTY_200012762_INC_MINORITY">#REF!</definedName>
    <definedName name="V_KEYWORD_EQTY_200012762_Interim_Type">#REF!</definedName>
    <definedName name="V_KEYWORD_EQTY_200012762_LEGAL_RATING">#REF!</definedName>
    <definedName name="V_KEYWORD_EQTY_200012762_MARGIN_TAX_RATE">#REF!</definedName>
    <definedName name="V_KEYWORD_EQTY_200012762_MKT_EQ_RISK_PREM">#REF!</definedName>
    <definedName name="V_KEYWORD_EQTY_200012762_NET_DEBT_PUB">#REF!</definedName>
    <definedName name="V_KEYWORD_EQTY_200012762_NET_EARNING">#REF!</definedName>
    <definedName name="V_KEYWORD_EQTY_200012762_NET_INC">#REF!</definedName>
    <definedName name="V_KEYWORD_EQTY_200012762_NI_PRE_PREF">#REF!</definedName>
    <definedName name="V_KEYWORD_EQTY_200012762_NI_PUB">#REF!</definedName>
    <definedName name="V_KEYWORD_EQTY_200012762_NON_OP_ADD">#REF!</definedName>
    <definedName name="V_KEYWORD_EQTY_200012762_NUM_SH">#REF!</definedName>
    <definedName name="V_KEYWORD_EQTY_200012762_PREF_DIV">#REF!</definedName>
    <definedName name="V_KEYWORD_EQTY_200012762_PRICE_CURRENCY_ISO">#REF!</definedName>
    <definedName name="V_KEYWORD_EQTY_200012762_PROV_INC_TAX">#REF!</definedName>
    <definedName name="V_KEYWORD_EQTY_200012762_PTP_PUB">#REF!</definedName>
    <definedName name="V_KEYWORD_EQTY_200012762_PUB_CURRENCY_ISO">#REF!</definedName>
    <definedName name="V_KEYWORD_EQTY_200012762_REPUR_ACTUAL">#REF!</definedName>
    <definedName name="V_KEYWORD_EQTY_200012762_REPUR_REMAINING">#REF!</definedName>
    <definedName name="V_KEYWORD_EQTY_200012762_REPUR_SUSPENDED">#REF!</definedName>
    <definedName name="V_KEYWORD_EQTY_200012762_REPUR_TOT_AUTH">#REF!</definedName>
    <definedName name="V_KEYWORD_EQTY_200012762_REVS_PUB">#REF!</definedName>
    <definedName name="V_KEYWORD_EQTY_200012762_RISK_FR_RATE">#REF!</definedName>
    <definedName name="V_KEYWORD_EQTY_200012762_Security_Name">#REF!</definedName>
    <definedName name="V_KEYWORD_EQTY_200012762_SH">#REF!</definedName>
    <definedName name="V_KEYWORD_EQTY_200012762_TARGET_PRICE">#REF!</definedName>
    <definedName name="V_KEYWORD_EQTY_200012762_TAX_EXC">#REF!</definedName>
    <definedName name="V_KEYWORD_EQTY_200012762_Ticker">#REF!</definedName>
    <definedName name="V_KEYWORD_EQTY_200012762_TP_PERIOD">#REF!</definedName>
    <definedName name="V_KEYWORD_ISSR_208000603_ACC_AMORT">#REF!</definedName>
    <definedName name="V_KEYWORD_ISSR_208000603_ACC_DDA">#REF!</definedName>
    <definedName name="V_KEYWORD_ISSR_208000603_ACC_END_DATE">#REF!</definedName>
    <definedName name="V_KEYWORD_ISSR_208000603_ACC_GW_AM">#REF!</definedName>
    <definedName name="V_KEYWORD_ISSR_208000603_ACC_PAY_GQ">#REF!</definedName>
    <definedName name="V_KEYWORD_ISSR_208000603_ACCUM_AMORT">#REF!</definedName>
    <definedName name="V_KEYWORD_ISSR_208000603_ACQ">#REF!</definedName>
    <definedName name="V_KEYWORD_ISSR_208000603_ADJ_UNF_PENS_GOOD">#REF!</definedName>
    <definedName name="V_KEYWORD_ISSR_208000603_ASSOC_JV_ADDBK">#REF!</definedName>
    <definedName name="V_KEYWORD_ISSR_208000603_ASSOCIATE">#REF!</definedName>
    <definedName name="V_KEYWORD_ISSR_208000603_ASSOCIATE_OP">#REF!</definedName>
    <definedName name="V_KEYWORD_ISSR_208000603_BAL_MINO_INT">#REF!</definedName>
    <definedName name="V_KEYWORD_ISSR_208000603_CAP_LEASES">#REF!</definedName>
    <definedName name="V_KEYWORD_ISSR_208000603_CAPEX">#REF!</definedName>
    <definedName name="V_KEYWORD_ISSR_208000603_CAPEX_EXPANSION">#REF!</definedName>
    <definedName name="V_KEYWORD_ISSR_208000603_CAPEX_MAINTENANCE">#REF!</definedName>
    <definedName name="V_KEYWORD_ISSR_208000603_CASH_EQ">#REF!</definedName>
    <definedName name="V_KEYWORD_ISSR_208000603_CASH_INT_EXP">#REF!</definedName>
    <definedName name="V_KEYWORD_ISSR_208000603_CASH_TAX_EXP">#REF!</definedName>
    <definedName name="V_KEYWORD_ISSR_208000603_CF_FIN">#REF!</definedName>
    <definedName name="V_KEYWORD_ISSR_208000603_CF_INC_MINORITY">#REF!</definedName>
    <definedName name="V_KEYWORD_ISSR_208000603_CF_INV">#REF!</definedName>
    <definedName name="V_KEYWORD_ISSR_208000603_CF_OPS">#REF!</definedName>
    <definedName name="V_KEYWORD_ISSR_208000603_CHG_LT_DEBT">#REF!</definedName>
    <definedName name="V_KEYWORD_ISSR_208000603_CO_BOR_MARGIN">#REF!</definedName>
    <definedName name="V_KEYWORD_ISSR_208000603_COST_GD_SD">#REF!</definedName>
    <definedName name="V_KEYWORD_ISSR_208000603_CUR_ASS">#REF!</definedName>
    <definedName name="V_KEYWORD_ISSR_208000603_CURRENCY_ISO">#REF!</definedName>
    <definedName name="V_KEYWORD_ISSR_208000603_DEBTORS">#REF!</definedName>
    <definedName name="V_KEYWORD_ISSR_208000603_DEF_INC_TAX">#REF!</definedName>
    <definedName name="V_KEYWORD_ISSR_208000603_DEPR_AMORT">#REF!</definedName>
    <definedName name="V_KEYWORD_ISSR_208000603_DEPREC">#REF!</definedName>
    <definedName name="V_KEYWORD_ISSR_208000603_DIV_PAID">#REF!</definedName>
    <definedName name="V_KEYWORD_ISSR_208000603_DIVDS_ASSOC_JV">#REF!</definedName>
    <definedName name="V_KEYWORD_ISSR_208000603_DIVDS_PD_MINORITIES">#REF!</definedName>
    <definedName name="V_KEYWORD_ISSR_208000603_DIVEST">#REF!</definedName>
    <definedName name="V_KEYWORD_ISSR_208000603_EBIT">#REF!</definedName>
    <definedName name="V_KEYWORD_ISSR_208000603_EBIT_FIN_SEGMENT">#REF!</definedName>
    <definedName name="V_KEYWORD_ISSR_208000603_EBITDA_CALC">#REF!</definedName>
    <definedName name="V_KEYWORD_ISSR_208000603_EMPLOYEES">#REF!</definedName>
    <definedName name="V_KEYWORD_ISSR_208000603_EQ">#REF!</definedName>
    <definedName name="V_KEYWORD_ISSR_208000603_ESO_PRE_TAX">#REF!</definedName>
    <definedName name="V_KEYWORD_ISSR_208000603_FIX_ASS_INV">#REF!</definedName>
    <definedName name="V_KEYWORD_ISSR_208000603_GCI_INFL">#REF!</definedName>
    <definedName name="V_KEYWORD_ISSR_208000603_GOODWILL_AMORT">#REF!</definedName>
    <definedName name="V_KEYWORD_ISSR_208000603_GR_FIX_ASS">#REF!</definedName>
    <definedName name="V_KEYWORD_ISSR_208000603_GR_INTANG">#REF!</definedName>
    <definedName name="V_KEYWORD_ISSR_208000603_GROSS_GW">#REF!</definedName>
    <definedName name="V_KEYWORD_ISSR_208000603_GROSS_OTH_INTANG">#REF!</definedName>
    <definedName name="V_KEYWORD_ISSR_208000603_GT_BLEND_ARPU_PC">#REF!</definedName>
    <definedName name="V_KEYWORD_ISSR_208000603_GT_BLEND_MOU">#REF!</definedName>
    <definedName name="V_KEYWORD_ISSR_208000603_GT_CAPEX_MOU">#REF!</definedName>
    <definedName name="V_KEYWORD_ISSR_208000603_GT_DSL_SUB">#REF!</definedName>
    <definedName name="V_KEYWORD_ISSR_208000603_GT_FIX_DATA_REV">#REF!</definedName>
    <definedName name="V_KEYWORD_ISSR_208000603_GT_FIX_VOICE_REV">#REF!</definedName>
    <definedName name="V_KEYWORD_ISSR_208000603_GT_LD_SUB">#REF!</definedName>
    <definedName name="V_KEYWORD_ISSR_208000603_GT_MOB_DATA_REV">#REF!</definedName>
    <definedName name="V_KEYWORD_ISSR_208000603_GT_MOB_VOICE_REV">#REF!</definedName>
    <definedName name="V_KEYWORD_ISSR_208000603_GT_OTH_CAPEX">#REF!</definedName>
    <definedName name="V_KEYWORD_ISSR_208000603_GT_OTH_REV">#REF!</definedName>
    <definedName name="V_KEYWORD_ISSR_208000603_GT_OTHER_REV">#REF!</definedName>
    <definedName name="V_KEYWORD_ISSR_208000603_GT_PAY_TV_REV">#REF!</definedName>
    <definedName name="V_KEYWORD_ISSR_208000603_GT_SERVC_REV">#REF!</definedName>
    <definedName name="V_KEYWORD_ISSR_208000603_GT_TOT_ACC_LINE">#REF!</definedName>
    <definedName name="V_KEYWORD_ISSR_208000603_GT_TOT_BUS_LINE">#REF!</definedName>
    <definedName name="V_KEYWORD_ISSR_208000603_GT_TOT_MINS">#REF!</definedName>
    <definedName name="V_KEYWORD_ISSR_208000603_GT_TOT_PPD_SUB_PC">#REF!</definedName>
    <definedName name="V_KEYWORD_ISSR_208000603_GT_TOT_RES_LINE">#REF!</definedName>
    <definedName name="V_KEYWORD_ISSR_208000603_GT_TOT_RET_LINE">#REF!</definedName>
    <definedName name="V_KEYWORD_ISSR_208000603_GT_WRLN_CAPEX">#REF!</definedName>
    <definedName name="V_KEYWORD_ISSR_208000603_GT_WRLN_REV">#REF!</definedName>
    <definedName name="V_KEYWORD_ISSR_208000603_GT_WRLS_ARPU">#REF!</definedName>
    <definedName name="V_KEYWORD_ISSR_208000603_GT_WRLS_CAPEX">#REF!</definedName>
    <definedName name="V_KEYWORD_ISSR_208000603_GT_WRLS_CHURN">#REF!</definedName>
    <definedName name="V_KEYWORD_ISSR_208000603_GT_WRLS_REV">#REF!</definedName>
    <definedName name="V_KEYWORD_ISSR_208000603_GT_WRLS_SUB">#REF!</definedName>
    <definedName name="V_KEYWORD_ISSR_208000603_INT_EXP_IND">#REF!</definedName>
    <definedName name="V_KEYWORD_ISSR_208000603_INT_INC_IND">#REF!</definedName>
    <definedName name="V_KEYWORD_ISSR_208000603_INT_PAID_CF">#REF!</definedName>
    <definedName name="V_KEYWORD_ISSR_208000603_INTANG_CAPEX">#REF!</definedName>
    <definedName name="V_KEYWORD_ISSR_208000603_INV_SECUR">#REF!</definedName>
    <definedName name="V_KEYWORD_ISSR_208000603_Issuer_Name">#REF!</definedName>
    <definedName name="V_KEYWORD_ISSR_208000603_LEASE_DEEM_DEPR">#REF!</definedName>
    <definedName name="V_KEYWORD_ISSR_208000603_LEASE_DEEM_INT">#REF!</definedName>
    <definedName name="V_KEYWORD_ISSR_208000603_LEASE_PAY">#REF!</definedName>
    <definedName name="V_KEYWORD_ISSR_208000603_LT_DEBT">#REF!</definedName>
    <definedName name="V_KEYWORD_ISSR_208000603_MA_PROB">#REF!</definedName>
    <definedName name="V_KEYWORD_ISSR_208000603_MINORITIES">#REF!</definedName>
    <definedName name="V_KEYWORD_ISSR_208000603_MV_ASSOCIATES">#REF!</definedName>
    <definedName name="V_KEYWORD_ISSR_208000603_NET_DEBT">#REF!</definedName>
    <definedName name="V_KEYWORD_ISSR_208000603_NET_DEBT_ADJ">#REF!</definedName>
    <definedName name="V_KEYWORD_ISSR_208000603_NET_FIX_ASS">#REF!</definedName>
    <definedName name="V_KEYWORD_ISSR_208000603_NET_GW">#REF!</definedName>
    <definedName name="V_KEYWORD_ISSR_208000603_NET_INT_CH">#REF!</definedName>
    <definedName name="V_KEYWORD_ISSR_208000603_NET_INT_EXP">#REF!</definedName>
    <definedName name="V_KEYWORD_ISSR_208000603_NET_INTANG">#REF!</definedName>
    <definedName name="V_KEYWORD_ISSR_208000603_NET_OTH_INTANG">#REF!</definedName>
    <definedName name="V_KEYWORD_ISSR_208000603_NONPPE_CAPEX">#REF!</definedName>
    <definedName name="V_KEYWORD_ISSR_208000603_OP_AUSTRA">#REF!</definedName>
    <definedName name="V_KEYWORD_ISSR_208000603_OP_AUSTRIA">#REF!</definedName>
    <definedName name="V_KEYWORD_ISSR_208000603_OP_BEL">#REF!</definedName>
    <definedName name="V_KEYWORD_ISSR_208000603_OP_BRAZIL">#REF!</definedName>
    <definedName name="V_KEYWORD_ISSR_208000603_OP_CANADA">#REF!</definedName>
    <definedName name="V_KEYWORD_ISSR_208000603_OP_CEE">#REF!</definedName>
    <definedName name="V_KEYWORD_ISSR_208000603_OP_CHINA">#REF!</definedName>
    <definedName name="V_KEYWORD_ISSR_208000603_OP_CONS">#REF!</definedName>
    <definedName name="V_KEYWORD_ISSR_208000603_OP_COST">#REF!</definedName>
    <definedName name="V_KEYWORD_ISSR_208000603_OP_DEN">#REF!</definedName>
    <definedName name="V_KEYWORD_ISSR_208000603_OP_EU_EX_UK">#REF!</definedName>
    <definedName name="V_KEYWORD_ISSR_208000603_OP_FIN">#REF!</definedName>
    <definedName name="V_KEYWORD_ISSR_208000603_OP_FRA">#REF!</definedName>
    <definedName name="V_KEYWORD_ISSR_208000603_OP_GER">#REF!</definedName>
    <definedName name="V_KEYWORD_ISSR_208000603_OP_GOV">#REF!</definedName>
    <definedName name="V_KEYWORD_ISSR_208000603_OP_GRE">#REF!</definedName>
    <definedName name="V_KEYWORD_ISSR_208000603_OP_ICE">#REF!</definedName>
    <definedName name="V_KEYWORD_ISSR_208000603_OP_IND">#REF!</definedName>
    <definedName name="V_KEYWORD_ISSR_208000603_OP_INDIA">#REF!</definedName>
    <definedName name="V_KEYWORD_ISSR_208000603_OP_IRE">#REF!</definedName>
    <definedName name="V_KEYWORD_ISSR_208000603_OP_ITA">#REF!</definedName>
    <definedName name="V_KEYWORD_ISSR_208000603_OP_JAPAN">#REF!</definedName>
    <definedName name="V_KEYWORD_ISSR_208000603_OP_ME">#REF!</definedName>
    <definedName name="V_KEYWORD_ISSR_208000603_OP_NETH">#REF!</definedName>
    <definedName name="V_KEYWORD_ISSR_208000603_OP_NOR">#REF!</definedName>
    <definedName name="V_KEYWORD_ISSR_208000603_OP_NZ">#REF!</definedName>
    <definedName name="V_KEYWORD_ISSR_208000603_OP_OTH_AEJ">#REF!</definedName>
    <definedName name="V_KEYWORD_ISSR_208000603_OP_OTH_AM">#REF!</definedName>
    <definedName name="V_KEYWORD_ISSR_208000603_OP_OTH_EMEA">#REF!</definedName>
    <definedName name="V_KEYWORD_ISSR_208000603_OP_OTHER">#REF!</definedName>
    <definedName name="V_KEYWORD_ISSR_208000603_OP_POR">#REF!</definedName>
    <definedName name="V_KEYWORD_ISSR_208000603_OP_RUSSIA">#REF!</definedName>
    <definedName name="V_KEYWORD_ISSR_208000603_OP_SK">#REF!</definedName>
    <definedName name="V_KEYWORD_ISSR_208000603_OP_SPA">#REF!</definedName>
    <definedName name="V_KEYWORD_ISSR_208000603_OP_SWE">#REF!</definedName>
    <definedName name="V_KEYWORD_ISSR_208000603_OP_SWIT">#REF!</definedName>
    <definedName name="V_KEYWORD_ISSR_208000603_OP_TOT_AM">#REF!</definedName>
    <definedName name="V_KEYWORD_ISSR_208000603_OP_TOT_ASIA">#REF!</definedName>
    <definedName name="V_KEYWORD_ISSR_208000603_OP_TOT_EMEA">#REF!</definedName>
    <definedName name="V_KEYWORD_ISSR_208000603_OP_UK">#REF!</definedName>
    <definedName name="V_KEYWORD_ISSR_208000603_OP_US">#REF!</definedName>
    <definedName name="V_KEYWORD_ISSR_208000603_ORD_SH_FUND">#REF!</definedName>
    <definedName name="V_KEYWORD_ISSR_208000603_OTH_COST_INC">#REF!</definedName>
    <definedName name="V_KEYWORD_ISSR_208000603_OTH_CUR_ASS">#REF!</definedName>
    <definedName name="V_KEYWORD_ISSR_208000603_OTH_CUR_LIABS">#REF!</definedName>
    <definedName name="V_KEYWORD_ISSR_208000603_OTH_DACF_ADJ">#REF!</definedName>
    <definedName name="V_KEYWORD_ISSR_208000603_OTH_FIN_CF">#REF!</definedName>
    <definedName name="V_KEYWORD_ISSR_208000603_OTH_GCI_ADJ">#REF!</definedName>
    <definedName name="V_KEYWORD_ISSR_208000603_OTH_INV_CF">#REF!</definedName>
    <definedName name="V_KEYWORD_ISSR_208000603_OTH_LT_ASS">#REF!</definedName>
    <definedName name="V_KEYWORD_ISSR_208000603_OTH_LT_CRED_GQ">#REF!</definedName>
    <definedName name="V_KEYWORD_ISSR_208000603_OTH_NONCASH_ADJ">#REF!</definedName>
    <definedName name="V_KEYWORD_ISSR_208000603_OTH_OP_CF">#REF!</definedName>
    <definedName name="V_KEYWORD_ISSR_208000603_OTH_OP_INC_EXP">#REF!</definedName>
    <definedName name="V_KEYWORD_ISSR_208000603_PERIOD_MILESTONE">#REF!</definedName>
    <definedName name="V_KEYWORD_ISSR_208000603_PL_SALE_ASSETS">#REF!</definedName>
    <definedName name="V_KEYWORD_ISSR_208000603_PPNT_FCF">#REF!</definedName>
    <definedName name="V_KEYWORD_ISSR_208000603_PREF_SH">#REF!</definedName>
    <definedName name="V_KEYWORD_ISSR_208000603_PROFIT_ON_DISP">#REF!</definedName>
    <definedName name="V_KEYWORD_ISSR_208000603_PT_PROF">#REF!</definedName>
    <definedName name="V_KEYWORD_ISSR_208000603_RD_EXP">#REF!</definedName>
    <definedName name="V_KEYWORD_ISSR_208000603_REV_FIN_SEGMENT">#REF!</definedName>
    <definedName name="V_KEYWORD_ISSR_208000603_SALES">#REF!</definedName>
    <definedName name="V_KEYWORD_ISSR_208000603_SALES_AUSTRA">#REF!</definedName>
    <definedName name="V_KEYWORD_ISSR_208000603_SALES_AUSTRIA">#REF!</definedName>
    <definedName name="V_KEYWORD_ISSR_208000603_SALES_BEL">#REF!</definedName>
    <definedName name="V_KEYWORD_ISSR_208000603_SALES_BRAZIL">#REF!</definedName>
    <definedName name="V_KEYWORD_ISSR_208000603_SALES_CANADA">#REF!</definedName>
    <definedName name="V_KEYWORD_ISSR_208000603_SALES_CEE">#REF!</definedName>
    <definedName name="V_KEYWORD_ISSR_208000603_SALES_CHINA">#REF!</definedName>
    <definedName name="V_KEYWORD_ISSR_208000603_SALES_CONS">#REF!</definedName>
    <definedName name="V_KEYWORD_ISSR_208000603_SALES_DEN">#REF!</definedName>
    <definedName name="V_KEYWORD_ISSR_208000603_SALES_EU_EX_UK">#REF!</definedName>
    <definedName name="V_KEYWORD_ISSR_208000603_SALES_FIN">#REF!</definedName>
    <definedName name="V_KEYWORD_ISSR_208000603_SALES_FINAN">#REF!</definedName>
    <definedName name="V_KEYWORD_ISSR_208000603_SALES_FRA">#REF!</definedName>
    <definedName name="V_KEYWORD_ISSR_208000603_SALES_GER">#REF!</definedName>
    <definedName name="V_KEYWORD_ISSR_208000603_SALES_GOV">#REF!</definedName>
    <definedName name="V_KEYWORD_ISSR_208000603_SALES_GRE">#REF!</definedName>
    <definedName name="V_KEYWORD_ISSR_208000603_SALES_ICE">#REF!</definedName>
    <definedName name="V_KEYWORD_ISSR_208000603_SALES_IND">#REF!</definedName>
    <definedName name="V_KEYWORD_ISSR_208000603_SALES_INDIA">#REF!</definedName>
    <definedName name="V_KEYWORD_ISSR_208000603_SALES_IRE">#REF!</definedName>
    <definedName name="V_KEYWORD_ISSR_208000603_SALES_ITA">#REF!</definedName>
    <definedName name="V_KEYWORD_ISSR_208000603_SALES_JAPAN">#REF!</definedName>
    <definedName name="V_KEYWORD_ISSR_208000603_SALES_ME">#REF!</definedName>
    <definedName name="V_KEYWORD_ISSR_208000603_SALES_NETH">#REF!</definedName>
    <definedName name="V_KEYWORD_ISSR_208000603_SALES_NOR">#REF!</definedName>
    <definedName name="V_KEYWORD_ISSR_208000603_SALES_NZ">#REF!</definedName>
    <definedName name="V_KEYWORD_ISSR_208000603_SALES_OTH_AEJ">#REF!</definedName>
    <definedName name="V_KEYWORD_ISSR_208000603_SALES_OTH_AM">#REF!</definedName>
    <definedName name="V_KEYWORD_ISSR_208000603_SALES_OTH_EMEA">#REF!</definedName>
    <definedName name="V_KEYWORD_ISSR_208000603_SALES_OTHER">#REF!</definedName>
    <definedName name="V_KEYWORD_ISSR_208000603_SALES_POR">#REF!</definedName>
    <definedName name="V_KEYWORD_ISSR_208000603_SALES_RUSSIA">#REF!</definedName>
    <definedName name="V_KEYWORD_ISSR_208000603_SALES_SK">#REF!</definedName>
    <definedName name="V_KEYWORD_ISSR_208000603_SALES_SMB">#REF!</definedName>
    <definedName name="V_KEYWORD_ISSR_208000603_SALES_SPA">#REF!</definedName>
    <definedName name="V_KEYWORD_ISSR_208000603_SALES_SWE">#REF!</definedName>
    <definedName name="V_KEYWORD_ISSR_208000603_SALES_SWIT">#REF!</definedName>
    <definedName name="V_KEYWORD_ISSR_208000603_SALES_TOT_AM">#REF!</definedName>
    <definedName name="V_KEYWORD_ISSR_208000603_SALES_TOT_ASIA">#REF!</definedName>
    <definedName name="V_KEYWORD_ISSR_208000603_SALES_TOT_EMEA">#REF!</definedName>
    <definedName name="V_KEYWORD_ISSR_208000603_SALES_UK">#REF!</definedName>
    <definedName name="V_KEYWORD_ISSR_208000603_SALES_US">#REF!</definedName>
    <definedName name="V_KEYWORD_ISSR_208000603_SEL_GL_AD">#REF!</definedName>
    <definedName name="V_KEYWORD_ISSR_208000603_SH_REPUR">#REF!</definedName>
    <definedName name="V_KEYWORD_ISSR_208000603_SHORT_T_DEBT">#REF!</definedName>
    <definedName name="V_KEYWORD_ISSR_208000603_SHORT_TERM_LIABS">#REF!</definedName>
    <definedName name="V_KEYWORD_ISSR_208000603_STOCKS">#REF!</definedName>
    <definedName name="V_KEYWORD_ISSR_208000603_TANG_CAPEX">#REF!</definedName>
    <definedName name="V_KEYWORD_ISSR_208000603_TAX_PAID_CF">#REF!</definedName>
    <definedName name="V_KEYWORD_ISSR_208000603_TOT_ASSET">#REF!</definedName>
    <definedName name="V_KEYWORD_ISSR_208000603_TOT_CF">#REF!</definedName>
    <definedName name="V_KEYWORD_ISSR_208000603_TOT_LIAB">#REF!</definedName>
    <definedName name="V_KEYWORD_ISSR_208000603_TOT_LIAB_EQ">#REF!</definedName>
    <definedName name="V_KEYWORD_ISSR_208000603_TOT_LT_LIAB">#REF!</definedName>
    <definedName name="V_KEYWORD_ISSR_208000603_TOT_OPS_EXP">#REF!</definedName>
    <definedName name="V_KEYWORD_ISSR_208000603_TOT_OPS_EXP_DDA">#REF!</definedName>
    <definedName name="V_KEYWORD_ISSR_208000603_UNF_PENS">#REF!</definedName>
    <definedName name="V_KEYWORD_ISSR_208000603_UNF_PENS_LIAB_OTH">#REF!</definedName>
    <definedName name="V_KEYWORD_ISSR_208000603_UNF_PENS_OFF">#REF!</definedName>
    <definedName name="V_KEYWORD_ISSR_208000603_WORK_CAP">#REF!</definedName>
    <definedName name="V_KEYWORD_ISSR_208001048_ORG_REV_GRTH">#REF!</definedName>
    <definedName name="V_KEYWORD_ISSR_208001258_ACC_AMORT">#REF!</definedName>
    <definedName name="V_KEYWORD_ISSR_208001258_ACC_DDA">#REF!</definedName>
    <definedName name="V_KEYWORD_ISSR_208001258_ACC_END_DATE">#REF!</definedName>
    <definedName name="V_KEYWORD_ISSR_208001258_ACC_PAY_GQ">#REF!</definedName>
    <definedName name="V_KEYWORD_ISSR_208001258_ACQ">#REF!</definedName>
    <definedName name="V_KEYWORD_ISSR_208001258_ADJ_UNF_PENS_GOOD">#REF!</definedName>
    <definedName name="V_KEYWORD_ISSR_208001258_ASSOC_JV_ADDBK">#REF!</definedName>
    <definedName name="V_KEYWORD_ISSR_208001258_ASSOCIATE">#REF!</definedName>
    <definedName name="V_KEYWORD_ISSR_208001258_ASSOCIATE_OP">#REF!</definedName>
    <definedName name="V_KEYWORD_ISSR_208001258_BAL_MINO_INT">#REF!</definedName>
    <definedName name="V_KEYWORD_ISSR_208001258_CAP_LEASES">#REF!</definedName>
    <definedName name="V_KEYWORD_ISSR_208001258_CAPEX">#REF!</definedName>
    <definedName name="V_KEYWORD_ISSR_208001258_CAPEX_EXPANSION">#REF!</definedName>
    <definedName name="V_KEYWORD_ISSR_208001258_CAPEX_MAINTENANCE">#REF!</definedName>
    <definedName name="V_KEYWORD_ISSR_208001258_CASH_EQ">#REF!</definedName>
    <definedName name="V_KEYWORD_ISSR_208001258_CASH_INT_EXP">#REF!</definedName>
    <definedName name="V_KEYWORD_ISSR_208001258_CASH_PCT_OS_US">#REF!</definedName>
    <definedName name="V_KEYWORD_ISSR_208001258_CASH_TAX_EXP">#REF!</definedName>
    <definedName name="V_KEYWORD_ISSR_208001258_CF_FIN">#REF!</definedName>
    <definedName name="V_KEYWORD_ISSR_208001258_CF_INC_MINORITY">#REF!</definedName>
    <definedName name="V_KEYWORD_ISSR_208001258_CF_INV">#REF!</definedName>
    <definedName name="V_KEYWORD_ISSR_208001258_CF_OPS">#REF!</definedName>
    <definedName name="V_KEYWORD_ISSR_208001258_CHG_LT_DEBT">#REF!</definedName>
    <definedName name="V_KEYWORD_ISSR_208001258_CO_BOR_MARGIN">#REF!</definedName>
    <definedName name="V_KEYWORD_ISSR_208001258_COST_GD_SD">#REF!</definedName>
    <definedName name="V_KEYWORD_ISSR_208001258_CUR_ASS">#REF!</definedName>
    <definedName name="V_KEYWORD_ISSR_208001258_CURRENCY_ISO">#REF!</definedName>
    <definedName name="V_KEYWORD_ISSR_208001258_DEBTORS">#REF!</definedName>
    <definedName name="V_KEYWORD_ISSR_208001258_DEF_INC_TAX">#REF!</definedName>
    <definedName name="V_KEYWORD_ISSR_208001258_DEPR_AMORT">#REF!</definedName>
    <definedName name="V_KEYWORD_ISSR_208001258_DEPREC">#REF!</definedName>
    <definedName name="V_KEYWORD_ISSR_208001258_DIV_PAID">#REF!</definedName>
    <definedName name="V_KEYWORD_ISSR_208001258_DIVDS_ASSOC_JV">#REF!</definedName>
    <definedName name="V_KEYWORD_ISSR_208001258_DIVDS_PD_MINORITIES">#REF!</definedName>
    <definedName name="V_KEYWORD_ISSR_208001258_DIVEST">#REF!</definedName>
    <definedName name="V_KEYWORD_ISSR_208001258_EBIT">#REF!</definedName>
    <definedName name="V_KEYWORD_ISSR_208001258_EBIT_FIN_SEGMENT">#REF!</definedName>
    <definedName name="V_KEYWORD_ISSR_208001258_EBITDA_CALC">#REF!</definedName>
    <definedName name="V_KEYWORD_ISSR_208001258_EMPLOYEES">#REF!</definedName>
    <definedName name="V_KEYWORD_ISSR_208001258_EQ">#REF!</definedName>
    <definedName name="V_KEYWORD_ISSR_208001258_ESO_PRE_TAX">#REF!</definedName>
    <definedName name="V_KEYWORD_ISSR_208001258_EXP_ALUMINIUM">#REF!</definedName>
    <definedName name="V_KEYWORD_ISSR_208001258_EXP_COPPER">#REF!</definedName>
    <definedName name="V_KEYWORD_ISSR_208001258_EXP_GLASS">#REF!</definedName>
    <definedName name="V_KEYWORD_ISSR_208001258_EXP_GOLD">#REF!</definedName>
    <definedName name="V_KEYWORD_ISSR_208001258_EXP_NICKEL">#REF!</definedName>
    <definedName name="V_KEYWORD_ISSR_208001258_EXP_OIL_DERIV_NGLS_PLASTICS">#REF!</definedName>
    <definedName name="V_KEYWORD_ISSR_208001258_EXP_OIL_PETRO_FUEL">#REF!</definedName>
    <definedName name="V_KEYWORD_ISSR_208001258_EXP_OTH_COMMODITY">#REF!</definedName>
    <definedName name="V_KEYWORD_ISSR_208001258_EXP_OTH_COST">#REF!</definedName>
    <definedName name="V_KEYWORD_ISSR_208001258_EXP_PALLADIUM">#REF!</definedName>
    <definedName name="V_KEYWORD_ISSR_208001258_EXP_PAPER_PULP">#REF!</definedName>
    <definedName name="V_KEYWORD_ISSR_208001258_EXP_PLATINUM">#REF!</definedName>
    <definedName name="V_KEYWORD_ISSR_208001258_EXP_SILVER">#REF!</definedName>
    <definedName name="V_KEYWORD_ISSR_208001258_EXP_WATER">#REF!</definedName>
    <definedName name="V_KEYWORD_ISSR_208001258_EXP_ZINC">#REF!</definedName>
    <definedName name="V_KEYWORD_ISSR_208001258_FIX_ASS_INV">#REF!</definedName>
    <definedName name="V_KEYWORD_ISSR_208001258_GCI_INFL">#REF!</definedName>
    <definedName name="V_KEYWORD_ISSR_208001258_GOODWILL_AMORT">#REF!</definedName>
    <definedName name="V_KEYWORD_ISSR_208001258_GR_FIX_ASS">#REF!</definedName>
    <definedName name="V_KEYWORD_ISSR_208001258_GR_INTANG">#REF!</definedName>
    <definedName name="V_KEYWORD_ISSR_208001258_INT_EXP_IND">#REF!</definedName>
    <definedName name="V_KEYWORD_ISSR_208001258_INT_INC_IND">#REF!</definedName>
    <definedName name="V_KEYWORD_ISSR_208001258_INV_SECUR">#REF!</definedName>
    <definedName name="V_KEYWORD_ISSR_208001258_Issuer_Name">#REF!</definedName>
    <definedName name="V_KEYWORD_ISSR_208001258_LEASE_DEEM_DEPR">#REF!</definedName>
    <definedName name="V_KEYWORD_ISSR_208001258_LEASE_DEEM_INT">#REF!</definedName>
    <definedName name="V_KEYWORD_ISSR_208001258_LEASE_PAY">#REF!</definedName>
    <definedName name="V_KEYWORD_ISSR_208001258_LT_DEBT">#REF!</definedName>
    <definedName name="V_KEYWORD_ISSR_208001258_MA_PROB">#REF!</definedName>
    <definedName name="V_KEYWORD_ISSR_208001258_MINORITIES">#REF!</definedName>
    <definedName name="V_KEYWORD_ISSR_208001258_MV_ASSOCIATES">#REF!</definedName>
    <definedName name="V_KEYWORD_ISSR_208001258_NET_DEBT">#REF!</definedName>
    <definedName name="V_KEYWORD_ISSR_208001258_NET_DEBT_ADJ">#REF!</definedName>
    <definedName name="V_KEYWORD_ISSR_208001258_NET_FIX_ASS">#REF!</definedName>
    <definedName name="V_KEYWORD_ISSR_208001258_NET_INT_CH">#REF!</definedName>
    <definedName name="V_KEYWORD_ISSR_208001258_NET_INT_EXP">#REF!</definedName>
    <definedName name="V_KEYWORD_ISSR_208001258_NET_INTANG">#REF!</definedName>
    <definedName name="V_KEYWORD_ISSR_208001258_NONPPE_CAPEX">#REF!</definedName>
    <definedName name="V_KEYWORD_ISSR_208001258_OP_COST">#REF!</definedName>
    <definedName name="V_KEYWORD_ISSR_208001258_ORD_SH_FUND">#REF!</definedName>
    <definedName name="V_KEYWORD_ISSR_208001258_ORG_REV_GRTH">#REF!</definedName>
    <definedName name="V_KEYWORD_ISSR_208001258_OTH_COST_INC">#REF!</definedName>
    <definedName name="V_KEYWORD_ISSR_208001258_OTH_CUR_ASS">#REF!</definedName>
    <definedName name="V_KEYWORD_ISSR_208001258_OTH_CUR_LIABS">#REF!</definedName>
    <definedName name="V_KEYWORD_ISSR_208001258_OTH_DACF_ADJ">#REF!</definedName>
    <definedName name="V_KEYWORD_ISSR_208001258_OTH_FIN_CF">#REF!</definedName>
    <definedName name="V_KEYWORD_ISSR_208001258_OTH_GCI_ADJ">#REF!</definedName>
    <definedName name="V_KEYWORD_ISSR_208001258_OTH_INV_CF">#REF!</definedName>
    <definedName name="V_KEYWORD_ISSR_208001258_OTH_LT_ASS">#REF!</definedName>
    <definedName name="V_KEYWORD_ISSR_208001258_OTH_LT_CRED_GQ">#REF!</definedName>
    <definedName name="V_KEYWORD_ISSR_208001258_OTH_NONCASH_ADJ">#REF!</definedName>
    <definedName name="V_KEYWORD_ISSR_208001258_OTH_OP_CF">#REF!</definedName>
    <definedName name="V_KEYWORD_ISSR_208001258_OTH_OP_INC_EXP">#REF!</definedName>
    <definedName name="V_KEYWORD_ISSR_208001258_PERIOD_MILESTONE">#REF!</definedName>
    <definedName name="V_KEYWORD_ISSR_208001258_PL_SALE_ASSETS">#REF!</definedName>
    <definedName name="V_KEYWORD_ISSR_208001258_PREF_SH">#REF!</definedName>
    <definedName name="V_KEYWORD_ISSR_208001258_PROFIT_ON_DISP">#REF!</definedName>
    <definedName name="V_KEYWORD_ISSR_208001258_PT_PROF">#REF!</definedName>
    <definedName name="V_KEYWORD_ISSR_208001258_RD_EXP">#REF!</definedName>
    <definedName name="V_KEYWORD_ISSR_208001258_REV_FIN_SEGMENT">#REF!</definedName>
    <definedName name="V_KEYWORD_ISSR_208001258_SALES">#REF!</definedName>
    <definedName name="V_KEYWORD_ISSR_208001258_SALES_ARGENTINA">#REF!</definedName>
    <definedName name="V_KEYWORD_ISSR_208001258_SALES_BRAZIL">#REF!</definedName>
    <definedName name="V_KEYWORD_ISSR_208001258_SALES_CANADA">#REF!</definedName>
    <definedName name="V_KEYWORD_ISSR_208001258_SALES_CEE">#REF!</definedName>
    <definedName name="V_KEYWORD_ISSR_208001258_SALES_CHILE">#REF!</definedName>
    <definedName name="V_KEYWORD_ISSR_208001258_SALES_CHINA">#REF!</definedName>
    <definedName name="V_KEYWORD_ISSR_208001258_SALES_COLOMBIA">#REF!</definedName>
    <definedName name="V_KEYWORD_ISSR_208001258_SALES_CONS">#REF!</definedName>
    <definedName name="V_KEYWORD_ISSR_208001258_SALES_EU_EX_UK">#REF!</definedName>
    <definedName name="V_KEYWORD_ISSR_208001258_SALES_FINAN">#REF!</definedName>
    <definedName name="V_KEYWORD_ISSR_208001258_SALES_FX_ARS">#REF!</definedName>
    <definedName name="V_KEYWORD_ISSR_208001258_SALES_FX_BRL">#REF!</definedName>
    <definedName name="V_KEYWORD_ISSR_208001258_SALES_FX_CAD">#REF!</definedName>
    <definedName name="V_KEYWORD_ISSR_208001258_SALES_FX_CLP">#REF!</definedName>
    <definedName name="V_KEYWORD_ISSR_208001258_SALES_FX_CNY">#REF!</definedName>
    <definedName name="V_KEYWORD_ISSR_208001258_SALES_FX_COP">#REF!</definedName>
    <definedName name="V_KEYWORD_ISSR_208001258_SALES_FX_EUR">#REF!</definedName>
    <definedName name="V_KEYWORD_ISSR_208001258_SALES_FX_GPB">#REF!</definedName>
    <definedName name="V_KEYWORD_ISSR_208001258_SALES_FX_INR">#REF!</definedName>
    <definedName name="V_KEYWORD_ISSR_208001258_SALES_FX_MXN">#REF!</definedName>
    <definedName name="V_KEYWORD_ISSR_208001258_SALES_FX_OTH">#REF!</definedName>
    <definedName name="V_KEYWORD_ISSR_208001258_SALES_FX_RUB">#REF!</definedName>
    <definedName name="V_KEYWORD_ISSR_208001258_SALES_FX_USD">#REF!</definedName>
    <definedName name="V_KEYWORD_ISSR_208001258_SALES_FX_VEF">#REF!</definedName>
    <definedName name="V_KEYWORD_ISSR_208001258_SALES_FX_YEN">#REF!</definedName>
    <definedName name="V_KEYWORD_ISSR_208001258_SALES_GOV">#REF!</definedName>
    <definedName name="V_KEYWORD_ISSR_208001258_SALES_IND">#REF!</definedName>
    <definedName name="V_KEYWORD_ISSR_208001258_SALES_INDIA">#REF!</definedName>
    <definedName name="V_KEYWORD_ISSR_208001258_SALES_JAPAN">#REF!</definedName>
    <definedName name="V_KEYWORD_ISSR_208001258_SALES_ME">#REF!</definedName>
    <definedName name="V_KEYWORD_ISSR_208001258_SALES_MEXICO">#REF!</definedName>
    <definedName name="V_KEYWORD_ISSR_208001258_SALES_OTH_AEJ">#REF!</definedName>
    <definedName name="V_KEYWORD_ISSR_208001258_SALES_OTH_AM">#REF!</definedName>
    <definedName name="V_KEYWORD_ISSR_208001258_SALES_OTH_EMEA">#REF!</definedName>
    <definedName name="V_KEYWORD_ISSR_208001258_SALES_OTHER">#REF!</definedName>
    <definedName name="V_KEYWORD_ISSR_208001258_SALES_RUSSIA">#REF!</definedName>
    <definedName name="V_KEYWORD_ISSR_208001258_SALES_SMB">#REF!</definedName>
    <definedName name="V_KEYWORD_ISSR_208001258_SALES_TOT_AFRICA">#REF!</definedName>
    <definedName name="V_KEYWORD_ISSR_208001258_SALES_TOT_AM">#REF!</definedName>
    <definedName name="V_KEYWORD_ISSR_208001258_SALES_TOT_ASIA">#REF!</definedName>
    <definedName name="V_KEYWORD_ISSR_208001258_SALES_TOT_EMEA">#REF!</definedName>
    <definedName name="V_KEYWORD_ISSR_208001258_SALES_UK">#REF!</definedName>
    <definedName name="V_KEYWORD_ISSR_208001258_SALES_US">#REF!</definedName>
    <definedName name="V_KEYWORD_ISSR_208001258_SALES_VENEZUELA">#REF!</definedName>
    <definedName name="V_KEYWORD_ISSR_208001258_SEL_GL_AD">#REF!</definedName>
    <definedName name="V_KEYWORD_ISSR_208001258_SH_REPUR">#REF!</definedName>
    <definedName name="V_KEYWORD_ISSR_208001258_SHORT_T_DEBT">#REF!</definedName>
    <definedName name="V_KEYWORD_ISSR_208001258_SHORT_TERM_LIABS">#REF!</definedName>
    <definedName name="V_KEYWORD_ISSR_208001258_STOCKS">#REF!</definedName>
    <definedName name="V_KEYWORD_ISSR_208001258_TOT_ASSET">#REF!</definedName>
    <definedName name="V_KEYWORD_ISSR_208001258_TOT_CF">#REF!</definedName>
    <definedName name="V_KEYWORD_ISSR_208001258_TOT_LIAB">#REF!</definedName>
    <definedName name="V_KEYWORD_ISSR_208001258_TOT_LIAB_EQ">#REF!</definedName>
    <definedName name="V_KEYWORD_ISSR_208001258_TOT_LT_LIAB">#REF!</definedName>
    <definedName name="V_KEYWORD_ISSR_208001258_TOT_OPS_EXP">#REF!</definedName>
    <definedName name="V_KEYWORD_ISSR_208001258_TOT_OPS_EXP_DDA">#REF!</definedName>
    <definedName name="V_KEYWORD_ISSR_208001258_UNF_PENS">#REF!</definedName>
    <definedName name="V_KEYWORD_ISSR_208001258_UNF_PENS_LIAB_OTH">#REF!</definedName>
    <definedName name="V_KEYWORD_ISSR_208001258_UNF_PENS_OFF">#REF!</definedName>
    <definedName name="V_KEYWORD_ISSR_208001258_WORK_CAP">#REF!</definedName>
    <definedName name="V_KEYWORD_ISSR_208009722_ACC_AMORT">#REF!</definedName>
    <definedName name="V_KEYWORD_ISSR_208009722_ACC_DDA">#REF!</definedName>
    <definedName name="V_KEYWORD_ISSR_208009722_ACC_END_DATE">#REF!</definedName>
    <definedName name="V_KEYWORD_ISSR_208009722_ACC_PAY_GQ">#REF!</definedName>
    <definedName name="V_KEYWORD_ISSR_208009722_ACQ">#REF!</definedName>
    <definedName name="V_KEYWORD_ISSR_208009722_ADJ_UNF_PENS_GOOD">#REF!</definedName>
    <definedName name="V_KEYWORD_ISSR_208009722_ASSOC_JV_ADDBK">#REF!</definedName>
    <definedName name="V_KEYWORD_ISSR_208009722_ASSOCIATE">#REF!</definedName>
    <definedName name="V_KEYWORD_ISSR_208009722_ASSOCIATE_OP">#REF!</definedName>
    <definedName name="V_KEYWORD_ISSR_208009722_BAL_MINO_INT">#REF!</definedName>
    <definedName name="V_KEYWORD_ISSR_208009722_CAP_LEASES">#REF!</definedName>
    <definedName name="V_KEYWORD_ISSR_208009722_CAPEX">#REF!</definedName>
    <definedName name="V_KEYWORD_ISSR_208009722_CAPEX_EXPANSION">#REF!</definedName>
    <definedName name="V_KEYWORD_ISSR_208009722_CAPEX_MAINTENANCE">#REF!</definedName>
    <definedName name="V_KEYWORD_ISSR_208009722_CASH_EQ">#REF!</definedName>
    <definedName name="V_KEYWORD_ISSR_208009722_CASH_INT_EXP">#REF!</definedName>
    <definedName name="V_KEYWORD_ISSR_208009722_CASH_TAX_EXP">#REF!</definedName>
    <definedName name="V_KEYWORD_ISSR_208009722_CF_FIN">#REF!</definedName>
    <definedName name="V_KEYWORD_ISSR_208009722_CF_INC_MINORITY">#REF!</definedName>
    <definedName name="V_KEYWORD_ISSR_208009722_CF_INV">#REF!</definedName>
    <definedName name="V_KEYWORD_ISSR_208009722_CF_OPS">#REF!</definedName>
    <definedName name="V_KEYWORD_ISSR_208009722_CHG_LT_DEBT">#REF!</definedName>
    <definedName name="V_KEYWORD_ISSR_208009722_CO_BOR_MARGIN">#REF!</definedName>
    <definedName name="V_KEYWORD_ISSR_208009722_COST_GD_SD">#REF!</definedName>
    <definedName name="V_KEYWORD_ISSR_208009722_CUR_ASS">#REF!</definedName>
    <definedName name="V_KEYWORD_ISSR_208009722_CURRENCY_ISO">#REF!</definedName>
    <definedName name="V_KEYWORD_ISSR_208009722_DEBTORS">#REF!</definedName>
    <definedName name="V_KEYWORD_ISSR_208009722_DEF_INC_TAX">#REF!</definedName>
    <definedName name="V_KEYWORD_ISSR_208009722_DEPR_AMORT">#REF!</definedName>
    <definedName name="V_KEYWORD_ISSR_208009722_DEPREC">#REF!</definedName>
    <definedName name="V_KEYWORD_ISSR_208009722_DIV_PAID">#REF!</definedName>
    <definedName name="V_KEYWORD_ISSR_208009722_DIVDS_ASSOC_JV">#REF!</definedName>
    <definedName name="V_KEYWORD_ISSR_208009722_DIVDS_PD_MINORITIES">#REF!</definedName>
    <definedName name="V_KEYWORD_ISSR_208009722_DIVEST">#REF!</definedName>
    <definedName name="V_KEYWORD_ISSR_208009722_EBIT">#REF!</definedName>
    <definedName name="V_KEYWORD_ISSR_208009722_EBIT_FIN_SEGMENT">#REF!</definedName>
    <definedName name="V_KEYWORD_ISSR_208009722_EBITDA_CALC">#REF!</definedName>
    <definedName name="V_KEYWORD_ISSR_208009722_EMPLOYEES">#REF!</definedName>
    <definedName name="V_KEYWORD_ISSR_208009722_EQ">#REF!</definedName>
    <definedName name="V_KEYWORD_ISSR_208009722_ESO_PRE_TAX">#REF!</definedName>
    <definedName name="V_KEYWORD_ISSR_208009722_FIX_ASS_INV">#REF!</definedName>
    <definedName name="V_KEYWORD_ISSR_208009722_GCI_INFL">#REF!</definedName>
    <definedName name="V_KEYWORD_ISSR_208009722_GOODWILL_AMORT">#REF!</definedName>
    <definedName name="V_KEYWORD_ISSR_208009722_GR_FIX_ASS">#REF!</definedName>
    <definedName name="V_KEYWORD_ISSR_208009722_GR_INTANG">#REF!</definedName>
    <definedName name="V_KEYWORD_ISSR_208009722_INT_EXP_IND">#REF!</definedName>
    <definedName name="V_KEYWORD_ISSR_208009722_INT_INC_IND">#REF!</definedName>
    <definedName name="V_KEYWORD_ISSR_208009722_INV_SECUR">#REF!</definedName>
    <definedName name="V_KEYWORD_ISSR_208009722_Issuer_Name">#REF!</definedName>
    <definedName name="V_KEYWORD_ISSR_208009722_LEASE_DEEM_DEPR">#REF!</definedName>
    <definedName name="V_KEYWORD_ISSR_208009722_LEASE_DEEM_INT">#REF!</definedName>
    <definedName name="V_KEYWORD_ISSR_208009722_LEASE_PAY">#REF!</definedName>
    <definedName name="V_KEYWORD_ISSR_208009722_LT_DEBT">#REF!</definedName>
    <definedName name="V_KEYWORD_ISSR_208009722_MA_PROB">#REF!</definedName>
    <definedName name="V_KEYWORD_ISSR_208009722_MINORITIES">#REF!</definedName>
    <definedName name="V_KEYWORD_ISSR_208009722_MV_ASSOCIATES">#REF!</definedName>
    <definedName name="V_KEYWORD_ISSR_208009722_NET_DEBT">#REF!</definedName>
    <definedName name="V_KEYWORD_ISSR_208009722_NET_DEBT_ADJ">#REF!</definedName>
    <definedName name="V_KEYWORD_ISSR_208009722_NET_FIX_ASS">#REF!</definedName>
    <definedName name="V_KEYWORD_ISSR_208009722_NET_INT_CH">#REF!</definedName>
    <definedName name="V_KEYWORD_ISSR_208009722_NET_INT_EXP">#REF!</definedName>
    <definedName name="V_KEYWORD_ISSR_208009722_NET_INTANG">#REF!</definedName>
    <definedName name="V_KEYWORD_ISSR_208009722_NONPPE_CAPEX">#REF!</definedName>
    <definedName name="V_KEYWORD_ISSR_208009722_OP_AUSTRA">#REF!</definedName>
    <definedName name="V_KEYWORD_ISSR_208009722_OP_AUSTRIA">#REF!</definedName>
    <definedName name="V_KEYWORD_ISSR_208009722_OP_BEL">#REF!</definedName>
    <definedName name="V_KEYWORD_ISSR_208009722_OP_BRAZIL">#REF!</definedName>
    <definedName name="V_KEYWORD_ISSR_208009722_OP_CANADA">#REF!</definedName>
    <definedName name="V_KEYWORD_ISSR_208009722_OP_CEE">#REF!</definedName>
    <definedName name="V_KEYWORD_ISSR_208009722_OP_CHINA">#REF!</definedName>
    <definedName name="V_KEYWORD_ISSR_208009722_OP_CONS">#REF!</definedName>
    <definedName name="V_KEYWORD_ISSR_208009722_OP_COST">#REF!</definedName>
    <definedName name="V_KEYWORD_ISSR_208009722_OP_DEN">#REF!</definedName>
    <definedName name="V_KEYWORD_ISSR_208009722_OP_EU_EX_UK">#REF!</definedName>
    <definedName name="V_KEYWORD_ISSR_208009722_OP_FIN">#REF!</definedName>
    <definedName name="V_KEYWORD_ISSR_208009722_OP_FRA">#REF!</definedName>
    <definedName name="V_KEYWORD_ISSR_208009722_OP_GER">#REF!</definedName>
    <definedName name="V_KEYWORD_ISSR_208009722_OP_GOV">#REF!</definedName>
    <definedName name="V_KEYWORD_ISSR_208009722_OP_GRE">#REF!</definedName>
    <definedName name="V_KEYWORD_ISSR_208009722_OP_ICE">#REF!</definedName>
    <definedName name="V_KEYWORD_ISSR_208009722_OP_IND">#REF!</definedName>
    <definedName name="V_KEYWORD_ISSR_208009722_OP_INDIA">#REF!</definedName>
    <definedName name="V_KEYWORD_ISSR_208009722_OP_IRE">#REF!</definedName>
    <definedName name="V_KEYWORD_ISSR_208009722_OP_ITA">#REF!</definedName>
    <definedName name="V_KEYWORD_ISSR_208009722_OP_JAPAN">#REF!</definedName>
    <definedName name="V_KEYWORD_ISSR_208009722_OP_ME">#REF!</definedName>
    <definedName name="V_KEYWORD_ISSR_208009722_OP_NETH">#REF!</definedName>
    <definedName name="V_KEYWORD_ISSR_208009722_OP_NOR">#REF!</definedName>
    <definedName name="V_KEYWORD_ISSR_208009722_OP_NZ">#REF!</definedName>
    <definedName name="V_KEYWORD_ISSR_208009722_OP_OTH_AEJ">#REF!</definedName>
    <definedName name="V_KEYWORD_ISSR_208009722_OP_OTH_AM">#REF!</definedName>
    <definedName name="V_KEYWORD_ISSR_208009722_OP_OTH_EMEA">#REF!</definedName>
    <definedName name="V_KEYWORD_ISSR_208009722_OP_OTHER">#REF!</definedName>
    <definedName name="V_KEYWORD_ISSR_208009722_OP_POR">#REF!</definedName>
    <definedName name="V_KEYWORD_ISSR_208009722_OP_RUSSIA">#REF!</definedName>
    <definedName name="V_KEYWORD_ISSR_208009722_OP_SK">#REF!</definedName>
    <definedName name="V_KEYWORD_ISSR_208009722_OP_SPA">#REF!</definedName>
    <definedName name="V_KEYWORD_ISSR_208009722_OP_SWE">#REF!</definedName>
    <definedName name="V_KEYWORD_ISSR_208009722_OP_SWIT">#REF!</definedName>
    <definedName name="V_KEYWORD_ISSR_208009722_OP_TOT_AM">#REF!</definedName>
    <definedName name="V_KEYWORD_ISSR_208009722_OP_TOT_ASIA">#REF!</definedName>
    <definedName name="V_KEYWORD_ISSR_208009722_OP_TOT_EMEA">#REF!</definedName>
    <definedName name="V_KEYWORD_ISSR_208009722_OP_UK">#REF!</definedName>
    <definedName name="V_KEYWORD_ISSR_208009722_OP_US">#REF!</definedName>
    <definedName name="V_KEYWORD_ISSR_208009722_ORD_SH_FUND">#REF!</definedName>
    <definedName name="V_KEYWORD_ISSR_208009722_ORG_REV_GRTH">#REF!</definedName>
    <definedName name="V_KEYWORD_ISSR_208009722_OTH_COST_INC">#REF!</definedName>
    <definedName name="V_KEYWORD_ISSR_208009722_OTH_CUR_ASS">#REF!</definedName>
    <definedName name="V_KEYWORD_ISSR_208009722_OTH_CUR_LIABS">#REF!</definedName>
    <definedName name="V_KEYWORD_ISSR_208009722_OTH_DACF_ADJ">#REF!</definedName>
    <definedName name="V_KEYWORD_ISSR_208009722_OTH_FIN_CF">#REF!</definedName>
    <definedName name="V_KEYWORD_ISSR_208009722_OTH_GCI_ADJ">#REF!</definedName>
    <definedName name="V_KEYWORD_ISSR_208009722_OTH_INV_CF">#REF!</definedName>
    <definedName name="V_KEYWORD_ISSR_208009722_OTH_LT_ASS">#REF!</definedName>
    <definedName name="V_KEYWORD_ISSR_208009722_OTH_LT_CRED_GQ">#REF!</definedName>
    <definedName name="V_KEYWORD_ISSR_208009722_OTH_NONCASH_ADJ">#REF!</definedName>
    <definedName name="V_KEYWORD_ISSR_208009722_OTH_OP_CF">#REF!</definedName>
    <definedName name="V_KEYWORD_ISSR_208009722_OTH_OP_INC_EXP">#REF!</definedName>
    <definedName name="V_KEYWORD_ISSR_208009722_PERIOD_MILESTONE">#REF!</definedName>
    <definedName name="V_KEYWORD_ISSR_208009722_PL_SALE_ASSETS">#REF!</definedName>
    <definedName name="V_KEYWORD_ISSR_208009722_PREF_SH">#REF!</definedName>
    <definedName name="V_KEYWORD_ISSR_208009722_PROFIT_ON_DISP">#REF!</definedName>
    <definedName name="V_KEYWORD_ISSR_208009722_PT_PROF">#REF!</definedName>
    <definedName name="V_KEYWORD_ISSR_208009722_RD_EXP">#REF!</definedName>
    <definedName name="V_KEYWORD_ISSR_208009722_REV_FIN_SEGMENT">#REF!</definedName>
    <definedName name="V_KEYWORD_ISSR_208009722_SALES">#REF!</definedName>
    <definedName name="V_KEYWORD_ISSR_208009722_SALES_AUSTRA">#REF!</definedName>
    <definedName name="V_KEYWORD_ISSR_208009722_SALES_AUSTRIA">#REF!</definedName>
    <definedName name="V_KEYWORD_ISSR_208009722_SALES_BEL">#REF!</definedName>
    <definedName name="V_KEYWORD_ISSR_208009722_SALES_BRAZIL">#REF!</definedName>
    <definedName name="V_KEYWORD_ISSR_208009722_SALES_CANADA">#REF!</definedName>
    <definedName name="V_KEYWORD_ISSR_208009722_SALES_CEE">#REF!</definedName>
    <definedName name="V_KEYWORD_ISSR_208009722_SALES_CHINA">#REF!</definedName>
    <definedName name="V_KEYWORD_ISSR_208009722_SALES_CONS">#REF!</definedName>
    <definedName name="V_KEYWORD_ISSR_208009722_SALES_DEN">#REF!</definedName>
    <definedName name="V_KEYWORD_ISSR_208009722_SALES_EU_EX_UK">#REF!</definedName>
    <definedName name="V_KEYWORD_ISSR_208009722_SALES_FIN">#REF!</definedName>
    <definedName name="V_KEYWORD_ISSR_208009722_SALES_FINAN">#REF!</definedName>
    <definedName name="V_KEYWORD_ISSR_208009722_SALES_FRA">#REF!</definedName>
    <definedName name="V_KEYWORD_ISSR_208009722_SALES_GER">#REF!</definedName>
    <definedName name="V_KEYWORD_ISSR_208009722_SALES_GOV">#REF!</definedName>
    <definedName name="V_KEYWORD_ISSR_208009722_SALES_GRE">#REF!</definedName>
    <definedName name="V_KEYWORD_ISSR_208009722_SALES_ICE">#REF!</definedName>
    <definedName name="V_KEYWORD_ISSR_208009722_SALES_IND">#REF!</definedName>
    <definedName name="V_KEYWORD_ISSR_208009722_SALES_INDIA">#REF!</definedName>
    <definedName name="V_KEYWORD_ISSR_208009722_SALES_IRE">#REF!</definedName>
    <definedName name="V_KEYWORD_ISSR_208009722_SALES_ITA">#REF!</definedName>
    <definedName name="V_KEYWORD_ISSR_208009722_SALES_JAPAN">#REF!</definedName>
    <definedName name="V_KEYWORD_ISSR_208009722_SALES_ME">#REF!</definedName>
    <definedName name="V_KEYWORD_ISSR_208009722_SALES_NETH">#REF!</definedName>
    <definedName name="V_KEYWORD_ISSR_208009722_SALES_NOR">#REF!</definedName>
    <definedName name="V_KEYWORD_ISSR_208009722_SALES_NZ">#REF!</definedName>
    <definedName name="V_KEYWORD_ISSR_208009722_SALES_OTH_AEJ">#REF!</definedName>
    <definedName name="V_KEYWORD_ISSR_208009722_SALES_OTH_AM">#REF!</definedName>
    <definedName name="V_KEYWORD_ISSR_208009722_SALES_OTH_EMEA">#REF!</definedName>
    <definedName name="V_KEYWORD_ISSR_208009722_SALES_OTHER">#REF!</definedName>
    <definedName name="V_KEYWORD_ISSR_208009722_SALES_POR">#REF!</definedName>
    <definedName name="V_KEYWORD_ISSR_208009722_SALES_RUSSIA">#REF!</definedName>
    <definedName name="V_KEYWORD_ISSR_208009722_SALES_SK">#REF!</definedName>
    <definedName name="V_KEYWORD_ISSR_208009722_SALES_SMB">#REF!</definedName>
    <definedName name="V_KEYWORD_ISSR_208009722_SALES_SPA">#REF!</definedName>
    <definedName name="V_KEYWORD_ISSR_208009722_SALES_SWE">#REF!</definedName>
    <definedName name="V_KEYWORD_ISSR_208009722_SALES_SWIT">#REF!</definedName>
    <definedName name="V_KEYWORD_ISSR_208009722_SALES_TOT_AM">#REF!</definedName>
    <definedName name="V_KEYWORD_ISSR_208009722_SALES_TOT_ASIA">#REF!</definedName>
    <definedName name="V_KEYWORD_ISSR_208009722_SALES_TOT_EMEA">#REF!</definedName>
    <definedName name="V_KEYWORD_ISSR_208009722_SALES_UK">#REF!</definedName>
    <definedName name="V_KEYWORD_ISSR_208009722_SALES_US">#REF!</definedName>
    <definedName name="V_KEYWORD_ISSR_208009722_SEL_GL_AD">#REF!</definedName>
    <definedName name="V_KEYWORD_ISSR_208009722_SH_REPUR">#REF!</definedName>
    <definedName name="V_KEYWORD_ISSR_208009722_SHORT_T_DEBT">#REF!</definedName>
    <definedName name="V_KEYWORD_ISSR_208009722_SHORT_TERM_LIABS">#REF!</definedName>
    <definedName name="V_KEYWORD_ISSR_208009722_STOCKS">#REF!</definedName>
    <definedName name="V_KEYWORD_ISSR_208009722_TOT_ASSET">#REF!</definedName>
    <definedName name="V_KEYWORD_ISSR_208009722_TOT_CF">#REF!</definedName>
    <definedName name="V_KEYWORD_ISSR_208009722_TOT_LIAB">#REF!</definedName>
    <definedName name="V_KEYWORD_ISSR_208009722_TOT_LIAB_EQ">#REF!</definedName>
    <definedName name="V_KEYWORD_ISSR_208009722_TOT_LT_LIAB">#REF!</definedName>
    <definedName name="V_KEYWORD_ISSR_208009722_TOT_OPS_EXP">#REF!</definedName>
    <definedName name="V_KEYWORD_ISSR_208009722_TOT_OPS_EXP_DDA">#REF!</definedName>
    <definedName name="V_KEYWORD_ISSR_208009722_UNF_PENS">#REF!</definedName>
    <definedName name="V_KEYWORD_ISSR_208009722_UNF_PENS_LIAB_OTH">#REF!</definedName>
    <definedName name="V_KEYWORD_ISSR_208009722_UNF_PENS_OFF">#REF!</definedName>
    <definedName name="V_KEYWORD_ISSR_208009722_WORK_CAP">#REF!</definedName>
    <definedName name="V_LIVEDATA_EQTY_200001646">#REF!</definedName>
    <definedName name="V_LIVEDATA_EQTY_200004419">#REF!</definedName>
    <definedName name="V_LIVEDATA_EQTY_200012762">#REF!</definedName>
    <definedName name="V_LIVEDATA_ISSR_208000603">#REF!</definedName>
    <definedName name="V_LIVEDATA_ISSR_208001258">#REF!</definedName>
    <definedName name="V_LIVEDATA_ISSR_208009722">#REF!</definedName>
    <definedName name="V_PERIOD_2002">#REF!</definedName>
    <definedName name="V_PERIOD_2003">#REF!</definedName>
    <definedName name="V_PERIOD_2003_Q1">#REF!</definedName>
    <definedName name="V_PERIOD_2003_Q2">#REF!</definedName>
    <definedName name="V_PERIOD_2003_Q3">#REF!</definedName>
    <definedName name="V_PERIOD_2003_Q4">#REF!</definedName>
    <definedName name="V_PERIOD_2004">#REF!</definedName>
    <definedName name="V_PERIOD_2004_Q1">#REF!</definedName>
    <definedName name="V_PERIOD_2004_Q2">#REF!</definedName>
    <definedName name="V_PERIOD_2004_Q3">#REF!</definedName>
    <definedName name="V_PERIOD_2004_Q4">#REF!</definedName>
    <definedName name="V_PERIOD_2005">#REF!</definedName>
    <definedName name="V_PERIOD_2005_Q1">#REF!</definedName>
    <definedName name="V_PERIOD_2005_Q2">#REF!</definedName>
    <definedName name="V_PERIOD_2005_Q3">#REF!</definedName>
    <definedName name="V_PERIOD_2005_Q4">#REF!</definedName>
    <definedName name="V_PERIOD_2006_Q1">#REF!</definedName>
    <definedName name="V_PERIOD_2006_Q2">#REF!</definedName>
    <definedName name="V_PERIOD_2006_Q3">#REF!</definedName>
    <definedName name="V_PERIOD_2006_Q4">#REF!</definedName>
    <definedName name="V_SECTION_EQTY_200001646_1314">#REF!</definedName>
    <definedName name="V_SECTION_EQTY_200001646_1319">#REF!</definedName>
    <definedName name="V_SECTION_EQTY_200001646_131E">#REF!</definedName>
    <definedName name="V_SECTION_EQTY_200001646_131O">#REF!</definedName>
    <definedName name="V_SECTION_EQTY_200001646_131P">#REF!</definedName>
    <definedName name="V_SECTION_EQTY_200001646_13A">#REF!</definedName>
    <definedName name="V_SECTION_EQTY_200001646_13K">#REF!</definedName>
    <definedName name="V_SECTION_EQTY_200001646_13U">#REF!</definedName>
    <definedName name="V_SECTION_EQTY_200001646_13V">#REF!</definedName>
    <definedName name="V_SECTION_EQTY_200001646_13W">#REF!</definedName>
    <definedName name="V_SECTION_EQTY_200001646_Reference_Data">#REF!</definedName>
    <definedName name="V_SECTION_EQTY_200004419_1314">#REF!</definedName>
    <definedName name="V_SECTION_EQTY_200004419_1319">#REF!</definedName>
    <definedName name="V_SECTION_EQTY_200004419_131E">#REF!</definedName>
    <definedName name="V_SECTION_EQTY_200004419_131O">#REF!</definedName>
    <definedName name="V_SECTION_EQTY_200004419_13A">#REF!</definedName>
    <definedName name="V_SECTION_EQTY_200004419_13K">#REF!</definedName>
    <definedName name="V_SECTION_EQTY_200004419_13U">#REF!</definedName>
    <definedName name="V_SECTION_EQTY_200004419_13V">#REF!</definedName>
    <definedName name="V_SECTION_EQTY_200004419_13W">#REF!</definedName>
    <definedName name="V_SECTION_EQTY_200004419_Reference_Data">#REF!</definedName>
    <definedName name="V_SECTION_EQTY_200012762_1314">#REF!</definedName>
    <definedName name="V_SECTION_EQTY_200012762_1319">#REF!</definedName>
    <definedName name="V_SECTION_EQTY_200012762_131E">#REF!</definedName>
    <definedName name="V_SECTION_EQTY_200012762_131O">#REF!</definedName>
    <definedName name="V_SECTION_EQTY_200012762_13A">#REF!</definedName>
    <definedName name="V_SECTION_EQTY_200012762_13K">#REF!</definedName>
    <definedName name="V_SECTION_EQTY_200012762_13U">#REF!</definedName>
    <definedName name="V_SECTION_EQTY_200012762_13V">#REF!</definedName>
    <definedName name="V_SECTION_EQTY_200012762_13W">#REF!</definedName>
    <definedName name="V_SECTION_EQTY_200012762_Reference_Data">#REF!</definedName>
    <definedName name="V_SECTION_ISSR_208000603_1314">#REF!</definedName>
    <definedName name="V_SECTION_ISSR_208000603_13168">#REF!</definedName>
    <definedName name="V_SECTION_ISSR_208000603_1319">#REF!</definedName>
    <definedName name="V_SECTION_ISSR_208000603_131E">#REF!</definedName>
    <definedName name="V_SECTION_ISSR_208000603_131J">#REF!</definedName>
    <definedName name="V_SECTION_ISSR_208000603_131O">#REF!</definedName>
    <definedName name="V_SECTION_ISSR_208000603_131P">#REF!</definedName>
    <definedName name="V_SECTION_ISSR_208000603_13A">#REF!</definedName>
    <definedName name="V_SECTION_ISSR_208000603_13U">#REF!</definedName>
    <definedName name="V_SECTION_ISSR_208000603_13V">#REF!</definedName>
    <definedName name="V_SECTION_ISSR_208000603_Reference_Data">#REF!</definedName>
    <definedName name="V_SECTION_ISSR_208001258_1314">#REF!</definedName>
    <definedName name="V_SECTION_ISSR_208001258_13168">#REF!</definedName>
    <definedName name="V_SECTION_ISSR_208001258_1316T">#REF!</definedName>
    <definedName name="V_SECTION_ISSR_208001258_1316U">#REF!</definedName>
    <definedName name="V_SECTION_ISSR_208001258_1319">#REF!</definedName>
    <definedName name="V_SECTION_ISSR_208001258_131E">#REF!</definedName>
    <definedName name="V_SECTION_ISSR_208001258_131J">#REF!</definedName>
    <definedName name="V_SECTION_ISSR_208001258_131O">#REF!</definedName>
    <definedName name="V_SECTION_ISSR_208001258_13A">#REF!</definedName>
    <definedName name="V_SECTION_ISSR_208001258_13U">#REF!</definedName>
    <definedName name="V_SECTION_ISSR_208001258_13V">#REF!</definedName>
    <definedName name="V_SECTION_ISSR_208001258_Reference_Data">#REF!</definedName>
    <definedName name="V_SECTION_ISSR_208009722_1314">#REF!</definedName>
    <definedName name="V_SECTION_ISSR_208009722_13168">#REF!</definedName>
    <definedName name="V_SECTION_ISSR_208009722_1319">#REF!</definedName>
    <definedName name="V_SECTION_ISSR_208009722_131E">#REF!</definedName>
    <definedName name="V_SECTION_ISSR_208009722_131J">#REF!</definedName>
    <definedName name="V_SECTION_ISSR_208009722_131O">#REF!</definedName>
    <definedName name="V_SECTION_ISSR_208009722_13A">#REF!</definedName>
    <definedName name="V_SECTION_ISSR_208009722_13U">#REF!</definedName>
    <definedName name="V_SECTION_ISSR_208009722_13V">#REF!</definedName>
    <definedName name="V_SECTION_ISSR_208009722_Reference_Data">#REF!</definedName>
    <definedName name="VA_Metric">OFFSET(#REF!,0,0,COUNTA(#REF!)-1)</definedName>
    <definedName name="VAConsenusWorkbook">#REF!</definedName>
    <definedName name="VALID_FORMATS">#REF!</definedName>
    <definedName name="Valuation">#REF!</definedName>
    <definedName name="ValuationDate">#REF!</definedName>
    <definedName name="Value_of_Equity">#REF!</definedName>
    <definedName name="Value_of_Firm">#REF!</definedName>
    <definedName name="Value_of_Unconsol._Subs">#REF!</definedName>
    <definedName name="Value_per_share">#REF!</definedName>
    <definedName name="values_are_primary">#REF!</definedName>
    <definedName name="VendorRankPCShipments">#REF!</definedName>
    <definedName name="VendorRankPhoneShipments">#REF!</definedName>
    <definedName name="VendorRankUMTShipments">#REF!</definedName>
    <definedName name="Version">#REF!</definedName>
    <definedName name="Version.WIRE">1</definedName>
    <definedName name="Vertical">#REF!</definedName>
    <definedName name="Vesting_Period">#REF!</definedName>
    <definedName name="VideoMarket">#REF!</definedName>
    <definedName name="VOD_AdjustedEV">#REF!</definedName>
    <definedName name="VOD_AssociatesMinorities">#REF!</definedName>
    <definedName name="VOD_LTMSGA">#REF!</definedName>
    <definedName name="VOD_UnleveredFCF">#REF!</definedName>
    <definedName name="VOLUME">#REF!</definedName>
    <definedName name="vshchg">#REF!</definedName>
    <definedName name="vshcrpe">#REF!</definedName>
    <definedName name="vshcurr">#REF!</definedName>
    <definedName name="vshdate">#REF!</definedName>
    <definedName name="vshdown">#REF!</definedName>
    <definedName name="vshdownsup">#REF!</definedName>
    <definedName name="vshevebitda">#REF!</definedName>
    <definedName name="vshffqpeavg">#REF!</definedName>
    <definedName name="vshffqpecurr">#REF!</definedName>
    <definedName name="vshfy1cons">#REF!</definedName>
    <definedName name="vshfy2cons">#REF!</definedName>
    <definedName name="vshhi">#REF!</definedName>
    <definedName name="vshhilo">#REF!</definedName>
    <definedName name="vshlow">#REF!</definedName>
    <definedName name="vshmktcap">#REF!</definedName>
    <definedName name="vshpe1">#REF!</definedName>
    <definedName name="vshpe2">#REF!</definedName>
    <definedName name="vshpegrowthavg">#REF!</definedName>
    <definedName name="vshpegrowthcurr">#REF!</definedName>
    <definedName name="vshpegrowthhi">#REF!</definedName>
    <definedName name="vshpegrowthlow">#REF!</definedName>
    <definedName name="vshperelavg">#REF!</definedName>
    <definedName name="vshperelcurr">#REF!</definedName>
    <definedName name="vshprice">#REF!</definedName>
    <definedName name="vshrpe">#REF!</definedName>
    <definedName name="vshshares">#REF!</definedName>
    <definedName name="vshtprice">#REF!</definedName>
    <definedName name="vshttmavg">#REF!</definedName>
    <definedName name="vshttmcurr">#REF!</definedName>
    <definedName name="vshttmhi">#REF!</definedName>
    <definedName name="vshttmlow">#REF!</definedName>
    <definedName name="vshttmrelavg">#REF!</definedName>
    <definedName name="vshttmrelcurr">#REF!</definedName>
    <definedName name="vshttmrelcurr\">#REF!</definedName>
    <definedName name="vshttmrelhi">#REF!</definedName>
    <definedName name="vshttmrellow">#REF!</definedName>
    <definedName name="vshup">#REF!</definedName>
    <definedName name="vshupsup">#REF!</definedName>
    <definedName name="vshvol">#REF!</definedName>
    <definedName name="vshyield">#REF!</definedName>
    <definedName name="Vulcan_Convert">#REF!</definedName>
    <definedName name="VYTL_1yrEPS">#REF!</definedName>
    <definedName name="VYTL_2yrEPS">#REF!</definedName>
    <definedName name="VYTL_52HIGH">#REF!</definedName>
    <definedName name="VYTL_5YRGROWTH">#REF!</definedName>
    <definedName name="VYTL_PRICE">#REF!</definedName>
    <definedName name="w" hidden="1">{"IS",#N/A,FALSE,"IS";"RPTIS",#N/A,FALSE,"RPTIS";"STATS",#N/A,FALSE,"STATS";"CELL",#N/A,FALSE,"CELL";"BS",#N/A,FALSE,"BS"}</definedName>
    <definedName name="WACC">#REF!</definedName>
    <definedName name="WACC_1">#REF!</definedName>
    <definedName name="WACC_10">#REF!</definedName>
    <definedName name="WACC_11">#REF!</definedName>
    <definedName name="WACC_12">#REF!</definedName>
    <definedName name="WACC_13">#REF!</definedName>
    <definedName name="WACC_14">#REF!</definedName>
    <definedName name="WACC_2">#REF!</definedName>
    <definedName name="WACC_3">#REF!</definedName>
    <definedName name="WACC_4">#REF!</definedName>
    <definedName name="WACC_5">#REF!</definedName>
    <definedName name="WACC_6">#REF!</definedName>
    <definedName name="WACC_7">#REF!</definedName>
    <definedName name="WACC_8">#REF!</definedName>
    <definedName name="WACC_9">#REF!</definedName>
    <definedName name="wacc_bus">#REF!</definedName>
    <definedName name="wacc_cons">#REF!</definedName>
    <definedName name="WACC_fore">#REF!</definedName>
    <definedName name="WACC_P">#REF!</definedName>
    <definedName name="WACC_P_1">#REF!</definedName>
    <definedName name="WACC_P_10">#REF!</definedName>
    <definedName name="WACC_P_11">#REF!</definedName>
    <definedName name="WACC_P_12">#REF!</definedName>
    <definedName name="WACC_P_13">#REF!</definedName>
    <definedName name="WACC_P_14">#REF!</definedName>
    <definedName name="WACC_P_2">#REF!</definedName>
    <definedName name="WACC_P_3">#REF!</definedName>
    <definedName name="WACC_P_4">#REF!</definedName>
    <definedName name="WACC_P_5">#REF!</definedName>
    <definedName name="WACC_P_6">#REF!</definedName>
    <definedName name="WACC_P_7">#REF!</definedName>
    <definedName name="WACC_P_8">#REF!</definedName>
    <definedName name="WACC_P_9">#REF!</definedName>
    <definedName name="wcom" hidden="1">{"IS",#N/A,FALSE,"IS";"RPTIS",#N/A,FALSE,"RPTIS";"STATS",#N/A,FALSE,"STATS";"BS",#N/A,FALSE,"BS"}</definedName>
    <definedName name="WCOM_1yrEPS">#REF!</definedName>
    <definedName name="WCOM_2yrEPS">#REF!</definedName>
    <definedName name="WCOM_52high">#REF!</definedName>
    <definedName name="WCOM_5YRGROWTH">#REF!</definedName>
    <definedName name="WCOM_96EPS">#REF!</definedName>
    <definedName name="WCOM_97EPS">#REF!</definedName>
    <definedName name="WCOM_98EPS">#REF!</definedName>
    <definedName name="wcom_g">#REF!</definedName>
    <definedName name="wcom_is">#REF!</definedName>
    <definedName name="WCOM_LTMSGA">#REF!</definedName>
    <definedName name="WCOM_plant">#REF!</definedName>
    <definedName name="WCOM_price">#REF!</definedName>
    <definedName name="wcom_tracker">#REF!</definedName>
    <definedName name="WCOMgrpBS_print">#REF!</definedName>
    <definedName name="WCOMgrpCF_print">#REF!</definedName>
    <definedName name="WCOMgrpIS_print">#REF!</definedName>
    <definedName name="Wdays">#REF!</definedName>
    <definedName name="weeks_in_qtr">#REF!</definedName>
    <definedName name="weeks_in_year">#REF!</definedName>
    <definedName name="westernrpice">#REF!</definedName>
    <definedName name="westernshares">#REF!</definedName>
    <definedName name="wgtd_shares">#REF!</definedName>
    <definedName name="What_Currency">#REF!</definedName>
    <definedName name="White_Box">#REF!</definedName>
    <definedName name="WholeTable">#REF!</definedName>
    <definedName name="WIZARD_DATEOFSUBMISSION">#REF!</definedName>
    <definedName name="WIZARD_EARNINGS">#REF!</definedName>
    <definedName name="WIZARD_MARKETCAP">#REF!</definedName>
    <definedName name="WIZARD_NETCASHPERSHARE">#REF!</definedName>
    <definedName name="WIZARD_REVENUES">#REF!</definedName>
    <definedName name="WIZARD_ROAE">#REF!</definedName>
    <definedName name="WIZARD_SECULARGROWTHRATE">#REF!</definedName>
    <definedName name="WIZARD_SHARESOUTSTANDING">#REF!</definedName>
    <definedName name="WIZARD_TICKER">#REF!</definedName>
    <definedName name="WIZARD_Y1CAPREVR">#REF!</definedName>
    <definedName name="WIZARD_Y1E">#REF!</definedName>
    <definedName name="WIZARD_Y1PEE">#REF!</definedName>
    <definedName name="WIZARD_Y1Q1E">#REF!</definedName>
    <definedName name="WIZARD_Y1Q1R">#REF!</definedName>
    <definedName name="WIZARD_Y1Q2E">#REF!</definedName>
    <definedName name="WIZARD_Y1Q2R">#REF!</definedName>
    <definedName name="WIZARD_Y1Q3E">#REF!</definedName>
    <definedName name="WIZARD_Y1Q3R">#REF!</definedName>
    <definedName name="WIZARD_Y1Q4E">#REF!</definedName>
    <definedName name="WIZARD_Y1Q4R">#REF!</definedName>
    <definedName name="WIZARD_Y1R">#REF!</definedName>
    <definedName name="WIZARD_Y1YEARE">#REF!</definedName>
    <definedName name="WIZARD_Y1YEARR">#REF!</definedName>
    <definedName name="WIZARD_Y2CAPREVR">#REF!</definedName>
    <definedName name="WIZARD_Y2E">#REF!</definedName>
    <definedName name="WIZARD_Y2PEE">#REF!</definedName>
    <definedName name="WIZARD_Y2Q1E">#REF!</definedName>
    <definedName name="WIZARD_Y2Q1R">#REF!</definedName>
    <definedName name="WIZARD_Y2Q2E">#REF!</definedName>
    <definedName name="WIZARD_Y2Q2R">#REF!</definedName>
    <definedName name="WIZARD_Y2Q3E">#REF!</definedName>
    <definedName name="WIZARD_Y2Q3R">#REF!</definedName>
    <definedName name="WIZARD_Y2Q4E">#REF!</definedName>
    <definedName name="WIZARD_Y2Q4R">#REF!</definedName>
    <definedName name="WIZARD_Y2R">#REF!</definedName>
    <definedName name="WIZARD_Y2YEARE">#REF!</definedName>
    <definedName name="WIZARD_Y2YEARR">#REF!</definedName>
    <definedName name="WIZARD_Y3CAPREVR">#REF!</definedName>
    <definedName name="WIZARD_Y3E">#REF!</definedName>
    <definedName name="WIZARD_Y3PEE">#REF!</definedName>
    <definedName name="WIZARD_Y3Q1E">#REF!</definedName>
    <definedName name="WIZARD_Y3Q1R">#REF!</definedName>
    <definedName name="WIZARD_Y3Q2E">#REF!</definedName>
    <definedName name="WIZARD_Y3Q2R">#REF!</definedName>
    <definedName name="WIZARD_Y3Q3E">#REF!</definedName>
    <definedName name="WIZARD_Y3Q3R">#REF!</definedName>
    <definedName name="WIZARD_Y3Q4E">#REF!</definedName>
    <definedName name="WIZARD_Y3Q4R">#REF!</definedName>
    <definedName name="WIZARD_Y3R">#REF!</definedName>
    <definedName name="WIZARD_Y3YEARE">#REF!</definedName>
    <definedName name="WIZARD_Y3YEARR">#REF!</definedName>
    <definedName name="WIZARD_Y4CAPREVR">#REF!</definedName>
    <definedName name="WIZARD_Y4E">#REF!</definedName>
    <definedName name="WIZARD_Y4PEE">#REF!</definedName>
    <definedName name="WIZARD_Y4Q1E">#REF!</definedName>
    <definedName name="WIZARD_Y4Q1R">#REF!</definedName>
    <definedName name="WIZARD_Y4Q2E">#REF!</definedName>
    <definedName name="WIZARD_Y4Q2R">#REF!</definedName>
    <definedName name="WIZARD_Y4Q3E">#REF!</definedName>
    <definedName name="WIZARD_Y4Q3R">#REF!</definedName>
    <definedName name="WIZARD_Y4Q4E">#REF!</definedName>
    <definedName name="WIZARD_Y4Q4R">#REF!</definedName>
    <definedName name="WIZARD_Y4R">#REF!</definedName>
    <definedName name="WIZARD_Y4YEARE">#REF!</definedName>
    <definedName name="WIZARD_Y4YEARR">#REF!</definedName>
    <definedName name="wk">#REF!</definedName>
    <definedName name="wls">#REF!</definedName>
    <definedName name="Workstation">#REF!</definedName>
    <definedName name="wrn.all." hidden="1">{#N/A,#N/A,FALSE,"Time Warner";#N/A,#N/A,FALSE,"Entertainment Group";#N/A,#N/A,FALSE,"EBITDA";#N/A,#N/A,FALSE,"Notes"}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BEL." hidden="1">{"IS",#N/A,FALSE,"IS";"RPTIS",#N/A,FALSE,"RPTIS";"STATS",#N/A,FALSE,"STATS";"CELL",#N/A,FALSE,"CELL";"BS",#N/A,FALSE,"BS"}</definedName>
    <definedName name="wrn.both._.pages." hidden="1">{"page 1",#N/A,FALSE,"Comps";"page 2",#N/A,FALSE,"Comps"}</definedName>
    <definedName name="wrn.cases." hidden="1">{"summary",#N/A,TRUE,"pro forma";"avp",#N/A,TRUE,"AVP";"Pro Forma Financials","Low Debt",TRUE,"pro forma";"Credit Analysis","Low Debt",TRUE,"pro forma";"Pro Forma Financials","Base Case",TRUE,"pro forma";"Credit Analysis","Base Case",TRUE,"pro forma";"Pro Forma Financials","High Debt",TRUE,"pro forma";"Credit Analysis","High Debt",TRUE,"pro forma"}</definedName>
    <definedName name="wrn.cf." hidden="1">{"one",#N/A,FALSE,"cf";"two",#N/A,FALSE,"cf"}</definedName>
    <definedName name="wrn.client." hidden="1">{"multiple",#N/A,FALSE,"client";"margins",#N/A,FALSE,"client";"data",#N/A,FALSE,"client"}</definedName>
    <definedName name="wrn.Client3." hidden="1">{"data",#N/A,FALSE,"client (3)";"margins",#N/A,FALSE,"client (3)";"multiple",#N/A,FALSE,"client (3)"}</definedName>
    <definedName name="wrn.client4." hidden="1">{"multiple",#N/A,FALSE,"client (4)";"margins",#N/A,FALSE,"client (4)";"data",#N/A,FALSE,"client (4)"}</definedName>
    <definedName name="wrn.CONSOLIDATION.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SC." hidden="1">{"Output",#N/A,FALSE,"Output"}</definedName>
    <definedName name="wrn.database." hidden="1">{"subs",#N/A,FALSE,"database ";"proportional",#N/A,FALSE,"database 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Earnings._.Model." localSheetId="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ntire._.Model." hidden="1">{"Income Page",#N/A,FALSE,"Income";"Quarterly Page",#N/A,FALSE,"Quarterly";"EPS Page",#N/A,FALSE,"EPS";"Cashflow Page",#N/A,FALSE,"CashFlow"}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xternal." localSheetId="2" hidden="1">{"External_Annual_Income",#N/A,FALSE,"External";"External_Quarterly_Income",#N/A,FALSE,"External"}</definedName>
    <definedName name="wrn.External." hidden="1">{"External_Annual_Income",#N/A,FALSE,"External";"External_Quarterly_Income",#N/A,FALSE,"External"}</definedName>
    <definedName name="wrn.external.2" localSheetId="2" hidden="1">{"External_Annual_Income",#N/A,FALSE,"External";"External_Quarterly_Income",#N/A,FALSE,"External"}</definedName>
    <definedName name="wrn.external.2" hidden="1">{"External_Annual_Income",#N/A,FALSE,"External";"External_Quarterly_Income",#N/A,FALSE,"External"}</definedName>
    <definedName name="wrn.Fax." hidden="1">{"fax (BS)",#N/A,FALSE,"BS";"fax (CF)",#N/A,FALSE,"CF";"fax (seg)",#N/A,FALSE,"Seg";"fax (telecomm)",#N/A,FALSE,"telecomm";"fax (infodisplay)",#N/A,FALSE,"infodisplay";"fax (am)",#N/A,FALSE,"AM";"fax (is)",#N/A,FALSE,"IS"}</definedName>
    <definedName name="wrn.Final._.Copy." hidden="1">{#N/A,#N/A,TRUE,"Assumptions";#N/A,#N/A,TRUE,"Financial  Statements";#N/A,#N/A,TRUE,"Unl. Free CF Valuation ";#N/A,#N/A,TRUE,"Funding Schedule";#N/A,#N/A,TRUE,"High Yield &amp; Equity Schedule"}</definedName>
    <definedName name="wrn.Full._.report." hidden="1">{"multiple",#N/A,FALSE,"client (2)";"margins",#N/A,FALSE,"client (2)";"data",#N/A,FALSE,"client (2)";"multiple",#N/A,FALSE,"client";"margins",#N/A,FALSE,"client";"data",#N/A,FALSE,"client"}</definedName>
    <definedName name="wrn.Handout." hidden="1">{#N/A,#N/A,FALSE,"Output";#N/A,#N/A,FALSE,"Cover Sheet";#N/A,#N/A,FALSE,"Current Mkt. Projections"}</definedName>
    <definedName name="wrn.Income._.Statement." localSheetId="2" hidden="1">{#N/A,#N/A,FALSE,"Report Print"}</definedName>
    <definedName name="wrn.Income._.Statement." hidden="1">{#N/A,#N/A,FALSE,"Report Print"}</definedName>
    <definedName name="wrn.international." hidden="1">{"sweden",#N/A,FALSE,"Sweden";"germany",#N/A,FALSE,"Germany";"portugal",#N/A,FALSE,"Portugal";"belgium",#N/A,FALSE,"Belgium";"japan",#N/A,FALSE,"Japan ";"italy",#N/A,FALSE,"Italy";"spain",#N/A,FALSE,"Spain";"korea",#N/A,FALSE,"Korea"}</definedName>
    <definedName name="wrn.IPIX." localSheetId="2" hidden="1">{#N/A,#N/A,FALSE,"Report Print"}</definedName>
    <definedName name="wrn.IPIX." hidden="1">{#N/A,#N/A,FALSE,"Report Print"}</definedName>
    <definedName name="wrn.Level._.4." hidden="1">{"Income (All hidden)",#N/A,FALSE,"Income";"EPS (All Hidden)",#N/A,FALSE,"EPS";"Cash Flow (All Hidden)",#N/A,FALSE,"CashFlow";"Quarterly (Last, Current and Next)",#N/A,FALSE,"Quarterly";"Inventory",#N/A,FALSE,"Inventory";"Other Section",#N/A,FALSE,"Detail Qtrly";"Dividend (All Hidden)",#N/A,FALSE,"Dividend";"ROE (All Hidden)",#N/A,FALSE,"Return On Equity";"FinRatio",#N/A,FALSE,"Financials &amp; Ratios"}</definedName>
    <definedName name="wrn.Main._.Report._.All._.Sections.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ster_Income." localSheetId="2" hidden="1">{"Annual_Income",#N/A,FALSE,"Master Model";"Quarterly_Income",#N/A,FALSE,"Master Model"}</definedName>
    <definedName name="wrn.Master_Income." hidden="1">{"Annual_Income",#N/A,FALSE,"Master Model";"Quarterly_Income",#N/A,FALSE,"Master Model"}</definedName>
    <definedName name="wrn.MER._.Print." hidden="1">{"MER Model",#N/A,FALSE,"MER Model";"MER Revenue Detail",#N/A,FALSE,"MER Model"}</definedName>
    <definedName name="wrn.Model._.Level._.3." hidden="1">{"Income (All hidden)",#N/A,FALSE,"Income";"EPS (All Hidden)",#N/A,FALSE,"EPS";"EPS (All Hidden)",#N/A,FALSE,"CashFlow";"Quarterly (Last, Current and Next)",#N/A,FALSE,"Quarterly"}</definedName>
    <definedName name="wrn.one._.case." hidden="1">{"pro forma financials",#N/A,FALSE,"pf parent";"pro forma credit",#N/A,FALSE,"pf parent";"pro forma financials",#N/A,FALSE,"pro forma";"pro forma credit",#N/A,FALSE,"pro forma";"avp",#N/A,FALSE,"AVP"}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PrimeCo." hidden="1">{"print 1",#N/A,FALSE,"PrimeCo PCS";"print 2",#N/A,FALSE,"PrimeCo PCS";"valuation",#N/A,FALSE,"PrimeCo PCS"}</definedName>
    <definedName name="wrn.print._.graphs." hidden="1">{"cap_structure",#N/A,FALSE,"Graph-Mkt Cap";"price",#N/A,FALSE,"Graph-Price";"ebit",#N/A,FALSE,"Graph-EBITDA";"ebitda",#N/A,FALSE,"Graph-EBITDA"}</definedName>
    <definedName name="wrn.print._.pages." hidden="1">{#N/A,#N/A,FALSE,"Spain MKT";#N/A,#N/A,FALSE,"Assumptions";#N/A,#N/A,FALSE,"Adve";#N/A,#N/A,FALSE,"E-Commerce";#N/A,#N/A,FALSE,"Opex";#N/A,#N/A,FALSE,"P&amp;L";#N/A,#N/A,FALSE,"FCF &amp; DCF"}</definedName>
    <definedName name="wrn.print._.parent._.cases." hidden="1">{"scenario summary",#N/A,FALSE,"pf parent";"pro forma financials","low price low cash",FALSE,"pf parent";"pro forma credit","low price low cash",FALSE,"pf parent";"pro forma financials","low price med cash",FALSE,"pf parent";"pro forma credit","low price med cash",FALSE,"pf parent";"pro forma financials","low price high cash",FALSE,"pf parent";"pro forma credit","low price high cash",FALSE,"pf parent";"pro forma financials","high price low cash",FALSE,"pf parent";"pro forma credit","high price low cash",FALSE,"pf parent";"pro forma financials","high price med cash",FALSE,"pf parent";"pro forma credit","high price med cash",FALSE,"pf parent";"pro forma financials","high price high cash",FALSE,"pf parent";"pro forma credit","high price high cash",FALSE,"pf parent"}</definedName>
    <definedName name="wrn.print._.raw._.data._.entry." hidden="1">{"inputs raw data",#N/A,TRUE,"INPUT"}</definedName>
    <definedName name="wrn.print._.summary._.sheets." hidden="1">{"summary1",#N/A,TRUE,"Comps";"summary2",#N/A,TRUE,"Comps";"summary3",#N/A,TRUE,"Comps"}</definedName>
    <definedName name="wrn.print._.ulster._.cases." hidden="1">{"scenario summary",#N/A,FALSE,"pro forma";"pro forma financials","low price low cash",FALSE,"pro forma";"pro forma credit","low price low cash",FALSE,"pro forma";"pro forma financials","low price med cash",FALSE,"pro forma";"pro forma credit","low price med cash",FALSE,"pro forma";"pro forma financials","low price high cash",FALSE,"pro forma";"pro forma credit","low price high cash",FALSE,"pro forma";"pro forma financials","high price low cash",FALSE,"pro forma";"pro forma credit","high price low cash",FALSE,"pro forma";"pro forma financials","high price med cash",FALSE,"pro forma";"pro forma credit","high price med cash",FALSE,"pro forma";"pro forma financials","high price high cash",FALSE,"pro forma";"pro forma credit","high price high cash",FALSE,"pro forma"}</definedName>
    <definedName name="wrn.rep_page." localSheetId="2" hidden="1">{"Annual_Income",#N/A,FALSE,"Report Page";"Balance_Cash_Flow",#N/A,FALSE,"Report Page";"Quarterly_Income",#N/A,FALSE,"Report Page"}</definedName>
    <definedName name="wrn.rep_page." hidden="1">{"Annual_Income",#N/A,FALSE,"Report Page";"Balance_Cash_Flow",#N/A,FALSE,"Report Page";"Quarterly_Income",#N/A,FALSE,"Report Page"}</definedName>
    <definedName name="wrn.Report_Page." localSheetId="2" hidden="1">{"Annual_Income",#N/A,FALSE,"Report Page";"Balance_Cash_Flow",#N/A,FALSE,"Report Page";"Quarterly_Income",#N/A,FALSE,"Report Page"}</definedName>
    <definedName name="wrn.Report_Page." hidden="1">{"Annual_Income",#N/A,FALSE,"Report Page";"Balance_Cash_Flow",#N/A,FALSE,"Report Page";"Quarterly_Income",#N/A,FALSE,"Report Page"}</definedName>
    <definedName name="wrn.single._.case." hidden="1">{"Pro Forma Financials",#N/A,FALSE,"pro forma";"Credit Analysis",#N/A,FALSE,"pro forma";"avp",#N/A,FALSE,"avp jon"}</definedName>
    <definedName name="wrn.Summary." hidden="1">{"Print Summary",#N/A,FALSE,"Bal_Graphs";"Print Summary",#N/A,FALSE,"DCF";"Print Summary",#N/A,FALSE,"Graphs";"Print Summary",#N/A,FALSE,"Summary"}</definedName>
    <definedName name="wrn.test." hidden="1">{"test2",#N/A,TRUE,"Prices"}</definedName>
    <definedName name="wrn.Total._.Pack." hidden="1">{#N/A,#N/A,TRUE,"Assumptions";#N/A,#N/A,TRUE,"Financial  Statements";#N/A,#N/A,TRUE,"ISP_Scenarios";#N/A,#N/A,TRUE,"Interline_Scenario";#N/A,#N/A,TRUE,"OzTelco_Scenarios";#N/A,#N/A,TRUE,"Domestic Fibre";#N/A,#N/A,TRUE,"CBD Loop";#N/A,#N/A,TRUE,"Data_Scenarios";#N/A,#N/A,TRUE,"data use projections";#N/A,#N/A,TRUE,"CommsCosts";#N/A,#N/A,TRUE,"Unl. Free CF Valuation ";#N/A,#N/A,TRUE,"Funding Schedule";#N/A,#N/A,TRUE,"High Yield &amp; Equity Schedule";#N/A,#N/A,TRUE,"Depreciation Schedule";#N/A,#N/A,TRUE,"Tax Schedule"}</definedName>
    <definedName name="wrn.USW." hidden="1">{"IS",#N/A,FALSE,"IS";"RPTIS",#N/A,FALSE,"RPTIS";"STATS",#N/A,FALSE,"STATS";"BS",#N/A,FALSE,"BS"}</definedName>
    <definedName name="wrn1.Fax." hidden="1">{"fax (BS)",#N/A,FALSE,"BS";"fax (CF)",#N/A,FALSE,"CF";"fax (seg)",#N/A,FALSE,"Seg";"fax (telecomm)",#N/A,FALSE,"telecomm";"fax (infodisplay)",#N/A,FALSE,"infodisplay";"fax (am)",#N/A,FALSE,"AM";"fax (is)",#N/A,FALSE,"IS"}</definedName>
    <definedName name="wrn2.Handout" hidden="1">{#N/A,#N/A,FALSE,"Output";#N/A,#N/A,FALSE,"Cover Sheet";#N/A,#N/A,FALSE,"Current Mkt. Projections"}</definedName>
    <definedName name="wstlfy1cons">#REF!</definedName>
    <definedName name="wstlfy2cons">#REF!</definedName>
    <definedName name="wstlhi">#REF!</definedName>
    <definedName name="wstllow">#REF!</definedName>
    <definedName name="wstlpegrowthavg">#REF!</definedName>
    <definedName name="wstlpegrowthcurr">#REF!</definedName>
    <definedName name="wstlpegrowthhi">#REF!</definedName>
    <definedName name="wstlpegrowthlow">#REF!</definedName>
    <definedName name="wstlprice">#REF!</definedName>
    <definedName name="wstlshares">#REF!</definedName>
    <definedName name="wstlttmavg">#REF!</definedName>
    <definedName name="wstlttmcurr">#REF!</definedName>
    <definedName name="wstlttmhi">#REF!</definedName>
    <definedName name="wstlttmlow">#REF!</definedName>
    <definedName name="wstlttmrelavg">#REF!</definedName>
    <definedName name="wstlttmrelcurr">#REF!</definedName>
    <definedName name="wstlttmrelhi">#REF!</definedName>
    <definedName name="wstlttmrellow">#REF!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x" hidden="1">#N/A</definedName>
    <definedName name="xCurrencies">#REF!</definedName>
    <definedName name="xls">#REF!</definedName>
    <definedName name="XR">#REF!</definedName>
    <definedName name="XX">#REF!</definedName>
    <definedName name="XXX">#REF!</definedName>
    <definedName name="Y2_C_Capex">#REF!</definedName>
    <definedName name="Y2_C_Depr">#REF!</definedName>
    <definedName name="Y2_C_EBITDA">#REF!</definedName>
    <definedName name="Y2_C_EPS">#REF!</definedName>
    <definedName name="Y2_C_ND">#REF!</definedName>
    <definedName name="Y2_C_NP">#REF!</definedName>
    <definedName name="Y2_C_OP">#REF!</definedName>
    <definedName name="Y2_C_PP">#REF!</definedName>
    <definedName name="Y2_C_RP">#REF!</definedName>
    <definedName name="Y2_C_S">#REF!</definedName>
    <definedName name="Y2_C_SE">#REF!</definedName>
    <definedName name="Y2_Div">#REF!</definedName>
    <definedName name="Y2_FY1">#REF!</definedName>
    <definedName name="Y2_P_Capex">#REF!</definedName>
    <definedName name="Y2_P_Depr">#REF!</definedName>
    <definedName name="Y2_P_EBITDA">#REF!</definedName>
    <definedName name="Y2_P_EPS">#REF!</definedName>
    <definedName name="Y2_P_EPS_D">#REF!</definedName>
    <definedName name="Y2_P_ND">#REF!</definedName>
    <definedName name="Y2_P_NP">#REF!</definedName>
    <definedName name="Y2_P_OP">#REF!</definedName>
    <definedName name="Y2_P_PP">#REF!</definedName>
    <definedName name="Y2_P_RP">#REF!</definedName>
    <definedName name="Y2_P_S">#REF!</definedName>
    <definedName name="Y2_P_SE">#REF!</definedName>
    <definedName name="Y6_C_EPS">#REF!</definedName>
    <definedName name="Y6_C_NP">#REF!</definedName>
    <definedName name="Y6_C_OP">#REF!</definedName>
    <definedName name="Y6_C_RP">#REF!</definedName>
    <definedName name="Y6_C_S">#REF!</definedName>
    <definedName name="Y6_FY">#REF!</definedName>
    <definedName name="Y6_FY1">#REF!</definedName>
    <definedName name="Y6_P_EPS">#REF!</definedName>
    <definedName name="Y6_P_NP">#REF!</definedName>
    <definedName name="Y6_P_OP">#REF!</definedName>
    <definedName name="Y6_P_RP">#REF!</definedName>
    <definedName name="Y6_P_S">#REF!</definedName>
    <definedName name="Y7_C_Capex">#REF!</definedName>
    <definedName name="Y7_C_CF">#REF!</definedName>
    <definedName name="Y7_C_Depr">#REF!</definedName>
    <definedName name="Y7_C_EBITDA">#REF!</definedName>
    <definedName name="Y7_C_EPS">#REF!</definedName>
    <definedName name="Y7_C_FCF">#REF!</definedName>
    <definedName name="Y7_C_ND">#REF!</definedName>
    <definedName name="Y7_C_NP">#REF!</definedName>
    <definedName name="Y7_C_OP">#REF!</definedName>
    <definedName name="Y7_C_RP">#REF!</definedName>
    <definedName name="Y7_C_S">#REF!</definedName>
    <definedName name="Y7_C_SE">#REF!</definedName>
    <definedName name="Y7_C_SHR">#REF!</definedName>
    <definedName name="Y7_Div">#REF!</definedName>
    <definedName name="Y7_FY">#REF!</definedName>
    <definedName name="Y7_FY1">#REF!</definedName>
    <definedName name="Y7_P_Capex">#REF!</definedName>
    <definedName name="Y7_P_CF">#REF!</definedName>
    <definedName name="Y7_P_Depr">#REF!</definedName>
    <definedName name="Y7_P_EBITDA">#REF!</definedName>
    <definedName name="Y7_P_EPS">#REF!</definedName>
    <definedName name="Y7_P_FCF">#REF!</definedName>
    <definedName name="Y7_P_ND">#REF!</definedName>
    <definedName name="Y7_P_NP">#REF!</definedName>
    <definedName name="Y7_P_OP">#REF!</definedName>
    <definedName name="Y7_P_RP">#REF!</definedName>
    <definedName name="Y7_P_S">#REF!</definedName>
    <definedName name="Y7_P_SE">#REF!</definedName>
    <definedName name="Y7_P_SHR">#REF!</definedName>
    <definedName name="Ydays">#REF!</definedName>
    <definedName name="year">#REF!</definedName>
    <definedName name="Year_End_Employees">#REF!</definedName>
    <definedName name="year_end_month">#REF!</definedName>
    <definedName name="Year_row">#REF!</definedName>
    <definedName name="year_row1">#REF!</definedName>
    <definedName name="year_row2">#REF!</definedName>
    <definedName name="year_row3">#REF!</definedName>
    <definedName name="yearago">#REF!</definedName>
    <definedName name="Years">OFFSET(#REF!,0,0,COUNTA(#REF!)-1)</definedName>
    <definedName name="Years_in_full_stream">#REF!</definedName>
    <definedName name="Years_into_future">#REF!</definedName>
    <definedName name="years_row">#REF!</definedName>
    <definedName name="YEARS_TO_VEST">#REF!</definedName>
    <definedName name="yield">#REF!</definedName>
    <definedName name="YoY">#REF!</definedName>
    <definedName name="YOYM">IF(#REF!=0,"NM",((#REF!/#REF!)-1))</definedName>
    <definedName name="yr_ago_eps">#REF!</definedName>
    <definedName name="yr_ago_rev">#REF!</definedName>
    <definedName name="yr_end_exch_rate_usd">#REF!</definedName>
    <definedName name="YRA3MTH">7</definedName>
    <definedName name="YRACYTD">10</definedName>
    <definedName name="YRAMTH">3</definedName>
    <definedName name="YRAMYTD">13</definedName>
    <definedName name="YRAVOL">5</definedName>
    <definedName name="YRAWEEK">3</definedName>
    <definedName name="YrCheck">#REF!</definedName>
    <definedName name="YSUM">SUM(#REF!)</definedName>
    <definedName name="yy">#REF!</definedName>
    <definedName name="Z_60FA13F0_C7AB_11D5_82BE_0060B0F04987_.wvu.Rows" hidden="1">#REF!</definedName>
    <definedName name="Z_870DA93B_C7EC_11D1_935A_00A0C95F1362_.wvu.PrintArea" hidden="1">#REF!</definedName>
    <definedName name="Z_FY">#REF!</definedName>
    <definedName name="Z_FY1">#REF!</definedName>
    <definedName name="Z1_P_Capex">#REF!</definedName>
    <definedName name="Z1_P_CF">#REF!</definedName>
    <definedName name="Z1_P_Depr">#REF!</definedName>
    <definedName name="Z1_P_Div">#REF!</definedName>
    <definedName name="Z1_P_EBITDA">#REF!</definedName>
    <definedName name="Z1_P_FCF">#REF!</definedName>
    <definedName name="Z1_P_ND">#REF!</definedName>
    <definedName name="Z2_FY">#REF!</definedName>
    <definedName name="Z2_FY1">#REF!</definedName>
    <definedName name="Z2_P_Capex">#REF!</definedName>
    <definedName name="Z2_P_CF">#REF!</definedName>
    <definedName name="Z2_P_Depr">#REF!</definedName>
    <definedName name="Z2_P_EBITDA">#REF!</definedName>
    <definedName name="Z2_P_EPS">#REF!</definedName>
    <definedName name="Z2_P_FCF">#REF!</definedName>
    <definedName name="Z2_P_RP">#REF!</definedName>
    <definedName name="Z2_P_SHR">#REF!</definedName>
    <definedName name="Z4_C_Capex">#REF!</definedName>
    <definedName name="Z4_C_CF">#REF!</definedName>
    <definedName name="Z4_C_Depr">#REF!</definedName>
    <definedName name="Z4_C_EBITDA">#REF!</definedName>
    <definedName name="Z4_C_EPS">#REF!</definedName>
    <definedName name="Z4_C_FCF">#REF!</definedName>
    <definedName name="Z4_C_ND">#REF!</definedName>
    <definedName name="Z4_C_NP">#REF!</definedName>
    <definedName name="Z4_C_OP">#REF!</definedName>
    <definedName name="Z4_C_RP">#REF!</definedName>
    <definedName name="Z4_C_S">#REF!</definedName>
    <definedName name="Z4_C_SE">#REF!</definedName>
    <definedName name="Z4_C_SHR">#REF!</definedName>
    <definedName name="Z4_FY">#REF!</definedName>
    <definedName name="Z4_FY1">#REF!</definedName>
    <definedName name="Z4_P_Capex">#REF!</definedName>
    <definedName name="Z4_P_CF">#REF!</definedName>
    <definedName name="Z4_P_Depr">#REF!</definedName>
    <definedName name="Z4_P_Div">#REF!</definedName>
    <definedName name="Z4_P_EBITDA">#REF!</definedName>
    <definedName name="Z4_P_EPS">#REF!</definedName>
    <definedName name="Z4_P_FCF">#REF!</definedName>
    <definedName name="Z4_P_ND">#REF!</definedName>
    <definedName name="Z4_P_NP">#REF!</definedName>
    <definedName name="Z4_P_OP">#REF!</definedName>
    <definedName name="Z4_P_RP">#REF!</definedName>
    <definedName name="Z4_P_S">#REF!</definedName>
    <definedName name="Z4_P_SE">#REF!</definedName>
    <definedName name="Z4_P_SHR">#REF!</definedName>
    <definedName name="Zero">#REF!</definedName>
    <definedName name="ZP_Div">#REF!</definedName>
    <definedName name="ZP_FCF">#REF!</definedName>
    <definedName name="ZP_ND">#REF!</definedName>
    <definedName name="ZP_RP">#REF!</definedName>
    <definedName name="zz">#REF!</definedName>
  </definedNames>
  <calcPr calcId="191029" calcMode="autoNoTable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X76" i="2" l="1"/>
  <c r="AF17" i="6"/>
  <c r="AF14" i="6" s="1"/>
  <c r="AE17" i="6"/>
  <c r="AD17" i="6"/>
  <c r="AD8" i="6" s="1"/>
  <c r="AC17" i="6"/>
  <c r="AC14" i="6" s="1"/>
  <c r="AB17" i="6"/>
  <c r="AA17" i="6"/>
  <c r="AA14" i="6" s="1"/>
  <c r="Z17" i="6"/>
  <c r="Z8" i="6" s="1"/>
  <c r="Y17" i="6"/>
  <c r="X17" i="6"/>
  <c r="W17" i="6"/>
  <c r="W8" i="6" s="1"/>
  <c r="V17" i="6"/>
  <c r="U17" i="6"/>
  <c r="U14" i="6" s="1"/>
  <c r="T17" i="6"/>
  <c r="T8" i="6" s="1"/>
  <c r="S17" i="6"/>
  <c r="R17" i="6"/>
  <c r="R14" i="6" s="1"/>
  <c r="Q17" i="6"/>
  <c r="Q8" i="6" s="1"/>
  <c r="P17" i="6"/>
  <c r="P8" i="6" s="1"/>
  <c r="O17" i="6"/>
  <c r="O14" i="6" s="1"/>
  <c r="N17" i="6"/>
  <c r="N14" i="6" s="1"/>
  <c r="M17" i="6"/>
  <c r="L17" i="6"/>
  <c r="L14" i="6" s="1"/>
  <c r="K17" i="6"/>
  <c r="J17" i="6"/>
  <c r="I17" i="6"/>
  <c r="I8" i="6" s="1"/>
  <c r="H17" i="6"/>
  <c r="H8" i="6" s="1"/>
  <c r="G17" i="6"/>
  <c r="F17" i="6"/>
  <c r="F8" i="6" s="1"/>
  <c r="E17" i="6"/>
  <c r="E8" i="6" s="1"/>
  <c r="D17" i="6"/>
  <c r="D8" i="6" s="1"/>
  <c r="C17" i="6"/>
  <c r="C8" i="6" s="1"/>
  <c r="B17" i="6"/>
  <c r="B8" i="6" s="1"/>
  <c r="AF13" i="6"/>
  <c r="AE13" i="6"/>
  <c r="AD13" i="6"/>
  <c r="AC13" i="6"/>
  <c r="AB13" i="6"/>
  <c r="AA13" i="6"/>
  <c r="Z13" i="6"/>
  <c r="Y13" i="6"/>
  <c r="X13" i="6"/>
  <c r="W13" i="6"/>
  <c r="V13" i="6"/>
  <c r="U13" i="6"/>
  <c r="T13" i="6"/>
  <c r="S13" i="6"/>
  <c r="R13" i="6"/>
  <c r="Q13" i="6"/>
  <c r="P13" i="6"/>
  <c r="O13" i="6"/>
  <c r="N13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BY11" i="6"/>
  <c r="BX11" i="6"/>
  <c r="BW11" i="6"/>
  <c r="BV11" i="6"/>
  <c r="BU11" i="6"/>
  <c r="AG11" i="6"/>
  <c r="U8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6" i="6"/>
  <c r="C6" i="6"/>
  <c r="BY5" i="6"/>
  <c r="BX5" i="6"/>
  <c r="BW5" i="6"/>
  <c r="BV5" i="6"/>
  <c r="BU5" i="6"/>
  <c r="BT5" i="6"/>
  <c r="BS5" i="6"/>
  <c r="BS17" i="6" s="1"/>
  <c r="AG5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S3" i="6"/>
  <c r="BT2" i="6"/>
  <c r="BT3" i="6" s="1"/>
  <c r="BQ2" i="6"/>
  <c r="BP2" i="6"/>
  <c r="BO2" i="6"/>
  <c r="BN2" i="6"/>
  <c r="BM2" i="6"/>
  <c r="BL2" i="6"/>
  <c r="BK2" i="6"/>
  <c r="BJ2" i="6"/>
  <c r="BI2" i="6"/>
  <c r="BH2" i="6"/>
  <c r="BG2" i="6"/>
  <c r="BF2" i="6"/>
  <c r="BE2" i="6"/>
  <c r="BD2" i="6"/>
  <c r="BC2" i="6"/>
  <c r="BB2" i="6"/>
  <c r="BA2" i="6"/>
  <c r="AZ2" i="6"/>
  <c r="AY2" i="6"/>
  <c r="AX2" i="6"/>
  <c r="AW2" i="6"/>
  <c r="AV2" i="6"/>
  <c r="AU2" i="6"/>
  <c r="AT2" i="6"/>
  <c r="AS2" i="6"/>
  <c r="AR2" i="6"/>
  <c r="AQ2" i="6"/>
  <c r="AP2" i="6"/>
  <c r="AO2" i="6"/>
  <c r="AN2" i="6"/>
  <c r="AM2" i="6"/>
  <c r="AL2" i="6"/>
  <c r="AK2" i="6"/>
  <c r="AJ2" i="6"/>
  <c r="AI2" i="6"/>
  <c r="AH2" i="6"/>
  <c r="AG2" i="6"/>
  <c r="AF2" i="6"/>
  <c r="AE2" i="6"/>
  <c r="AD2" i="6"/>
  <c r="AC2" i="6"/>
  <c r="AB2" i="6"/>
  <c r="AA2" i="6"/>
  <c r="Z2" i="6"/>
  <c r="Y2" i="6"/>
  <c r="X2" i="6"/>
  <c r="W2" i="6"/>
  <c r="V2" i="6"/>
  <c r="U2" i="6"/>
  <c r="T2" i="6"/>
  <c r="S2" i="6"/>
  <c r="R2" i="6"/>
  <c r="Q2" i="6"/>
  <c r="P2" i="6"/>
  <c r="O2" i="6"/>
  <c r="N2" i="6"/>
  <c r="M2" i="6"/>
  <c r="L2" i="6"/>
  <c r="K2" i="6"/>
  <c r="J2" i="6"/>
  <c r="I2" i="6"/>
  <c r="H2" i="6"/>
  <c r="G2" i="6"/>
  <c r="F2" i="6"/>
  <c r="E2" i="6"/>
  <c r="D2" i="6"/>
  <c r="C2" i="6"/>
  <c r="B2" i="6"/>
  <c r="AJ80" i="5"/>
  <c r="AJ81" i="5" s="1"/>
  <c r="AI77" i="5"/>
  <c r="AI83" i="5" s="1"/>
  <c r="AQ72" i="5"/>
  <c r="AP72" i="5"/>
  <c r="AO72" i="5"/>
  <c r="AN72" i="5"/>
  <c r="AM72" i="5"/>
  <c r="AL72" i="5"/>
  <c r="AK72" i="5"/>
  <c r="AJ72" i="5"/>
  <c r="AI72" i="5"/>
  <c r="AH72" i="5"/>
  <c r="AG72" i="5"/>
  <c r="AF72" i="5"/>
  <c r="AE72" i="5"/>
  <c r="AD72" i="5"/>
  <c r="AC72" i="5"/>
  <c r="AB72" i="5"/>
  <c r="AA72" i="5"/>
  <c r="Z72" i="5"/>
  <c r="BA54" i="5"/>
  <c r="AK54" i="5"/>
  <c r="AJ54" i="5"/>
  <c r="AI54" i="5"/>
  <c r="AH54" i="5"/>
  <c r="AG54" i="5"/>
  <c r="AF54" i="5"/>
  <c r="AE54" i="5"/>
  <c r="AD54" i="5"/>
  <c r="AC54" i="5"/>
  <c r="AB54" i="5"/>
  <c r="AA54" i="5"/>
  <c r="Z54" i="5"/>
  <c r="BU46" i="5"/>
  <c r="BT46" i="5"/>
  <c r="BS46" i="5"/>
  <c r="BR46" i="5"/>
  <c r="BQ46" i="5"/>
  <c r="BP46" i="5"/>
  <c r="BO46" i="5"/>
  <c r="BN46" i="5"/>
  <c r="BM46" i="5"/>
  <c r="BL46" i="5"/>
  <c r="BK46" i="5"/>
  <c r="BJ46" i="5"/>
  <c r="BI46" i="5"/>
  <c r="BH46" i="5"/>
  <c r="BG46" i="5"/>
  <c r="BF46" i="5"/>
  <c r="BE46" i="5"/>
  <c r="BD46" i="5"/>
  <c r="BC46" i="5"/>
  <c r="BB46" i="5"/>
  <c r="BA46" i="5"/>
  <c r="AZ46" i="5"/>
  <c r="AY46" i="5"/>
  <c r="AX46" i="5"/>
  <c r="AW46" i="5"/>
  <c r="AV46" i="5"/>
  <c r="AU46" i="5"/>
  <c r="AT46" i="5"/>
  <c r="AS46" i="5"/>
  <c r="AR46" i="5"/>
  <c r="AQ46" i="5"/>
  <c r="AP46" i="5"/>
  <c r="AO46" i="5"/>
  <c r="AN46" i="5"/>
  <c r="AM46" i="5"/>
  <c r="AL46" i="5"/>
  <c r="AK46" i="5"/>
  <c r="AJ46" i="5"/>
  <c r="AI46" i="5"/>
  <c r="AH46" i="5"/>
  <c r="AG46" i="5"/>
  <c r="AF46" i="5"/>
  <c r="AE46" i="5"/>
  <c r="AD46" i="5"/>
  <c r="AC46" i="5"/>
  <c r="AB46" i="5"/>
  <c r="AA46" i="5"/>
  <c r="Z46" i="5"/>
  <c r="Y46" i="5"/>
  <c r="X46" i="5"/>
  <c r="W46" i="5"/>
  <c r="V46" i="5"/>
  <c r="U46" i="5"/>
  <c r="T46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D46" i="5"/>
  <c r="C46" i="5"/>
  <c r="B46" i="5"/>
  <c r="BA41" i="5"/>
  <c r="AZ41" i="5"/>
  <c r="AY41" i="5"/>
  <c r="AX41" i="5"/>
  <c r="AW41" i="5"/>
  <c r="AV41" i="5"/>
  <c r="AU41" i="5"/>
  <c r="AT41" i="5"/>
  <c r="AS41" i="5"/>
  <c r="AR41" i="5"/>
  <c r="AQ41" i="5"/>
  <c r="AP41" i="5"/>
  <c r="AO41" i="5"/>
  <c r="AN41" i="5"/>
  <c r="AM41" i="5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BA40" i="5"/>
  <c r="AZ40" i="5"/>
  <c r="AY40" i="5"/>
  <c r="AX40" i="5"/>
  <c r="AW40" i="5"/>
  <c r="AV40" i="5"/>
  <c r="AU40" i="5"/>
  <c r="AT40" i="5"/>
  <c r="AS40" i="5"/>
  <c r="AR40" i="5"/>
  <c r="AQ40" i="5"/>
  <c r="AP40" i="5"/>
  <c r="AO40" i="5"/>
  <c r="AN40" i="5"/>
  <c r="AM40" i="5"/>
  <c r="AL40" i="5"/>
  <c r="AK40" i="5"/>
  <c r="AJ40" i="5"/>
  <c r="AI40" i="5"/>
  <c r="AH40" i="5"/>
  <c r="AG40" i="5"/>
  <c r="AF40" i="5"/>
  <c r="AE40" i="5"/>
  <c r="AD40" i="5"/>
  <c r="BA39" i="5"/>
  <c r="AZ39" i="5"/>
  <c r="AY39" i="5"/>
  <c r="AX39" i="5"/>
  <c r="AW39" i="5"/>
  <c r="AV39" i="5"/>
  <c r="AU39" i="5"/>
  <c r="AT39" i="5"/>
  <c r="AS39" i="5"/>
  <c r="AR39" i="5"/>
  <c r="AQ39" i="5"/>
  <c r="AP39" i="5"/>
  <c r="AO39" i="5"/>
  <c r="AN39" i="5"/>
  <c r="AM39" i="5"/>
  <c r="AL39" i="5"/>
  <c r="AK39" i="5"/>
  <c r="AJ39" i="5"/>
  <c r="AI39" i="5"/>
  <c r="AH39" i="5"/>
  <c r="AG39" i="5"/>
  <c r="AF39" i="5"/>
  <c r="AE39" i="5"/>
  <c r="AD39" i="5"/>
  <c r="AC39" i="5"/>
  <c r="AB39" i="5"/>
  <c r="AA39" i="5"/>
  <c r="BB38" i="5"/>
  <c r="BC38" i="5" s="1"/>
  <c r="BU37" i="5"/>
  <c r="BT37" i="5"/>
  <c r="BS37" i="5"/>
  <c r="BR37" i="5"/>
  <c r="BQ37" i="5"/>
  <c r="BP37" i="5"/>
  <c r="BO37" i="5"/>
  <c r="BN37" i="5"/>
  <c r="BM37" i="5"/>
  <c r="BL37" i="5"/>
  <c r="BK37" i="5"/>
  <c r="BJ37" i="5"/>
  <c r="BI37" i="5"/>
  <c r="BH37" i="5"/>
  <c r="BG37" i="5"/>
  <c r="BF37" i="5"/>
  <c r="BE37" i="5"/>
  <c r="BD37" i="5"/>
  <c r="BC37" i="5"/>
  <c r="BB37" i="5"/>
  <c r="BA37" i="5"/>
  <c r="AZ37" i="5"/>
  <c r="AY37" i="5"/>
  <c r="AX37" i="5"/>
  <c r="AW37" i="5"/>
  <c r="AV37" i="5"/>
  <c r="AU37" i="5"/>
  <c r="AT37" i="5"/>
  <c r="AS37" i="5"/>
  <c r="AR37" i="5"/>
  <c r="AQ37" i="5"/>
  <c r="AP37" i="5"/>
  <c r="AO37" i="5"/>
  <c r="AN37" i="5"/>
  <c r="AM37" i="5"/>
  <c r="AL37" i="5"/>
  <c r="AK37" i="5"/>
  <c r="AJ37" i="5"/>
  <c r="AI37" i="5"/>
  <c r="AH37" i="5"/>
  <c r="AG37" i="5"/>
  <c r="AF37" i="5"/>
  <c r="AE37" i="5"/>
  <c r="AD37" i="5"/>
  <c r="AC37" i="5"/>
  <c r="AB37" i="5"/>
  <c r="AA37" i="5"/>
  <c r="Z37" i="5"/>
  <c r="Y37" i="5"/>
  <c r="X37" i="5"/>
  <c r="W37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F37" i="5"/>
  <c r="BU36" i="5"/>
  <c r="BT36" i="5"/>
  <c r="BS36" i="5"/>
  <c r="BR36" i="5"/>
  <c r="BQ36" i="5"/>
  <c r="BO36" i="5"/>
  <c r="BN36" i="5"/>
  <c r="BM36" i="5"/>
  <c r="BL36" i="5"/>
  <c r="BK36" i="5"/>
  <c r="BJ36" i="5"/>
  <c r="BI36" i="5"/>
  <c r="BH36" i="5"/>
  <c r="BG36" i="5"/>
  <c r="BF36" i="5"/>
  <c r="BE36" i="5"/>
  <c r="BD36" i="5"/>
  <c r="BC36" i="5"/>
  <c r="BB36" i="5"/>
  <c r="BA36" i="5"/>
  <c r="AZ36" i="5"/>
  <c r="AY36" i="5"/>
  <c r="AX36" i="5"/>
  <c r="AW36" i="5"/>
  <c r="AV36" i="5"/>
  <c r="AU36" i="5"/>
  <c r="AT36" i="5"/>
  <c r="AS36" i="5"/>
  <c r="AR36" i="5"/>
  <c r="AQ36" i="5"/>
  <c r="AP36" i="5"/>
  <c r="AO36" i="5"/>
  <c r="AN36" i="5"/>
  <c r="AM36" i="5"/>
  <c r="AL36" i="5"/>
  <c r="AK36" i="5"/>
  <c r="AJ36" i="5"/>
  <c r="AI36" i="5"/>
  <c r="AH36" i="5"/>
  <c r="AG36" i="5"/>
  <c r="AF36" i="5"/>
  <c r="AE36" i="5"/>
  <c r="AD36" i="5"/>
  <c r="AC36" i="5"/>
  <c r="AB36" i="5"/>
  <c r="AA36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E36" i="5"/>
  <c r="D36" i="5"/>
  <c r="C36" i="5"/>
  <c r="DI35" i="5"/>
  <c r="DH35" i="5"/>
  <c r="DG35" i="5"/>
  <c r="DF35" i="5"/>
  <c r="DE35" i="5"/>
  <c r="DD35" i="5"/>
  <c r="DC35" i="5"/>
  <c r="DB35" i="5"/>
  <c r="DA35" i="5"/>
  <c r="CZ35" i="5"/>
  <c r="CY35" i="5"/>
  <c r="CX35" i="5"/>
  <c r="CW35" i="5"/>
  <c r="CV35" i="5"/>
  <c r="CU35" i="5"/>
  <c r="CT35" i="5"/>
  <c r="CS35" i="5"/>
  <c r="CR35" i="5"/>
  <c r="BV35" i="5"/>
  <c r="AQ31" i="5"/>
  <c r="AP31" i="5"/>
  <c r="AO31" i="5"/>
  <c r="DA30" i="5"/>
  <c r="CZ30" i="5"/>
  <c r="CY30" i="5"/>
  <c r="CX30" i="5"/>
  <c r="BA30" i="5"/>
  <c r="BA72" i="5" s="1"/>
  <c r="AM21" i="5"/>
  <c r="AN21" i="5" s="1"/>
  <c r="AO21" i="5" s="1"/>
  <c r="AO22" i="5" s="1"/>
  <c r="BA20" i="5"/>
  <c r="AZ20" i="5"/>
  <c r="AY20" i="5"/>
  <c r="AX20" i="5"/>
  <c r="AW20" i="5"/>
  <c r="AV20" i="5"/>
  <c r="AU20" i="5"/>
  <c r="AT20" i="5"/>
  <c r="AS20" i="5"/>
  <c r="AR20" i="5"/>
  <c r="AQ20" i="5"/>
  <c r="AP20" i="5"/>
  <c r="AO20" i="5"/>
  <c r="AN20" i="5"/>
  <c r="AM20" i="5"/>
  <c r="AL20" i="5"/>
  <c r="AK20" i="5"/>
  <c r="AJ20" i="5"/>
  <c r="AI20" i="5"/>
  <c r="AH20" i="5"/>
  <c r="AG20" i="5"/>
  <c r="AF20" i="5"/>
  <c r="AE20" i="5"/>
  <c r="AD20" i="5"/>
  <c r="AC20" i="5"/>
  <c r="AB20" i="5"/>
  <c r="AA20" i="5"/>
  <c r="Z20" i="5"/>
  <c r="BG19" i="5"/>
  <c r="BE19" i="5"/>
  <c r="BD19" i="5"/>
  <c r="BC19" i="5"/>
  <c r="BA19" i="5"/>
  <c r="AZ19" i="5"/>
  <c r="AY19" i="5"/>
  <c r="AX19" i="5"/>
  <c r="AW19" i="5"/>
  <c r="AV19" i="5"/>
  <c r="AU19" i="5"/>
  <c r="AT19" i="5"/>
  <c r="AS19" i="5"/>
  <c r="AR19" i="5"/>
  <c r="AQ19" i="5"/>
  <c r="AP19" i="5"/>
  <c r="AO19" i="5"/>
  <c r="AN19" i="5"/>
  <c r="AM19" i="5"/>
  <c r="AL19" i="5"/>
  <c r="AK19" i="5"/>
  <c r="AJ19" i="5"/>
  <c r="AI19" i="5"/>
  <c r="AH19" i="5"/>
  <c r="AG19" i="5"/>
  <c r="AF19" i="5"/>
  <c r="AE19" i="5"/>
  <c r="AD19" i="5"/>
  <c r="BG18" i="5"/>
  <c r="BF18" i="5"/>
  <c r="BE18" i="5"/>
  <c r="BD18" i="5"/>
  <c r="BA18" i="5"/>
  <c r="AZ18" i="5"/>
  <c r="AY18" i="5"/>
  <c r="AX18" i="5"/>
  <c r="AW18" i="5"/>
  <c r="AV18" i="5"/>
  <c r="AU18" i="5"/>
  <c r="AT18" i="5"/>
  <c r="AS18" i="5"/>
  <c r="AR18" i="5"/>
  <c r="AQ18" i="5"/>
  <c r="AP18" i="5"/>
  <c r="AO18" i="5"/>
  <c r="AN18" i="5"/>
  <c r="AM18" i="5"/>
  <c r="AL18" i="5"/>
  <c r="AK18" i="5"/>
  <c r="AJ18" i="5"/>
  <c r="AI18" i="5"/>
  <c r="AH18" i="5"/>
  <c r="AG18" i="5"/>
  <c r="AF18" i="5"/>
  <c r="AE18" i="5"/>
  <c r="AD18" i="5"/>
  <c r="AC18" i="5"/>
  <c r="AB18" i="5"/>
  <c r="AA18" i="5"/>
  <c r="BH17" i="5"/>
  <c r="BI17" i="5" s="1"/>
  <c r="BJ17" i="5" s="1"/>
  <c r="BB17" i="5"/>
  <c r="CZ11" i="5"/>
  <c r="CY11" i="5"/>
  <c r="CX11" i="5"/>
  <c r="BB11" i="5"/>
  <c r="BC11" i="5" s="1"/>
  <c r="BD11" i="5" s="1"/>
  <c r="AL11" i="5"/>
  <c r="AL8" i="5" s="1"/>
  <c r="AL49" i="5" s="1"/>
  <c r="BA8" i="5"/>
  <c r="BA49" i="5" s="1"/>
  <c r="AK8" i="5"/>
  <c r="AJ8" i="5"/>
  <c r="AJ49" i="5" s="1"/>
  <c r="AI8" i="5"/>
  <c r="AI49" i="5" s="1"/>
  <c r="AH8" i="5"/>
  <c r="AG8" i="5"/>
  <c r="AF8" i="5"/>
  <c r="AF49" i="5" s="1"/>
  <c r="AE8" i="5"/>
  <c r="AD8" i="5"/>
  <c r="AD49" i="5" s="1"/>
  <c r="AC8" i="5"/>
  <c r="AC27" i="5" s="1"/>
  <c r="AB8" i="5"/>
  <c r="AA8" i="5"/>
  <c r="Z8" i="5"/>
  <c r="Z49" i="5" s="1"/>
  <c r="Z53" i="5" s="1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6" i="5"/>
  <c r="C6" i="5"/>
  <c r="DI5" i="5"/>
  <c r="DH5" i="5"/>
  <c r="DG5" i="5"/>
  <c r="DF5" i="5"/>
  <c r="DE5" i="5"/>
  <c r="DD5" i="5"/>
  <c r="DC5" i="5"/>
  <c r="DB5" i="5"/>
  <c r="DA5" i="5"/>
  <c r="CZ5" i="5"/>
  <c r="CY5" i="5"/>
  <c r="CX5" i="5"/>
  <c r="CW5" i="5"/>
  <c r="CV5" i="5"/>
  <c r="CU5" i="5"/>
  <c r="CT5" i="5"/>
  <c r="CS5" i="5"/>
  <c r="CR5" i="5"/>
  <c r="AX4" i="5"/>
  <c r="AW4" i="5"/>
  <c r="AV4" i="5"/>
  <c r="AU4" i="5"/>
  <c r="AT4" i="5"/>
  <c r="AS4" i="5"/>
  <c r="AR4" i="5"/>
  <c r="AQ4" i="5"/>
  <c r="AP4" i="5"/>
  <c r="AO4" i="5"/>
  <c r="AN4" i="5"/>
  <c r="AM4" i="5"/>
  <c r="AL4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3" i="5"/>
  <c r="B3" i="5"/>
  <c r="BJ97" i="4"/>
  <c r="BJ34" i="4" s="1"/>
  <c r="CG85" i="4"/>
  <c r="DI81" i="4"/>
  <c r="DH81" i="4"/>
  <c r="DG81" i="4"/>
  <c r="DI76" i="4"/>
  <c r="DH76" i="4"/>
  <c r="DG76" i="4"/>
  <c r="CB76" i="4"/>
  <c r="DH72" i="4"/>
  <c r="DG72" i="4"/>
  <c r="BX71" i="4"/>
  <c r="CF89" i="4" s="1"/>
  <c r="CF90" i="4" s="1"/>
  <c r="DH67" i="4"/>
  <c r="DG67" i="4"/>
  <c r="BZ67" i="4"/>
  <c r="CA67" i="4" s="1"/>
  <c r="CB67" i="4" s="1"/>
  <c r="CC67" i="4" s="1"/>
  <c r="DG63" i="4"/>
  <c r="BU62" i="4"/>
  <c r="DG58" i="4"/>
  <c r="BT58" i="4"/>
  <c r="BU58" i="4" s="1"/>
  <c r="BP54" i="4"/>
  <c r="BQ53" i="4"/>
  <c r="BR53" i="4" s="1"/>
  <c r="BS53" i="4" s="1"/>
  <c r="BQ50" i="4"/>
  <c r="DG49" i="4"/>
  <c r="BR49" i="4"/>
  <c r="BS49" i="4" s="1"/>
  <c r="BT49" i="4" s="1"/>
  <c r="DK45" i="4"/>
  <c r="BO45" i="4"/>
  <c r="BP44" i="4"/>
  <c r="BP41" i="4"/>
  <c r="DK40" i="4"/>
  <c r="BQ40" i="4"/>
  <c r="DG40" i="4" s="1"/>
  <c r="DK36" i="4"/>
  <c r="BL35" i="4"/>
  <c r="BJ35" i="4"/>
  <c r="BJ36" i="4" s="1"/>
  <c r="DK31" i="4"/>
  <c r="BK31" i="4"/>
  <c r="BK36" i="4" s="1"/>
  <c r="BL26" i="4"/>
  <c r="BM26" i="4" s="1"/>
  <c r="BJ26" i="4"/>
  <c r="BJ27" i="4" s="1"/>
  <c r="BK22" i="4"/>
  <c r="CV15" i="4"/>
  <c r="CU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B10" i="4"/>
  <c r="DM9" i="4"/>
  <c r="DL9" i="4"/>
  <c r="DK9" i="4"/>
  <c r="DJ9" i="4"/>
  <c r="DI9" i="4"/>
  <c r="DH9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DM8" i="4"/>
  <c r="DL8" i="4"/>
  <c r="DK8" i="4"/>
  <c r="DJ8" i="4"/>
  <c r="DI8" i="4"/>
  <c r="DH8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DM7" i="4"/>
  <c r="DL7" i="4"/>
  <c r="DK7" i="4"/>
  <c r="DJ7" i="4"/>
  <c r="DI7" i="4"/>
  <c r="DH7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DM6" i="4"/>
  <c r="DL6" i="4"/>
  <c r="DK6" i="4"/>
  <c r="DJ6" i="4"/>
  <c r="DI6" i="4"/>
  <c r="DH6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DM5" i="4"/>
  <c r="DL5" i="4"/>
  <c r="DK5" i="4"/>
  <c r="DJ5" i="4"/>
  <c r="DI5" i="4"/>
  <c r="DH5" i="4"/>
  <c r="DG5" i="4"/>
  <c r="DF5" i="4"/>
  <c r="DE5" i="4"/>
  <c r="DD5" i="4"/>
  <c r="DC5" i="4"/>
  <c r="DB5" i="4"/>
  <c r="DA5" i="4"/>
  <c r="CZ5" i="4"/>
  <c r="CY5" i="4"/>
  <c r="CX5" i="4"/>
  <c r="CW5" i="4"/>
  <c r="CV5" i="4"/>
  <c r="CU5" i="4"/>
  <c r="CT5" i="4"/>
  <c r="CS5" i="4"/>
  <c r="CR5" i="4"/>
  <c r="CQ5" i="4"/>
  <c r="DM4" i="4"/>
  <c r="DL4" i="4"/>
  <c r="DK4" i="4"/>
  <c r="DJ4" i="4"/>
  <c r="DI4" i="4"/>
  <c r="DH4" i="4"/>
  <c r="DG4" i="4"/>
  <c r="DF4" i="4"/>
  <c r="DE4" i="4"/>
  <c r="DD4" i="4"/>
  <c r="DC4" i="4"/>
  <c r="DB4" i="4"/>
  <c r="DA4" i="4"/>
  <c r="CZ4" i="4"/>
  <c r="CY4" i="4"/>
  <c r="CX4" i="4"/>
  <c r="CW4" i="4"/>
  <c r="CV4" i="4"/>
  <c r="CU4" i="4"/>
  <c r="CT4" i="4"/>
  <c r="CS4" i="4"/>
  <c r="CR4" i="4"/>
  <c r="CQ4" i="4"/>
  <c r="DM3" i="4"/>
  <c r="DL3" i="4"/>
  <c r="DK3" i="4"/>
  <c r="DJ3" i="4"/>
  <c r="DI3" i="4"/>
  <c r="DH3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DE2" i="4"/>
  <c r="DD2" i="4"/>
  <c r="DC2" i="4"/>
  <c r="DB2" i="4"/>
  <c r="DA2" i="4"/>
  <c r="CZ2" i="4"/>
  <c r="CY2" i="4"/>
  <c r="CX2" i="4"/>
  <c r="CW2" i="4"/>
  <c r="CV2" i="4"/>
  <c r="CU2" i="4"/>
  <c r="CT2" i="4"/>
  <c r="CS2" i="4"/>
  <c r="CR2" i="4"/>
  <c r="CQ2" i="4"/>
  <c r="CO1" i="4"/>
  <c r="CN1" i="4"/>
  <c r="CM1" i="4"/>
  <c r="CL1" i="4"/>
  <c r="CK1" i="4"/>
  <c r="CJ1" i="4"/>
  <c r="CI1" i="4"/>
  <c r="CH1" i="4"/>
  <c r="CG1" i="4"/>
  <c r="CF1" i="4"/>
  <c r="CE1" i="4"/>
  <c r="CD1" i="4"/>
  <c r="CC1" i="4"/>
  <c r="CB1" i="4"/>
  <c r="CA1" i="4"/>
  <c r="BZ1" i="4"/>
  <c r="BY1" i="4"/>
  <c r="BX1" i="4"/>
  <c r="BW1" i="4"/>
  <c r="BV1" i="4"/>
  <c r="BQ1" i="4"/>
  <c r="BP1" i="4"/>
  <c r="BO1" i="4"/>
  <c r="BN1" i="4"/>
  <c r="BM1" i="4"/>
  <c r="BL1" i="4"/>
  <c r="BK1" i="4"/>
  <c r="BJ1" i="4"/>
  <c r="BI1" i="4"/>
  <c r="BH1" i="4"/>
  <c r="BG1" i="4"/>
  <c r="BF1" i="4"/>
  <c r="BE1" i="4"/>
  <c r="BD1" i="4"/>
  <c r="BC1" i="4"/>
  <c r="BB1" i="4"/>
  <c r="BA1" i="4"/>
  <c r="AZ1" i="4"/>
  <c r="AY1" i="4"/>
  <c r="AX1" i="4"/>
  <c r="AW1" i="4"/>
  <c r="AV1" i="4"/>
  <c r="AU1" i="4"/>
  <c r="AT1" i="4"/>
  <c r="AS1" i="4"/>
  <c r="AR1" i="4"/>
  <c r="AQ1" i="4"/>
  <c r="AP1" i="4"/>
  <c r="AO1" i="4"/>
  <c r="AN1" i="4"/>
  <c r="AM1" i="4"/>
  <c r="AL1" i="4"/>
  <c r="AK1" i="4"/>
  <c r="AJ1" i="4"/>
  <c r="AI1" i="4"/>
  <c r="AH1" i="4"/>
  <c r="AG1" i="4"/>
  <c r="AF1" i="4"/>
  <c r="AE1" i="4"/>
  <c r="AD1" i="4"/>
  <c r="AC1" i="4"/>
  <c r="AB1" i="4"/>
  <c r="AA1" i="4"/>
  <c r="Z1" i="4"/>
  <c r="Y1" i="4"/>
  <c r="X1" i="4"/>
  <c r="W1" i="4"/>
  <c r="V1" i="4"/>
  <c r="U1" i="4"/>
  <c r="T1" i="4"/>
  <c r="S1" i="4"/>
  <c r="R1" i="4"/>
  <c r="Q1" i="4"/>
  <c r="P1" i="4"/>
  <c r="O1" i="4"/>
  <c r="N1" i="4"/>
  <c r="M1" i="4"/>
  <c r="L1" i="4"/>
  <c r="K1" i="4"/>
  <c r="J1" i="4"/>
  <c r="I1" i="4"/>
  <c r="H1" i="4"/>
  <c r="G1" i="4"/>
  <c r="F1" i="4"/>
  <c r="E1" i="4"/>
  <c r="D1" i="4"/>
  <c r="C1" i="4"/>
  <c r="B1" i="4"/>
  <c r="BB339" i="3"/>
  <c r="BA339" i="3"/>
  <c r="AZ339" i="3"/>
  <c r="AR335" i="3"/>
  <c r="AQ335" i="3"/>
  <c r="AN335" i="3"/>
  <c r="AM335" i="3"/>
  <c r="AL335" i="3"/>
  <c r="AK335" i="3"/>
  <c r="AI335" i="3"/>
  <c r="AH335" i="3"/>
  <c r="AG335" i="3"/>
  <c r="AF335" i="3"/>
  <c r="AP333" i="3"/>
  <c r="AP335" i="3" s="1"/>
  <c r="AD333" i="3"/>
  <c r="AC333" i="3"/>
  <c r="AC335" i="3" s="1"/>
  <c r="AB333" i="3"/>
  <c r="AB335" i="3" s="1"/>
  <c r="AA333" i="3"/>
  <c r="AA335" i="3" s="1"/>
  <c r="Y333" i="3"/>
  <c r="Y335" i="3" s="1"/>
  <c r="X333" i="3"/>
  <c r="X335" i="3" s="1"/>
  <c r="W333" i="3"/>
  <c r="W335" i="3" s="1"/>
  <c r="V333" i="3"/>
  <c r="V335" i="3" s="1"/>
  <c r="T333" i="3"/>
  <c r="T335" i="3" s="1"/>
  <c r="S333" i="3"/>
  <c r="S335" i="3" s="1"/>
  <c r="R333" i="3"/>
  <c r="R335" i="3" s="1"/>
  <c r="Q333" i="3"/>
  <c r="Q335" i="3" s="1"/>
  <c r="Y326" i="3"/>
  <c r="S326" i="3"/>
  <c r="B325" i="3"/>
  <c r="B324" i="3"/>
  <c r="BT318" i="3"/>
  <c r="BH318" i="3"/>
  <c r="BA318" i="3"/>
  <c r="AZ318" i="3"/>
  <c r="AX318" i="3"/>
  <c r="AW318" i="3"/>
  <c r="AU318" i="3"/>
  <c r="BT317" i="3"/>
  <c r="BH317" i="3"/>
  <c r="BA317" i="3"/>
  <c r="AZ317" i="3"/>
  <c r="AX317" i="3"/>
  <c r="AW317" i="3"/>
  <c r="AU317" i="3"/>
  <c r="BW316" i="3"/>
  <c r="BT315" i="3"/>
  <c r="BA315" i="3"/>
  <c r="AZ315" i="3"/>
  <c r="AX315" i="3"/>
  <c r="AW315" i="3"/>
  <c r="AU315" i="3"/>
  <c r="BW314" i="3"/>
  <c r="BT313" i="3"/>
  <c r="BA313" i="3"/>
  <c r="AZ313" i="3"/>
  <c r="AX313" i="3"/>
  <c r="AW313" i="3"/>
  <c r="AU313" i="3"/>
  <c r="BW312" i="3"/>
  <c r="EQ310" i="3"/>
  <c r="EO310" i="3"/>
  <c r="EN310" i="3"/>
  <c r="EM310" i="3"/>
  <c r="EL310" i="3"/>
  <c r="EJ310" i="3"/>
  <c r="EI310" i="3"/>
  <c r="EH310" i="3"/>
  <c r="EG310" i="3"/>
  <c r="EE310" i="3"/>
  <c r="ED310" i="3"/>
  <c r="EC310" i="3"/>
  <c r="EB310" i="3"/>
  <c r="DZ310" i="3"/>
  <c r="DY310" i="3"/>
  <c r="DX310" i="3"/>
  <c r="DW310" i="3"/>
  <c r="DU310" i="3"/>
  <c r="DT310" i="3"/>
  <c r="DS310" i="3"/>
  <c r="DR310" i="3"/>
  <c r="DP310" i="3"/>
  <c r="DO310" i="3"/>
  <c r="DN310" i="3"/>
  <c r="DM310" i="3"/>
  <c r="DK310" i="3"/>
  <c r="DJ310" i="3"/>
  <c r="DI310" i="3"/>
  <c r="DH310" i="3"/>
  <c r="DF310" i="3"/>
  <c r="DE310" i="3"/>
  <c r="DD310" i="3"/>
  <c r="DC310" i="3"/>
  <c r="DA310" i="3"/>
  <c r="CZ310" i="3"/>
  <c r="CY310" i="3"/>
  <c r="CX310" i="3"/>
  <c r="CV310" i="3"/>
  <c r="CU310" i="3"/>
  <c r="CT310" i="3"/>
  <c r="CS310" i="3"/>
  <c r="CQ310" i="3"/>
  <c r="CP310" i="3"/>
  <c r="CO310" i="3"/>
  <c r="CN310" i="3"/>
  <c r="CL310" i="3"/>
  <c r="CK310" i="3"/>
  <c r="CJ310" i="3"/>
  <c r="CI310" i="3"/>
  <c r="CG310" i="3"/>
  <c r="CF310" i="3"/>
  <c r="CE310" i="3"/>
  <c r="CD310" i="3"/>
  <c r="CB310" i="3"/>
  <c r="CA310" i="3"/>
  <c r="BZ310" i="3"/>
  <c r="BY310" i="3"/>
  <c r="BW310" i="3"/>
  <c r="BV310" i="3"/>
  <c r="BU310" i="3"/>
  <c r="BT310" i="3"/>
  <c r="BR310" i="3"/>
  <c r="BQ310" i="3"/>
  <c r="BP310" i="3"/>
  <c r="BO310" i="3"/>
  <c r="BM310" i="3"/>
  <c r="BL310" i="3"/>
  <c r="BK310" i="3"/>
  <c r="BJ310" i="3"/>
  <c r="BH310" i="3"/>
  <c r="BG310" i="3"/>
  <c r="BF310" i="3"/>
  <c r="BE310" i="3"/>
  <c r="BC310" i="3"/>
  <c r="BB310" i="3"/>
  <c r="AZ310" i="3"/>
  <c r="AX310" i="3"/>
  <c r="AV310" i="3"/>
  <c r="EQ309" i="3"/>
  <c r="EO309" i="3"/>
  <c r="EN309" i="3"/>
  <c r="EM309" i="3"/>
  <c r="EL309" i="3"/>
  <c r="EJ309" i="3"/>
  <c r="EI309" i="3"/>
  <c r="EH309" i="3"/>
  <c r="EG309" i="3"/>
  <c r="EE309" i="3"/>
  <c r="ED309" i="3"/>
  <c r="EC309" i="3"/>
  <c r="EB309" i="3"/>
  <c r="DZ309" i="3"/>
  <c r="DY309" i="3"/>
  <c r="DX309" i="3"/>
  <c r="DW309" i="3"/>
  <c r="DU309" i="3"/>
  <c r="DT309" i="3"/>
  <c r="DS309" i="3"/>
  <c r="DR309" i="3"/>
  <c r="DP309" i="3"/>
  <c r="DO309" i="3"/>
  <c r="DN309" i="3"/>
  <c r="DM309" i="3"/>
  <c r="DK309" i="3"/>
  <c r="DJ309" i="3"/>
  <c r="DI309" i="3"/>
  <c r="DH309" i="3"/>
  <c r="DF309" i="3"/>
  <c r="DE309" i="3"/>
  <c r="DD309" i="3"/>
  <c r="DC309" i="3"/>
  <c r="DA309" i="3"/>
  <c r="CY309" i="3"/>
  <c r="CV309" i="3"/>
  <c r="CU309" i="3"/>
  <c r="CT309" i="3"/>
  <c r="CS309" i="3"/>
  <c r="CQ309" i="3"/>
  <c r="CP309" i="3"/>
  <c r="CO309" i="3"/>
  <c r="CN309" i="3"/>
  <c r="CL309" i="3"/>
  <c r="CK309" i="3"/>
  <c r="CJ309" i="3"/>
  <c r="CI309" i="3"/>
  <c r="CG309" i="3"/>
  <c r="CF309" i="3"/>
  <c r="CE309" i="3"/>
  <c r="CD309" i="3"/>
  <c r="CB309" i="3"/>
  <c r="CA309" i="3"/>
  <c r="BZ309" i="3"/>
  <c r="BY309" i="3"/>
  <c r="BW309" i="3"/>
  <c r="BV309" i="3"/>
  <c r="BU309" i="3"/>
  <c r="BT309" i="3"/>
  <c r="BR309" i="3"/>
  <c r="BQ309" i="3"/>
  <c r="BP309" i="3"/>
  <c r="BO309" i="3"/>
  <c r="BM309" i="3"/>
  <c r="BL309" i="3"/>
  <c r="BK309" i="3"/>
  <c r="BJ309" i="3"/>
  <c r="BH309" i="3"/>
  <c r="BG309" i="3"/>
  <c r="BF309" i="3"/>
  <c r="BE309" i="3"/>
  <c r="BC309" i="3"/>
  <c r="BB309" i="3"/>
  <c r="BA309" i="3"/>
  <c r="AZ309" i="3"/>
  <c r="AX309" i="3"/>
  <c r="AW309" i="3"/>
  <c r="CD306" i="3"/>
  <c r="CE306" i="3" s="1"/>
  <c r="CF306" i="3" s="1"/>
  <c r="CG306" i="3" s="1"/>
  <c r="CI306" i="3" s="1"/>
  <c r="CJ306" i="3" s="1"/>
  <c r="CK306" i="3" s="1"/>
  <c r="CL306" i="3" s="1"/>
  <c r="CN306" i="3" s="1"/>
  <c r="CO306" i="3" s="1"/>
  <c r="CP306" i="3" s="1"/>
  <c r="CQ306" i="3" s="1"/>
  <c r="CS306" i="3" s="1"/>
  <c r="CT306" i="3" s="1"/>
  <c r="CU306" i="3" s="1"/>
  <c r="CV306" i="3" s="1"/>
  <c r="CX306" i="3" s="1"/>
  <c r="CY306" i="3" s="1"/>
  <c r="CZ306" i="3" s="1"/>
  <c r="DA306" i="3" s="1"/>
  <c r="DC306" i="3" s="1"/>
  <c r="DD306" i="3" s="1"/>
  <c r="DE306" i="3" s="1"/>
  <c r="DF306" i="3" s="1"/>
  <c r="DH306" i="3" s="1"/>
  <c r="DI306" i="3" s="1"/>
  <c r="DJ306" i="3" s="1"/>
  <c r="DK306" i="3" s="1"/>
  <c r="DM306" i="3" s="1"/>
  <c r="DN306" i="3" s="1"/>
  <c r="DO306" i="3" s="1"/>
  <c r="DP306" i="3" s="1"/>
  <c r="DR306" i="3" s="1"/>
  <c r="DS306" i="3" s="1"/>
  <c r="DT306" i="3" s="1"/>
  <c r="DU306" i="3" s="1"/>
  <c r="DW306" i="3" s="1"/>
  <c r="DX306" i="3" s="1"/>
  <c r="DY306" i="3" s="1"/>
  <c r="DZ306" i="3" s="1"/>
  <c r="EB306" i="3" s="1"/>
  <c r="EC306" i="3" s="1"/>
  <c r="ED306" i="3" s="1"/>
  <c r="EE306" i="3" s="1"/>
  <c r="EG306" i="3" s="1"/>
  <c r="EH306" i="3" s="1"/>
  <c r="EI306" i="3" s="1"/>
  <c r="EJ306" i="3" s="1"/>
  <c r="EL306" i="3" s="1"/>
  <c r="EM306" i="3" s="1"/>
  <c r="EN306" i="3" s="1"/>
  <c r="EO306" i="3" s="1"/>
  <c r="EQ306" i="3" s="1"/>
  <c r="ER306" i="3" s="1"/>
  <c r="ES306" i="3" s="1"/>
  <c r="ET306" i="3" s="1"/>
  <c r="EV306" i="3" s="1"/>
  <c r="EW306" i="3" s="1"/>
  <c r="EX306" i="3" s="1"/>
  <c r="EY306" i="3" s="1"/>
  <c r="FA306" i="3" s="1"/>
  <c r="FB306" i="3" s="1"/>
  <c r="FC306" i="3" s="1"/>
  <c r="FD306" i="3" s="1"/>
  <c r="FF306" i="3" s="1"/>
  <c r="FG306" i="3" s="1"/>
  <c r="FH306" i="3" s="1"/>
  <c r="FI306" i="3" s="1"/>
  <c r="FK306" i="3" s="1"/>
  <c r="FL306" i="3" s="1"/>
  <c r="FM306" i="3" s="1"/>
  <c r="FN306" i="3" s="1"/>
  <c r="BO306" i="3"/>
  <c r="BP306" i="3" s="1"/>
  <c r="BH306" i="3"/>
  <c r="BC306" i="3"/>
  <c r="BE306" i="3" s="1"/>
  <c r="BF306" i="3" s="1"/>
  <c r="AX305" i="3"/>
  <c r="AZ305" i="3" s="1"/>
  <c r="BA305" i="3" s="1"/>
  <c r="BB305" i="3" s="1"/>
  <c r="BC305" i="3" s="1"/>
  <c r="BE305" i="3" s="1"/>
  <c r="BF305" i="3" s="1"/>
  <c r="BG305" i="3" s="1"/>
  <c r="BH305" i="3" s="1"/>
  <c r="BJ305" i="3" s="1"/>
  <c r="BK305" i="3" s="1"/>
  <c r="CB304" i="3"/>
  <c r="CD304" i="3" s="1"/>
  <c r="CE304" i="3" s="1"/>
  <c r="CF304" i="3" s="1"/>
  <c r="CG304" i="3" s="1"/>
  <c r="CI304" i="3" s="1"/>
  <c r="CJ304" i="3" s="1"/>
  <c r="CK304" i="3" s="1"/>
  <c r="CL304" i="3" s="1"/>
  <c r="CN304" i="3" s="1"/>
  <c r="CO304" i="3" s="1"/>
  <c r="CP304" i="3" s="1"/>
  <c r="CQ304" i="3" s="1"/>
  <c r="CS304" i="3" s="1"/>
  <c r="CT304" i="3" s="1"/>
  <c r="CU304" i="3" s="1"/>
  <c r="CV304" i="3" s="1"/>
  <c r="CX304" i="3" s="1"/>
  <c r="CY304" i="3" s="1"/>
  <c r="CZ304" i="3" s="1"/>
  <c r="DA304" i="3" s="1"/>
  <c r="DC304" i="3" s="1"/>
  <c r="DD304" i="3" s="1"/>
  <c r="DE304" i="3" s="1"/>
  <c r="DF304" i="3" s="1"/>
  <c r="DH304" i="3" s="1"/>
  <c r="DI304" i="3" s="1"/>
  <c r="DJ304" i="3" s="1"/>
  <c r="DK304" i="3" s="1"/>
  <c r="DM304" i="3" s="1"/>
  <c r="DN304" i="3" s="1"/>
  <c r="DO304" i="3" s="1"/>
  <c r="DP304" i="3" s="1"/>
  <c r="DR304" i="3" s="1"/>
  <c r="DS304" i="3" s="1"/>
  <c r="DT304" i="3" s="1"/>
  <c r="DU304" i="3" s="1"/>
  <c r="DW304" i="3" s="1"/>
  <c r="DX304" i="3" s="1"/>
  <c r="DY304" i="3" s="1"/>
  <c r="DZ304" i="3" s="1"/>
  <c r="EB304" i="3" s="1"/>
  <c r="EC304" i="3" s="1"/>
  <c r="ED304" i="3" s="1"/>
  <c r="EE304" i="3" s="1"/>
  <c r="EG304" i="3" s="1"/>
  <c r="EH304" i="3" s="1"/>
  <c r="EI304" i="3" s="1"/>
  <c r="EJ304" i="3" s="1"/>
  <c r="EL304" i="3" s="1"/>
  <c r="EM304" i="3" s="1"/>
  <c r="EN304" i="3" s="1"/>
  <c r="EO304" i="3" s="1"/>
  <c r="EQ304" i="3" s="1"/>
  <c r="ER304" i="3" s="1"/>
  <c r="ES304" i="3" s="1"/>
  <c r="ET304" i="3" s="1"/>
  <c r="EV304" i="3" s="1"/>
  <c r="EW304" i="3" s="1"/>
  <c r="EX304" i="3" s="1"/>
  <c r="EY304" i="3" s="1"/>
  <c r="FA304" i="3" s="1"/>
  <c r="FB304" i="3" s="1"/>
  <c r="FC304" i="3" s="1"/>
  <c r="FD304" i="3" s="1"/>
  <c r="FF304" i="3" s="1"/>
  <c r="FG304" i="3" s="1"/>
  <c r="FH304" i="3" s="1"/>
  <c r="FI304" i="3" s="1"/>
  <c r="FK304" i="3" s="1"/>
  <c r="FL304" i="3" s="1"/>
  <c r="FM304" i="3" s="1"/>
  <c r="FN304" i="3" s="1"/>
  <c r="BZ304" i="3"/>
  <c r="BY304" i="3"/>
  <c r="BW304" i="3"/>
  <c r="BV304" i="3"/>
  <c r="BU304" i="3"/>
  <c r="BT304" i="3"/>
  <c r="BR304" i="3"/>
  <c r="BQ304" i="3"/>
  <c r="BM304" i="3"/>
  <c r="BO304" i="3" s="1"/>
  <c r="BP304" i="3" s="1"/>
  <c r="BK304" i="3"/>
  <c r="BL304" i="3" s="1"/>
  <c r="BJ304" i="3"/>
  <c r="BH304" i="3"/>
  <c r="BG304" i="3"/>
  <c r="BB304" i="3"/>
  <c r="BC304" i="3" s="1"/>
  <c r="BE304" i="3" s="1"/>
  <c r="BF304" i="3" s="1"/>
  <c r="BA304" i="3"/>
  <c r="AZ304" i="3"/>
  <c r="AX304" i="3"/>
  <c r="AW304" i="3"/>
  <c r="AV304" i="3"/>
  <c r="AU304" i="3"/>
  <c r="AS304" i="3"/>
  <c r="AR304" i="3"/>
  <c r="AQ304" i="3"/>
  <c r="AP304" i="3"/>
  <c r="AN304" i="3"/>
  <c r="AM304" i="3"/>
  <c r="CD303" i="3"/>
  <c r="BO303" i="3"/>
  <c r="BL303" i="3"/>
  <c r="BC303" i="3"/>
  <c r="BE303" i="3" s="1"/>
  <c r="BF303" i="3" s="1"/>
  <c r="CB301" i="3"/>
  <c r="CD301" i="3" s="1"/>
  <c r="CE301" i="3" s="1"/>
  <c r="CF301" i="3" s="1"/>
  <c r="CG301" i="3" s="1"/>
  <c r="CI301" i="3" s="1"/>
  <c r="CJ301" i="3" s="1"/>
  <c r="CK301" i="3" s="1"/>
  <c r="CL301" i="3" s="1"/>
  <c r="CN301" i="3" s="1"/>
  <c r="CO301" i="3" s="1"/>
  <c r="CP301" i="3" s="1"/>
  <c r="CQ301" i="3" s="1"/>
  <c r="CS301" i="3" s="1"/>
  <c r="CT301" i="3" s="1"/>
  <c r="CU301" i="3" s="1"/>
  <c r="CV301" i="3" s="1"/>
  <c r="CX301" i="3" s="1"/>
  <c r="CY301" i="3" s="1"/>
  <c r="CZ301" i="3" s="1"/>
  <c r="DA301" i="3" s="1"/>
  <c r="DC301" i="3" s="1"/>
  <c r="DD301" i="3" s="1"/>
  <c r="DE301" i="3" s="1"/>
  <c r="DF301" i="3" s="1"/>
  <c r="DH301" i="3" s="1"/>
  <c r="DI301" i="3" s="1"/>
  <c r="DJ301" i="3" s="1"/>
  <c r="DK301" i="3" s="1"/>
  <c r="DM301" i="3" s="1"/>
  <c r="DN301" i="3" s="1"/>
  <c r="DO301" i="3" s="1"/>
  <c r="DP301" i="3" s="1"/>
  <c r="DR301" i="3" s="1"/>
  <c r="DS301" i="3" s="1"/>
  <c r="DT301" i="3" s="1"/>
  <c r="DU301" i="3" s="1"/>
  <c r="DW301" i="3" s="1"/>
  <c r="DX301" i="3" s="1"/>
  <c r="DY301" i="3" s="1"/>
  <c r="DZ301" i="3" s="1"/>
  <c r="EB301" i="3" s="1"/>
  <c r="EC301" i="3" s="1"/>
  <c r="ED301" i="3" s="1"/>
  <c r="EE301" i="3" s="1"/>
  <c r="EG301" i="3" s="1"/>
  <c r="EH301" i="3" s="1"/>
  <c r="EI301" i="3" s="1"/>
  <c r="EJ301" i="3" s="1"/>
  <c r="EL301" i="3" s="1"/>
  <c r="EM301" i="3" s="1"/>
  <c r="EN301" i="3" s="1"/>
  <c r="EO301" i="3" s="1"/>
  <c r="EQ301" i="3" s="1"/>
  <c r="ER301" i="3" s="1"/>
  <c r="ES301" i="3" s="1"/>
  <c r="ET301" i="3" s="1"/>
  <c r="EV301" i="3" s="1"/>
  <c r="EW301" i="3" s="1"/>
  <c r="EX301" i="3" s="1"/>
  <c r="EY301" i="3" s="1"/>
  <c r="FA301" i="3" s="1"/>
  <c r="FB301" i="3" s="1"/>
  <c r="FC301" i="3" s="1"/>
  <c r="FD301" i="3" s="1"/>
  <c r="FF301" i="3" s="1"/>
  <c r="FG301" i="3" s="1"/>
  <c r="FH301" i="3" s="1"/>
  <c r="FI301" i="3" s="1"/>
  <c r="FK301" i="3" s="1"/>
  <c r="FL301" i="3" s="1"/>
  <c r="FM301" i="3" s="1"/>
  <c r="FN301" i="3" s="1"/>
  <c r="BO301" i="3"/>
  <c r="BP301" i="3" s="1"/>
  <c r="BL301" i="3"/>
  <c r="BC301" i="3"/>
  <c r="BE301" i="3" s="1"/>
  <c r="BF301" i="3" s="1"/>
  <c r="BG301" i="3" s="1"/>
  <c r="AU301" i="3"/>
  <c r="CB300" i="3"/>
  <c r="CD300" i="3" s="1"/>
  <c r="CE300" i="3" s="1"/>
  <c r="CF300" i="3" s="1"/>
  <c r="CG300" i="3" s="1"/>
  <c r="CI300" i="3" s="1"/>
  <c r="CJ300" i="3" s="1"/>
  <c r="CK300" i="3" s="1"/>
  <c r="CL300" i="3" s="1"/>
  <c r="CN300" i="3" s="1"/>
  <c r="CO300" i="3" s="1"/>
  <c r="CP300" i="3" s="1"/>
  <c r="CQ300" i="3" s="1"/>
  <c r="CS300" i="3" s="1"/>
  <c r="CT300" i="3" s="1"/>
  <c r="CU300" i="3" s="1"/>
  <c r="CV300" i="3" s="1"/>
  <c r="CX300" i="3" s="1"/>
  <c r="CY300" i="3" s="1"/>
  <c r="CZ300" i="3" s="1"/>
  <c r="DA300" i="3" s="1"/>
  <c r="DC300" i="3" s="1"/>
  <c r="DD300" i="3" s="1"/>
  <c r="DE300" i="3" s="1"/>
  <c r="DF300" i="3" s="1"/>
  <c r="DH300" i="3" s="1"/>
  <c r="DI300" i="3" s="1"/>
  <c r="DJ300" i="3" s="1"/>
  <c r="DK300" i="3" s="1"/>
  <c r="DM300" i="3" s="1"/>
  <c r="DN300" i="3" s="1"/>
  <c r="DO300" i="3" s="1"/>
  <c r="DP300" i="3" s="1"/>
  <c r="DR300" i="3" s="1"/>
  <c r="DS300" i="3" s="1"/>
  <c r="DT300" i="3" s="1"/>
  <c r="DU300" i="3" s="1"/>
  <c r="DW300" i="3" s="1"/>
  <c r="DX300" i="3" s="1"/>
  <c r="DY300" i="3" s="1"/>
  <c r="DZ300" i="3" s="1"/>
  <c r="EB300" i="3" s="1"/>
  <c r="EC300" i="3" s="1"/>
  <c r="ED300" i="3" s="1"/>
  <c r="EE300" i="3" s="1"/>
  <c r="EG300" i="3" s="1"/>
  <c r="EH300" i="3" s="1"/>
  <c r="EI300" i="3" s="1"/>
  <c r="EJ300" i="3" s="1"/>
  <c r="EL300" i="3" s="1"/>
  <c r="EM300" i="3" s="1"/>
  <c r="EN300" i="3" s="1"/>
  <c r="EO300" i="3" s="1"/>
  <c r="EQ300" i="3" s="1"/>
  <c r="ER300" i="3" s="1"/>
  <c r="ES300" i="3" s="1"/>
  <c r="ET300" i="3" s="1"/>
  <c r="EV300" i="3" s="1"/>
  <c r="EW300" i="3" s="1"/>
  <c r="EX300" i="3" s="1"/>
  <c r="EY300" i="3" s="1"/>
  <c r="FA300" i="3" s="1"/>
  <c r="FB300" i="3" s="1"/>
  <c r="FC300" i="3" s="1"/>
  <c r="FD300" i="3" s="1"/>
  <c r="FF300" i="3" s="1"/>
  <c r="FG300" i="3" s="1"/>
  <c r="FH300" i="3" s="1"/>
  <c r="FI300" i="3" s="1"/>
  <c r="FK300" i="3" s="1"/>
  <c r="FL300" i="3" s="1"/>
  <c r="FM300" i="3" s="1"/>
  <c r="FN300" i="3" s="1"/>
  <c r="BO300" i="3"/>
  <c r="BP300" i="3" s="1"/>
  <c r="BL300" i="3"/>
  <c r="BC300" i="3"/>
  <c r="BE300" i="3" s="1"/>
  <c r="BF300" i="3" s="1"/>
  <c r="BG300" i="3" s="1"/>
  <c r="AU300" i="3"/>
  <c r="AQ300" i="3"/>
  <c r="AM300" i="3"/>
  <c r="AL300" i="3"/>
  <c r="AK300" i="3"/>
  <c r="AI300" i="3"/>
  <c r="CD299" i="3"/>
  <c r="CE299" i="3" s="1"/>
  <c r="CF299" i="3" s="1"/>
  <c r="CG299" i="3" s="1"/>
  <c r="CI299" i="3" s="1"/>
  <c r="CJ299" i="3" s="1"/>
  <c r="CK299" i="3" s="1"/>
  <c r="CL299" i="3" s="1"/>
  <c r="CN299" i="3" s="1"/>
  <c r="CO299" i="3" s="1"/>
  <c r="CP299" i="3" s="1"/>
  <c r="CQ299" i="3" s="1"/>
  <c r="CS299" i="3" s="1"/>
  <c r="CT299" i="3" s="1"/>
  <c r="CU299" i="3" s="1"/>
  <c r="CV299" i="3" s="1"/>
  <c r="CX299" i="3" s="1"/>
  <c r="CY299" i="3" s="1"/>
  <c r="CZ299" i="3" s="1"/>
  <c r="DA299" i="3" s="1"/>
  <c r="DC299" i="3" s="1"/>
  <c r="DD299" i="3" s="1"/>
  <c r="DE299" i="3" s="1"/>
  <c r="DF299" i="3" s="1"/>
  <c r="DH299" i="3" s="1"/>
  <c r="DI299" i="3" s="1"/>
  <c r="DJ299" i="3" s="1"/>
  <c r="DK299" i="3" s="1"/>
  <c r="DM299" i="3" s="1"/>
  <c r="DN299" i="3" s="1"/>
  <c r="DO299" i="3" s="1"/>
  <c r="DP299" i="3" s="1"/>
  <c r="DR299" i="3" s="1"/>
  <c r="DS299" i="3" s="1"/>
  <c r="DT299" i="3" s="1"/>
  <c r="DU299" i="3" s="1"/>
  <c r="DW299" i="3" s="1"/>
  <c r="DX299" i="3" s="1"/>
  <c r="DY299" i="3" s="1"/>
  <c r="DZ299" i="3" s="1"/>
  <c r="EB299" i="3" s="1"/>
  <c r="EC299" i="3" s="1"/>
  <c r="ED299" i="3" s="1"/>
  <c r="EE299" i="3" s="1"/>
  <c r="EG299" i="3" s="1"/>
  <c r="EH299" i="3" s="1"/>
  <c r="EI299" i="3" s="1"/>
  <c r="EJ299" i="3" s="1"/>
  <c r="EL299" i="3" s="1"/>
  <c r="EM299" i="3" s="1"/>
  <c r="EN299" i="3" s="1"/>
  <c r="EO299" i="3" s="1"/>
  <c r="EQ299" i="3" s="1"/>
  <c r="ER299" i="3" s="1"/>
  <c r="ES299" i="3" s="1"/>
  <c r="ET299" i="3" s="1"/>
  <c r="EV299" i="3" s="1"/>
  <c r="EW299" i="3" s="1"/>
  <c r="EX299" i="3" s="1"/>
  <c r="EY299" i="3" s="1"/>
  <c r="FA299" i="3" s="1"/>
  <c r="FB299" i="3" s="1"/>
  <c r="FC299" i="3" s="1"/>
  <c r="FD299" i="3" s="1"/>
  <c r="FF299" i="3" s="1"/>
  <c r="FG299" i="3" s="1"/>
  <c r="FH299" i="3" s="1"/>
  <c r="FI299" i="3" s="1"/>
  <c r="FK299" i="3" s="1"/>
  <c r="FL299" i="3" s="1"/>
  <c r="FM299" i="3" s="1"/>
  <c r="FN299" i="3" s="1"/>
  <c r="BO299" i="3"/>
  <c r="BP299" i="3" s="1"/>
  <c r="BL299" i="3"/>
  <c r="BC299" i="3"/>
  <c r="BE299" i="3" s="1"/>
  <c r="BF299" i="3" s="1"/>
  <c r="BG299" i="3" s="1"/>
  <c r="CD298" i="3"/>
  <c r="CE298" i="3" s="1"/>
  <c r="CF298" i="3" s="1"/>
  <c r="CG298" i="3" s="1"/>
  <c r="CI298" i="3" s="1"/>
  <c r="CJ298" i="3" s="1"/>
  <c r="CK298" i="3" s="1"/>
  <c r="CL298" i="3" s="1"/>
  <c r="CN298" i="3" s="1"/>
  <c r="CO298" i="3" s="1"/>
  <c r="CP298" i="3" s="1"/>
  <c r="CQ298" i="3" s="1"/>
  <c r="CS298" i="3" s="1"/>
  <c r="CT298" i="3" s="1"/>
  <c r="CU298" i="3" s="1"/>
  <c r="CV298" i="3" s="1"/>
  <c r="CX298" i="3" s="1"/>
  <c r="CY298" i="3" s="1"/>
  <c r="CZ298" i="3" s="1"/>
  <c r="DA298" i="3" s="1"/>
  <c r="DC298" i="3" s="1"/>
  <c r="DD298" i="3" s="1"/>
  <c r="DE298" i="3" s="1"/>
  <c r="DF298" i="3" s="1"/>
  <c r="DH298" i="3" s="1"/>
  <c r="DI298" i="3" s="1"/>
  <c r="DJ298" i="3" s="1"/>
  <c r="DK298" i="3" s="1"/>
  <c r="DM298" i="3" s="1"/>
  <c r="DN298" i="3" s="1"/>
  <c r="DO298" i="3" s="1"/>
  <c r="DP298" i="3" s="1"/>
  <c r="DR298" i="3" s="1"/>
  <c r="DS298" i="3" s="1"/>
  <c r="DT298" i="3" s="1"/>
  <c r="DU298" i="3" s="1"/>
  <c r="DW298" i="3" s="1"/>
  <c r="DX298" i="3" s="1"/>
  <c r="DY298" i="3" s="1"/>
  <c r="DZ298" i="3" s="1"/>
  <c r="EB298" i="3" s="1"/>
  <c r="EC298" i="3" s="1"/>
  <c r="ED298" i="3" s="1"/>
  <c r="EE298" i="3" s="1"/>
  <c r="EG298" i="3" s="1"/>
  <c r="EH298" i="3" s="1"/>
  <c r="EI298" i="3" s="1"/>
  <c r="EJ298" i="3" s="1"/>
  <c r="EL298" i="3" s="1"/>
  <c r="EM298" i="3" s="1"/>
  <c r="EN298" i="3" s="1"/>
  <c r="EO298" i="3" s="1"/>
  <c r="EQ298" i="3" s="1"/>
  <c r="ER298" i="3" s="1"/>
  <c r="ES298" i="3" s="1"/>
  <c r="ET298" i="3" s="1"/>
  <c r="EV298" i="3" s="1"/>
  <c r="EW298" i="3" s="1"/>
  <c r="EX298" i="3" s="1"/>
  <c r="EY298" i="3" s="1"/>
  <c r="FA298" i="3" s="1"/>
  <c r="FB298" i="3" s="1"/>
  <c r="FC298" i="3" s="1"/>
  <c r="FD298" i="3" s="1"/>
  <c r="FF298" i="3" s="1"/>
  <c r="FG298" i="3" s="1"/>
  <c r="FH298" i="3" s="1"/>
  <c r="FI298" i="3" s="1"/>
  <c r="FK298" i="3" s="1"/>
  <c r="FL298" i="3" s="1"/>
  <c r="FM298" i="3" s="1"/>
  <c r="FN298" i="3" s="1"/>
  <c r="BO298" i="3"/>
  <c r="BP298" i="3" s="1"/>
  <c r="BQ298" i="3" s="1"/>
  <c r="BL298" i="3"/>
  <c r="BC298" i="3"/>
  <c r="BE298" i="3" s="1"/>
  <c r="BF298" i="3" s="1"/>
  <c r="BG298" i="3" s="1"/>
  <c r="AR297" i="3"/>
  <c r="AS297" i="3" s="1"/>
  <c r="AU297" i="3" s="1"/>
  <c r="AV297" i="3" s="1"/>
  <c r="AW297" i="3" s="1"/>
  <c r="AX297" i="3" s="1"/>
  <c r="AZ297" i="3" s="1"/>
  <c r="BA297" i="3" s="1"/>
  <c r="BB297" i="3" s="1"/>
  <c r="BC297" i="3" s="1"/>
  <c r="BE297" i="3" s="1"/>
  <c r="BF297" i="3" s="1"/>
  <c r="BG297" i="3" s="1"/>
  <c r="BH297" i="3" s="1"/>
  <c r="BJ297" i="3" s="1"/>
  <c r="BK297" i="3" s="1"/>
  <c r="BL297" i="3" s="1"/>
  <c r="BM297" i="3" s="1"/>
  <c r="BO297" i="3" s="1"/>
  <c r="BP297" i="3" s="1"/>
  <c r="BQ297" i="3" s="1"/>
  <c r="BR297" i="3" s="1"/>
  <c r="BT297" i="3" s="1"/>
  <c r="BU297" i="3" s="1"/>
  <c r="BV297" i="3" s="1"/>
  <c r="BW297" i="3" s="1"/>
  <c r="BY297" i="3" s="1"/>
  <c r="BZ297" i="3" s="1"/>
  <c r="CA297" i="3" s="1"/>
  <c r="CB297" i="3" s="1"/>
  <c r="CD297" i="3" s="1"/>
  <c r="CE297" i="3" s="1"/>
  <c r="CF297" i="3" s="1"/>
  <c r="CG297" i="3" s="1"/>
  <c r="CI297" i="3" s="1"/>
  <c r="CJ297" i="3" s="1"/>
  <c r="CK297" i="3" s="1"/>
  <c r="CL297" i="3" s="1"/>
  <c r="CN297" i="3" s="1"/>
  <c r="CO297" i="3" s="1"/>
  <c r="CP297" i="3" s="1"/>
  <c r="CQ297" i="3" s="1"/>
  <c r="CS297" i="3" s="1"/>
  <c r="CT297" i="3" s="1"/>
  <c r="CU297" i="3" s="1"/>
  <c r="CV297" i="3" s="1"/>
  <c r="CX297" i="3" s="1"/>
  <c r="CY297" i="3" s="1"/>
  <c r="CZ297" i="3" s="1"/>
  <c r="DA297" i="3" s="1"/>
  <c r="DC297" i="3" s="1"/>
  <c r="DD297" i="3" s="1"/>
  <c r="DE297" i="3" s="1"/>
  <c r="DF297" i="3" s="1"/>
  <c r="DH297" i="3" s="1"/>
  <c r="DI297" i="3" s="1"/>
  <c r="DJ297" i="3" s="1"/>
  <c r="DK297" i="3" s="1"/>
  <c r="DM297" i="3" s="1"/>
  <c r="DN297" i="3" s="1"/>
  <c r="DO297" i="3" s="1"/>
  <c r="DP297" i="3" s="1"/>
  <c r="DR297" i="3" s="1"/>
  <c r="DS297" i="3" s="1"/>
  <c r="DT297" i="3" s="1"/>
  <c r="DU297" i="3" s="1"/>
  <c r="DW297" i="3" s="1"/>
  <c r="DX297" i="3" s="1"/>
  <c r="DY297" i="3" s="1"/>
  <c r="DZ297" i="3" s="1"/>
  <c r="EB297" i="3" s="1"/>
  <c r="EC297" i="3" s="1"/>
  <c r="ED297" i="3" s="1"/>
  <c r="EE297" i="3" s="1"/>
  <c r="EG297" i="3" s="1"/>
  <c r="EH297" i="3" s="1"/>
  <c r="EI297" i="3" s="1"/>
  <c r="EJ297" i="3" s="1"/>
  <c r="EL297" i="3" s="1"/>
  <c r="EM297" i="3" s="1"/>
  <c r="EN297" i="3" s="1"/>
  <c r="EO297" i="3" s="1"/>
  <c r="EQ297" i="3" s="1"/>
  <c r="ER297" i="3" s="1"/>
  <c r="ES297" i="3" s="1"/>
  <c r="ET297" i="3" s="1"/>
  <c r="EV297" i="3" s="1"/>
  <c r="EW297" i="3" s="1"/>
  <c r="EX297" i="3" s="1"/>
  <c r="EY297" i="3" s="1"/>
  <c r="FA297" i="3" s="1"/>
  <c r="FB297" i="3" s="1"/>
  <c r="FC297" i="3" s="1"/>
  <c r="FD297" i="3" s="1"/>
  <c r="FF297" i="3" s="1"/>
  <c r="FG297" i="3" s="1"/>
  <c r="FH297" i="3" s="1"/>
  <c r="FI297" i="3" s="1"/>
  <c r="FK297" i="3" s="1"/>
  <c r="FL297" i="3" s="1"/>
  <c r="FM297" i="3" s="1"/>
  <c r="FN297" i="3" s="1"/>
  <c r="BL296" i="3"/>
  <c r="BM296" i="3" s="1"/>
  <c r="BO296" i="3" s="1"/>
  <c r="BP296" i="3" s="1"/>
  <c r="BQ296" i="3" s="1"/>
  <c r="BR296" i="3" s="1"/>
  <c r="BT296" i="3" s="1"/>
  <c r="BU296" i="3" s="1"/>
  <c r="BV296" i="3" s="1"/>
  <c r="BW296" i="3" s="1"/>
  <c r="BY296" i="3" s="1"/>
  <c r="BZ296" i="3" s="1"/>
  <c r="CA296" i="3" s="1"/>
  <c r="CB296" i="3" s="1"/>
  <c r="CD296" i="3" s="1"/>
  <c r="CE296" i="3" s="1"/>
  <c r="CF296" i="3" s="1"/>
  <c r="CG296" i="3" s="1"/>
  <c r="CI296" i="3" s="1"/>
  <c r="CJ296" i="3" s="1"/>
  <c r="CK296" i="3" s="1"/>
  <c r="CL296" i="3" s="1"/>
  <c r="CN296" i="3" s="1"/>
  <c r="CO296" i="3" s="1"/>
  <c r="CP296" i="3" s="1"/>
  <c r="CQ296" i="3" s="1"/>
  <c r="CS296" i="3" s="1"/>
  <c r="CT296" i="3" s="1"/>
  <c r="CU296" i="3" s="1"/>
  <c r="CV296" i="3" s="1"/>
  <c r="CX296" i="3" s="1"/>
  <c r="CY296" i="3" s="1"/>
  <c r="CZ296" i="3" s="1"/>
  <c r="DA296" i="3" s="1"/>
  <c r="DC296" i="3" s="1"/>
  <c r="DD296" i="3" s="1"/>
  <c r="DE296" i="3" s="1"/>
  <c r="DF296" i="3" s="1"/>
  <c r="DH296" i="3" s="1"/>
  <c r="DI296" i="3" s="1"/>
  <c r="DJ296" i="3" s="1"/>
  <c r="DK296" i="3" s="1"/>
  <c r="DM296" i="3" s="1"/>
  <c r="DN296" i="3" s="1"/>
  <c r="DO296" i="3" s="1"/>
  <c r="DP296" i="3" s="1"/>
  <c r="DR296" i="3" s="1"/>
  <c r="DS296" i="3" s="1"/>
  <c r="DT296" i="3" s="1"/>
  <c r="DU296" i="3" s="1"/>
  <c r="DW296" i="3" s="1"/>
  <c r="DX296" i="3" s="1"/>
  <c r="DY296" i="3" s="1"/>
  <c r="DZ296" i="3" s="1"/>
  <c r="EB296" i="3" s="1"/>
  <c r="EC296" i="3" s="1"/>
  <c r="ED296" i="3" s="1"/>
  <c r="EE296" i="3" s="1"/>
  <c r="EG296" i="3" s="1"/>
  <c r="EH296" i="3" s="1"/>
  <c r="EI296" i="3" s="1"/>
  <c r="EJ296" i="3" s="1"/>
  <c r="EL296" i="3" s="1"/>
  <c r="EM296" i="3" s="1"/>
  <c r="EN296" i="3" s="1"/>
  <c r="EO296" i="3" s="1"/>
  <c r="EQ296" i="3" s="1"/>
  <c r="ER296" i="3" s="1"/>
  <c r="ES296" i="3" s="1"/>
  <c r="ET296" i="3" s="1"/>
  <c r="EV296" i="3" s="1"/>
  <c r="EW296" i="3" s="1"/>
  <c r="EX296" i="3" s="1"/>
  <c r="EY296" i="3" s="1"/>
  <c r="FA296" i="3" s="1"/>
  <c r="FB296" i="3" s="1"/>
  <c r="FC296" i="3" s="1"/>
  <c r="FD296" i="3" s="1"/>
  <c r="FF296" i="3" s="1"/>
  <c r="FG296" i="3" s="1"/>
  <c r="FH296" i="3" s="1"/>
  <c r="FI296" i="3" s="1"/>
  <c r="FK296" i="3" s="1"/>
  <c r="FL296" i="3" s="1"/>
  <c r="FM296" i="3" s="1"/>
  <c r="FN296" i="3" s="1"/>
  <c r="AZ296" i="3"/>
  <c r="BA296" i="3" s="1"/>
  <c r="BB296" i="3" s="1"/>
  <c r="BC296" i="3" s="1"/>
  <c r="BE296" i="3" s="1"/>
  <c r="BF296" i="3" s="1"/>
  <c r="BG296" i="3" s="1"/>
  <c r="AR296" i="3"/>
  <c r="A255" i="3"/>
  <c r="A254" i="3"/>
  <c r="A253" i="3"/>
  <c r="A252" i="3"/>
  <c r="A251" i="3"/>
  <c r="AI241" i="3"/>
  <c r="AH241" i="3"/>
  <c r="AH255" i="3" s="1"/>
  <c r="AG241" i="3"/>
  <c r="AG255" i="3" s="1"/>
  <c r="AF241" i="3"/>
  <c r="AF253" i="3" s="1"/>
  <c r="AC241" i="3"/>
  <c r="AC253" i="3" s="1"/>
  <c r="AB241" i="3"/>
  <c r="AA241" i="3"/>
  <c r="AA255" i="3" s="1"/>
  <c r="Y241" i="3"/>
  <c r="Y181" i="3" s="1"/>
  <c r="X241" i="3"/>
  <c r="X253" i="3" s="1"/>
  <c r="W241" i="3"/>
  <c r="W255" i="3" s="1"/>
  <c r="V241" i="3"/>
  <c r="BC236" i="3"/>
  <c r="AX236" i="3"/>
  <c r="AS236" i="3"/>
  <c r="AK236" i="3"/>
  <c r="BB235" i="3"/>
  <c r="BA235" i="3"/>
  <c r="AZ235" i="3"/>
  <c r="AW235" i="3"/>
  <c r="AV235" i="3"/>
  <c r="AU235" i="3"/>
  <c r="AR235" i="3"/>
  <c r="AQ235" i="3"/>
  <c r="AP235" i="3"/>
  <c r="AM235" i="3"/>
  <c r="AL235" i="3"/>
  <c r="BB234" i="3"/>
  <c r="BA234" i="3"/>
  <c r="AZ234" i="3"/>
  <c r="AW234" i="3"/>
  <c r="AV234" i="3"/>
  <c r="AU234" i="3"/>
  <c r="AR234" i="3"/>
  <c r="AQ234" i="3"/>
  <c r="AP234" i="3"/>
  <c r="AM234" i="3"/>
  <c r="AL234" i="3"/>
  <c r="BC232" i="3"/>
  <c r="AX232" i="3"/>
  <c r="AX234" i="3" s="1"/>
  <c r="AS232" i="3"/>
  <c r="AS234" i="3" s="1"/>
  <c r="AK232" i="3"/>
  <c r="AN232" i="3" s="1"/>
  <c r="AX229" i="3"/>
  <c r="AS229" i="3"/>
  <c r="AK229" i="3"/>
  <c r="AN229" i="3" s="1"/>
  <c r="AW228" i="3"/>
  <c r="AV228" i="3"/>
  <c r="AU228" i="3"/>
  <c r="AR228" i="3"/>
  <c r="AQ228" i="3"/>
  <c r="AP228" i="3"/>
  <c r="AM228" i="3"/>
  <c r="AL228" i="3"/>
  <c r="BC227" i="3"/>
  <c r="BB227" i="3"/>
  <c r="AW227" i="3"/>
  <c r="AV227" i="3"/>
  <c r="AU227" i="3"/>
  <c r="AR227" i="3"/>
  <c r="AQ227" i="3"/>
  <c r="AP227" i="3"/>
  <c r="AK226" i="3"/>
  <c r="AL226" i="3" s="1"/>
  <c r="BA225" i="3"/>
  <c r="AZ225" i="3"/>
  <c r="AX225" i="3"/>
  <c r="AS225" i="3"/>
  <c r="AS227" i="3" s="1"/>
  <c r="AK225" i="3"/>
  <c r="AN225" i="3" s="1"/>
  <c r="AI225" i="3"/>
  <c r="AI227" i="3" s="1"/>
  <c r="AH225" i="3"/>
  <c r="AW224" i="3"/>
  <c r="AW223" i="3" s="1"/>
  <c r="BC223" i="3"/>
  <c r="BB223" i="3"/>
  <c r="AV223" i="3"/>
  <c r="AU223" i="3"/>
  <c r="AR223" i="3"/>
  <c r="AQ223" i="3"/>
  <c r="AP223" i="3"/>
  <c r="AM223" i="3"/>
  <c r="AL223" i="3"/>
  <c r="AX220" i="3"/>
  <c r="AS220" i="3"/>
  <c r="AM220" i="3"/>
  <c r="AW219" i="3"/>
  <c r="AV219" i="3"/>
  <c r="AU219" i="3"/>
  <c r="AR219" i="3"/>
  <c r="AQ219" i="3"/>
  <c r="AP219" i="3"/>
  <c r="AL219" i="3"/>
  <c r="AK219" i="3"/>
  <c r="AW218" i="3"/>
  <c r="AV218" i="3"/>
  <c r="AU218" i="3"/>
  <c r="AR218" i="3"/>
  <c r="AQ218" i="3"/>
  <c r="AQ217" i="3" s="1"/>
  <c r="AM218" i="3"/>
  <c r="AL218" i="3"/>
  <c r="AK218" i="3"/>
  <c r="BA217" i="3"/>
  <c r="BB216" i="3"/>
  <c r="BB340" i="3" s="1"/>
  <c r="AX216" i="3"/>
  <c r="AX213" i="3" s="1"/>
  <c r="AS216" i="3"/>
  <c r="AN216" i="3"/>
  <c r="AN218" i="3" s="1"/>
  <c r="AH216" i="3"/>
  <c r="AH218" i="3" s="1"/>
  <c r="AG216" i="3"/>
  <c r="AG218" i="3" s="1"/>
  <c r="AF216" i="3"/>
  <c r="AF218" i="3" s="1"/>
  <c r="AD216" i="3"/>
  <c r="AD218" i="3" s="1"/>
  <c r="AC216" i="3"/>
  <c r="AC218" i="3" s="1"/>
  <c r="AB216" i="3"/>
  <c r="AB218" i="3" s="1"/>
  <c r="AA216" i="3"/>
  <c r="AA254" i="3" s="1"/>
  <c r="AW215" i="3"/>
  <c r="AW213" i="3" s="1"/>
  <c r="AV215" i="3"/>
  <c r="AU215" i="3"/>
  <c r="AR215" i="3"/>
  <c r="AP213" i="3"/>
  <c r="AP218" i="3" s="1"/>
  <c r="AP217" i="3" s="1"/>
  <c r="AM213" i="3"/>
  <c r="AL213" i="3"/>
  <c r="AK213" i="3"/>
  <c r="BC210" i="3"/>
  <c r="AX210" i="3"/>
  <c r="AS210" i="3"/>
  <c r="AL210" i="3"/>
  <c r="BB209" i="3"/>
  <c r="BA209" i="3"/>
  <c r="AZ209" i="3"/>
  <c r="AW209" i="3"/>
  <c r="AV209" i="3"/>
  <c r="AU209" i="3"/>
  <c r="AR209" i="3"/>
  <c r="AQ209" i="3"/>
  <c r="AP209" i="3"/>
  <c r="BB208" i="3"/>
  <c r="BA208" i="3"/>
  <c r="AZ208" i="3"/>
  <c r="AW208" i="3"/>
  <c r="AV208" i="3"/>
  <c r="AU208" i="3"/>
  <c r="AR208" i="3"/>
  <c r="AQ208" i="3"/>
  <c r="AP208" i="3"/>
  <c r="BC206" i="3"/>
  <c r="AX206" i="3"/>
  <c r="AX208" i="3" s="1"/>
  <c r="AS206" i="3"/>
  <c r="AS208" i="3" s="1"/>
  <c r="AM206" i="3"/>
  <c r="AL206" i="3"/>
  <c r="AL208" i="3" s="1"/>
  <c r="AI206" i="3"/>
  <c r="AI208" i="3" s="1"/>
  <c r="AG206" i="3"/>
  <c r="AG208" i="3" s="1"/>
  <c r="AC206" i="3"/>
  <c r="AB206" i="3"/>
  <c r="AB208" i="3" s="1"/>
  <c r="AA206" i="3"/>
  <c r="AA208" i="3" s="1"/>
  <c r="Y206" i="3"/>
  <c r="Y208" i="3" s="1"/>
  <c r="X206" i="3"/>
  <c r="X208" i="3" s="1"/>
  <c r="W206" i="3"/>
  <c r="W208" i="3" s="1"/>
  <c r="V206" i="3"/>
  <c r="V208" i="3" s="1"/>
  <c r="BA205" i="3"/>
  <c r="AZ205" i="3"/>
  <c r="AV205" i="3"/>
  <c r="AU205" i="3"/>
  <c r="AR205" i="3"/>
  <c r="AQ205" i="3"/>
  <c r="AP205" i="3"/>
  <c r="BB204" i="3"/>
  <c r="BB205" i="3" s="1"/>
  <c r="AL204" i="3"/>
  <c r="AL203" i="3" s="1"/>
  <c r="AK204" i="3"/>
  <c r="AK203" i="3" s="1"/>
  <c r="BC203" i="3"/>
  <c r="BA203" i="3"/>
  <c r="AZ203" i="3"/>
  <c r="AX203" i="3"/>
  <c r="AW203" i="3"/>
  <c r="AV203" i="3"/>
  <c r="AU203" i="3"/>
  <c r="AS203" i="3"/>
  <c r="AR203" i="3"/>
  <c r="AQ203" i="3"/>
  <c r="AP203" i="3"/>
  <c r="AN203" i="3"/>
  <c r="AM203" i="3"/>
  <c r="BC199" i="3"/>
  <c r="BB198" i="3"/>
  <c r="BA198" i="3"/>
  <c r="AZ198" i="3"/>
  <c r="BB197" i="3"/>
  <c r="BA197" i="3"/>
  <c r="AZ197" i="3"/>
  <c r="BC192" i="3"/>
  <c r="BC339" i="3" s="1"/>
  <c r="BA191" i="3"/>
  <c r="AZ190" i="3"/>
  <c r="AZ165" i="3" s="1"/>
  <c r="AW187" i="3"/>
  <c r="AW174" i="3" s="1"/>
  <c r="AW248" i="3" s="1"/>
  <c r="AW185" i="3"/>
  <c r="AV181" i="3"/>
  <c r="AU181" i="3" s="1"/>
  <c r="AU187" i="3" s="1"/>
  <c r="AU174" i="3" s="1"/>
  <c r="AR181" i="3"/>
  <c r="AR187" i="3" s="1"/>
  <c r="AR174" i="3" s="1"/>
  <c r="AQ181" i="3"/>
  <c r="AP181" i="3"/>
  <c r="AP187" i="3" s="1"/>
  <c r="AP174" i="3" s="1"/>
  <c r="AP248" i="3" s="1"/>
  <c r="AN181" i="3"/>
  <c r="AM181" i="3"/>
  <c r="AL181" i="3"/>
  <c r="AK181" i="3"/>
  <c r="AI181" i="3"/>
  <c r="AI185" i="3" s="1"/>
  <c r="AG181" i="3"/>
  <c r="AF181" i="3"/>
  <c r="AD181" i="3"/>
  <c r="AC181" i="3"/>
  <c r="AC185" i="3" s="1"/>
  <c r="AB181" i="3"/>
  <c r="AB185" i="3" s="1"/>
  <c r="AA181" i="3"/>
  <c r="AW180" i="3"/>
  <c r="AS180" i="3"/>
  <c r="AS181" i="3" s="1"/>
  <c r="AS187" i="3" s="1"/>
  <c r="BB179" i="3"/>
  <c r="BC178" i="3"/>
  <c r="BA178" i="3"/>
  <c r="AZ178" i="3"/>
  <c r="AX178" i="3"/>
  <c r="AW178" i="3"/>
  <c r="AV178" i="3"/>
  <c r="AU178" i="3"/>
  <c r="AS178" i="3"/>
  <c r="AR178" i="3"/>
  <c r="AQ178" i="3"/>
  <c r="AP178" i="3"/>
  <c r="AN178" i="3"/>
  <c r="AM178" i="3"/>
  <c r="AL178" i="3"/>
  <c r="AK178" i="3"/>
  <c r="AI178" i="3"/>
  <c r="AH178" i="3"/>
  <c r="AG178" i="3"/>
  <c r="AF178" i="3"/>
  <c r="AD178" i="3"/>
  <c r="AC178" i="3"/>
  <c r="AB178" i="3"/>
  <c r="AA178" i="3"/>
  <c r="Y178" i="3"/>
  <c r="X178" i="3"/>
  <c r="W178" i="3"/>
  <c r="V178" i="3"/>
  <c r="AW168" i="3"/>
  <c r="AX165" i="3"/>
  <c r="AW165" i="3"/>
  <c r="AV165" i="3"/>
  <c r="AU165" i="3"/>
  <c r="AS165" i="3"/>
  <c r="AR165" i="3"/>
  <c r="AQ165" i="3"/>
  <c r="AP165" i="3"/>
  <c r="AN165" i="3"/>
  <c r="AM165" i="3"/>
  <c r="AL165" i="3"/>
  <c r="AK165" i="3"/>
  <c r="AI165" i="3"/>
  <c r="AH165" i="3"/>
  <c r="AG165" i="3"/>
  <c r="AF165" i="3"/>
  <c r="AD165" i="3"/>
  <c r="AC165" i="3"/>
  <c r="AB165" i="3"/>
  <c r="AA165" i="3"/>
  <c r="Y165" i="3"/>
  <c r="X165" i="3"/>
  <c r="W165" i="3"/>
  <c r="V165" i="3"/>
  <c r="EQ153" i="3"/>
  <c r="EO153" i="3"/>
  <c r="EN153" i="3"/>
  <c r="EL153" i="3"/>
  <c r="EI153" i="3"/>
  <c r="EE153" i="3"/>
  <c r="ED153" i="3"/>
  <c r="EC153" i="3"/>
  <c r="EB153" i="3"/>
  <c r="DZ153" i="3"/>
  <c r="DY153" i="3"/>
  <c r="DX153" i="3"/>
  <c r="DU153" i="3"/>
  <c r="DT153" i="3"/>
  <c r="DS153" i="3"/>
  <c r="DR153" i="3"/>
  <c r="DP153" i="3"/>
  <c r="DO153" i="3"/>
  <c r="DN153" i="3"/>
  <c r="DM153" i="3"/>
  <c r="DK153" i="3"/>
  <c r="CJ153" i="3"/>
  <c r="CI153" i="3"/>
  <c r="CG153" i="3"/>
  <c r="CF153" i="3"/>
  <c r="CE153" i="3"/>
  <c r="CD153" i="3"/>
  <c r="CB153" i="3"/>
  <c r="CA153" i="3"/>
  <c r="BZ153" i="3"/>
  <c r="BY153" i="3"/>
  <c r="BV153" i="3"/>
  <c r="BU153" i="3"/>
  <c r="BT153" i="3"/>
  <c r="BR153" i="3"/>
  <c r="BP153" i="3"/>
  <c r="BO153" i="3"/>
  <c r="BM153" i="3"/>
  <c r="BK153" i="3"/>
  <c r="BJ153" i="3"/>
  <c r="BH153" i="3"/>
  <c r="BG153" i="3"/>
  <c r="BE153" i="3"/>
  <c r="BB153" i="3"/>
  <c r="BA153" i="3"/>
  <c r="AZ153" i="3"/>
  <c r="AX153" i="3"/>
  <c r="AW153" i="3"/>
  <c r="AV153" i="3"/>
  <c r="AU153" i="3"/>
  <c r="AS153" i="3"/>
  <c r="AQ153" i="3"/>
  <c r="AP153" i="3"/>
  <c r="AN153" i="3"/>
  <c r="AM153" i="3"/>
  <c r="AL153" i="3"/>
  <c r="AK153" i="3"/>
  <c r="AI153" i="3"/>
  <c r="AH153" i="3"/>
  <c r="AG153" i="3"/>
  <c r="AF153" i="3"/>
  <c r="AD153" i="3"/>
  <c r="AC153" i="3"/>
  <c r="AB153" i="3"/>
  <c r="ER152" i="3"/>
  <c r="EQ152" i="3"/>
  <c r="EU152" i="3" s="1"/>
  <c r="EO152" i="3"/>
  <c r="EM152" i="3"/>
  <c r="EL152" i="3"/>
  <c r="EP152" i="3" s="1"/>
  <c r="EJ152" i="3"/>
  <c r="EE152" i="3"/>
  <c r="ED152" i="3"/>
  <c r="EC152" i="3"/>
  <c r="EB152" i="3"/>
  <c r="EF152" i="3" s="1"/>
  <c r="DZ152" i="3"/>
  <c r="DY152" i="3"/>
  <c r="DW152" i="3"/>
  <c r="EA152" i="3" s="1"/>
  <c r="DU152" i="3"/>
  <c r="DT152" i="3"/>
  <c r="DS152" i="3"/>
  <c r="DR152" i="3"/>
  <c r="DV152" i="3" s="1"/>
  <c r="DP152" i="3"/>
  <c r="DO152" i="3"/>
  <c r="DN152" i="3"/>
  <c r="DM152" i="3"/>
  <c r="DQ152" i="3" s="1"/>
  <c r="CK152" i="3"/>
  <c r="CJ152" i="3"/>
  <c r="CI152" i="3"/>
  <c r="CM152" i="3" s="1"/>
  <c r="CG152" i="3"/>
  <c r="CF152" i="3"/>
  <c r="CE152" i="3"/>
  <c r="CD152" i="3"/>
  <c r="CB152" i="3"/>
  <c r="CA152" i="3"/>
  <c r="BZ152" i="3"/>
  <c r="BW152" i="3"/>
  <c r="BV152" i="3"/>
  <c r="BU152" i="3"/>
  <c r="BT152" i="3"/>
  <c r="BQ152" i="3"/>
  <c r="BP152" i="3"/>
  <c r="BO152" i="3"/>
  <c r="BL152" i="3"/>
  <c r="BK152" i="3"/>
  <c r="BJ152" i="3"/>
  <c r="BH152" i="3"/>
  <c r="BF152" i="3"/>
  <c r="BC152" i="3"/>
  <c r="BB152" i="3"/>
  <c r="BA152" i="3"/>
  <c r="AZ152" i="3"/>
  <c r="AX152" i="3"/>
  <c r="AW152" i="3"/>
  <c r="AV152" i="3"/>
  <c r="AU152" i="3"/>
  <c r="AR152" i="3"/>
  <c r="AQ152" i="3"/>
  <c r="AP152" i="3"/>
  <c r="AN152" i="3"/>
  <c r="AM152" i="3"/>
  <c r="AL152" i="3"/>
  <c r="AK152" i="3"/>
  <c r="AI152" i="3"/>
  <c r="AH152" i="3"/>
  <c r="AG152" i="3"/>
  <c r="AF152" i="3"/>
  <c r="AD152" i="3"/>
  <c r="AC152" i="3"/>
  <c r="AB152" i="3"/>
  <c r="AA152" i="3"/>
  <c r="Y153" i="3" s="1"/>
  <c r="Y152" i="3"/>
  <c r="X153" i="3" s="1"/>
  <c r="X152" i="3"/>
  <c r="W153" i="3" s="1"/>
  <c r="W152" i="3"/>
  <c r="V153" i="3" s="1"/>
  <c r="V152" i="3"/>
  <c r="T153" i="3" s="1"/>
  <c r="T152" i="3"/>
  <c r="S153" i="3" s="1"/>
  <c r="S152" i="3"/>
  <c r="R153" i="3" s="1"/>
  <c r="R152" i="3"/>
  <c r="Q153" i="3" s="1"/>
  <c r="Q152" i="3"/>
  <c r="O153" i="3" s="1"/>
  <c r="P152" i="3"/>
  <c r="O152" i="3"/>
  <c r="N153" i="3" s="1"/>
  <c r="N152" i="3"/>
  <c r="M153" i="3" s="1"/>
  <c r="M152" i="3"/>
  <c r="L153" i="3" s="1"/>
  <c r="DH146" i="3"/>
  <c r="BE146" i="3"/>
  <c r="AZ146" i="3"/>
  <c r="AU146" i="3"/>
  <c r="AP146" i="3"/>
  <c r="AK146" i="3"/>
  <c r="AF146" i="3"/>
  <c r="AA146" i="3"/>
  <c r="Q146" i="3"/>
  <c r="EQ144" i="3"/>
  <c r="EO144" i="3"/>
  <c r="EN144" i="3"/>
  <c r="EM144" i="3"/>
  <c r="EL144" i="3"/>
  <c r="EJ144" i="3"/>
  <c r="EJ146" i="3" s="1"/>
  <c r="EI144" i="3"/>
  <c r="EI146" i="3" s="1"/>
  <c r="EH144" i="3"/>
  <c r="EH146" i="3" s="1"/>
  <c r="EG144" i="3"/>
  <c r="EE144" i="3"/>
  <c r="EE146" i="3" s="1"/>
  <c r="ED144" i="3"/>
  <c r="ED146" i="3" s="1"/>
  <c r="EC144" i="3"/>
  <c r="EC146" i="3" s="1"/>
  <c r="EB144" i="3"/>
  <c r="EB146" i="3" s="1"/>
  <c r="DZ144" i="3"/>
  <c r="DZ146" i="3" s="1"/>
  <c r="DY144" i="3"/>
  <c r="DY146" i="3" s="1"/>
  <c r="DX144" i="3"/>
  <c r="DX146" i="3" s="1"/>
  <c r="DW144" i="3"/>
  <c r="DW146" i="3" s="1"/>
  <c r="DU144" i="3"/>
  <c r="DT144" i="3"/>
  <c r="DS144" i="3"/>
  <c r="DS146" i="3" s="1"/>
  <c r="DR144" i="3"/>
  <c r="DR146" i="3" s="1"/>
  <c r="DP144" i="3"/>
  <c r="DN144" i="3"/>
  <c r="DN146" i="3" s="1"/>
  <c r="DM144" i="3"/>
  <c r="DK144" i="3"/>
  <c r="DI144" i="3"/>
  <c r="DJ144" i="3" s="1"/>
  <c r="DC144" i="3"/>
  <c r="DC146" i="3" s="1"/>
  <c r="CX144" i="3"/>
  <c r="CS144" i="3"/>
  <c r="CS146" i="3" s="1"/>
  <c r="CN144" i="3"/>
  <c r="CI144" i="3"/>
  <c r="CD144" i="3"/>
  <c r="BY144" i="3"/>
  <c r="BZ144" i="3" s="1"/>
  <c r="CA144" i="3" s="1"/>
  <c r="CB144" i="3" s="1"/>
  <c r="BT144" i="3"/>
  <c r="BU144" i="3" s="1"/>
  <c r="BV144" i="3" s="1"/>
  <c r="BW144" i="3" s="1"/>
  <c r="BP144" i="3"/>
  <c r="BJ144" i="3"/>
  <c r="BK144" i="3" s="1"/>
  <c r="BM144" i="3" s="1"/>
  <c r="BH144" i="3"/>
  <c r="BI144" i="3" s="1"/>
  <c r="BD144" i="3"/>
  <c r="AV144" i="3"/>
  <c r="AQ144" i="3"/>
  <c r="AO144" i="3"/>
  <c r="AJ144" i="3"/>
  <c r="AE144" i="3"/>
  <c r="Z144" i="3"/>
  <c r="U144" i="3"/>
  <c r="P144" i="3"/>
  <c r="FO143" i="3"/>
  <c r="FJ143" i="3"/>
  <c r="FE143" i="3"/>
  <c r="EZ143" i="3"/>
  <c r="EU143" i="3"/>
  <c r="EP143" i="3"/>
  <c r="EK143" i="3"/>
  <c r="EF143" i="3"/>
  <c r="EA143" i="3"/>
  <c r="DV143" i="3"/>
  <c r="DQ143" i="3"/>
  <c r="DI143" i="3"/>
  <c r="DD143" i="3"/>
  <c r="DE143" i="3" s="1"/>
  <c r="DF143" i="3" s="1"/>
  <c r="DG143" i="3" s="1"/>
  <c r="CY143" i="3"/>
  <c r="FL142" i="3"/>
  <c r="FM142" i="3" s="1"/>
  <c r="FG142" i="3"/>
  <c r="FD142" i="3"/>
  <c r="FB142" i="3"/>
  <c r="EY142" i="3"/>
  <c r="EW142" i="3"/>
  <c r="ET142" i="3"/>
  <c r="EU142" i="3" s="1"/>
  <c r="EP142" i="3"/>
  <c r="EK142" i="3"/>
  <c r="EF142" i="3"/>
  <c r="EA142" i="3"/>
  <c r="DT142" i="3"/>
  <c r="DO142" i="3"/>
  <c r="DO146" i="3" s="1"/>
  <c r="DK142" i="3"/>
  <c r="DL142" i="3" s="1"/>
  <c r="DD142" i="3"/>
  <c r="CY142" i="3"/>
  <c r="CZ142" i="3" s="1"/>
  <c r="CT142" i="3"/>
  <c r="CU142" i="3" s="1"/>
  <c r="CV142" i="3" s="1"/>
  <c r="CW142" i="3" s="1"/>
  <c r="CO142" i="3"/>
  <c r="CJ142" i="3"/>
  <c r="CK142" i="3" s="1"/>
  <c r="CD142" i="3"/>
  <c r="CE142" i="3" s="1"/>
  <c r="CF142" i="3" s="1"/>
  <c r="BF142" i="3"/>
  <c r="BG142" i="3" s="1"/>
  <c r="BH142" i="3" s="1"/>
  <c r="BJ142" i="3" s="1"/>
  <c r="BA142" i="3"/>
  <c r="AV142" i="3"/>
  <c r="AW142" i="3" s="1"/>
  <c r="AQ142" i="3"/>
  <c r="AN142" i="3"/>
  <c r="AO142" i="3" s="1"/>
  <c r="AJ142" i="3"/>
  <c r="AE142" i="3"/>
  <c r="Z142" i="3"/>
  <c r="U142" i="3"/>
  <c r="P142" i="3"/>
  <c r="EL141" i="3"/>
  <c r="EN141" i="3" s="1"/>
  <c r="EK141" i="3"/>
  <c r="EM141" i="3" s="1"/>
  <c r="EF141" i="3"/>
  <c r="EA141" i="3"/>
  <c r="DV141" i="3"/>
  <c r="DQ141" i="3"/>
  <c r="DK141" i="3"/>
  <c r="DL141" i="3" s="1"/>
  <c r="DG141" i="3"/>
  <c r="CY141" i="3"/>
  <c r="CZ141" i="3" s="1"/>
  <c r="DA141" i="3" s="1"/>
  <c r="DB141" i="3" s="1"/>
  <c r="CT141" i="3"/>
  <c r="CO141" i="3"/>
  <c r="CJ141" i="3"/>
  <c r="CK141" i="3" s="1"/>
  <c r="CL141" i="3" s="1"/>
  <c r="CE141" i="3"/>
  <c r="CF141" i="3" s="1"/>
  <c r="CG141" i="3" s="1"/>
  <c r="BZ141" i="3"/>
  <c r="BU141" i="3"/>
  <c r="BV141" i="3" s="1"/>
  <c r="BW141" i="3" s="1"/>
  <c r="BP141" i="3"/>
  <c r="BQ141" i="3" s="1"/>
  <c r="BR141" i="3" s="1"/>
  <c r="BK141" i="3"/>
  <c r="BF141" i="3"/>
  <c r="BG141" i="3" s="1"/>
  <c r="BH141" i="3" s="1"/>
  <c r="BA141" i="3"/>
  <c r="AV141" i="3"/>
  <c r="AQ141" i="3"/>
  <c r="AR141" i="3" s="1"/>
  <c r="AL141" i="3"/>
  <c r="AM141" i="3" s="1"/>
  <c r="AG141" i="3"/>
  <c r="AB141" i="3"/>
  <c r="AC141" i="3" s="1"/>
  <c r="AD141" i="3" s="1"/>
  <c r="AE141" i="3" s="1"/>
  <c r="V141" i="3"/>
  <c r="W141" i="3" s="1"/>
  <c r="X141" i="3" s="1"/>
  <c r="Y141" i="3" s="1"/>
  <c r="R141" i="3"/>
  <c r="L141" i="3"/>
  <c r="M141" i="3" s="1"/>
  <c r="N141" i="3" s="1"/>
  <c r="O141" i="3" s="1"/>
  <c r="FO140" i="3"/>
  <c r="FJ140" i="3"/>
  <c r="FE140" i="3"/>
  <c r="EZ140" i="3"/>
  <c r="EU140" i="3"/>
  <c r="EP140" i="3"/>
  <c r="EK140" i="3"/>
  <c r="EF140" i="3"/>
  <c r="EA140" i="3"/>
  <c r="DV140" i="3"/>
  <c r="DQ140" i="3"/>
  <c r="DL140" i="3"/>
  <c r="DE140" i="3"/>
  <c r="DF140" i="3" s="1"/>
  <c r="CY140" i="3"/>
  <c r="CZ140" i="3" s="1"/>
  <c r="CT140" i="3"/>
  <c r="CU140" i="3" s="1"/>
  <c r="CV140" i="3" s="1"/>
  <c r="CO140" i="3"/>
  <c r="CP140" i="3" s="1"/>
  <c r="CJ140" i="3"/>
  <c r="CM140" i="3" s="1"/>
  <c r="CH140" i="3"/>
  <c r="CC140" i="3"/>
  <c r="BV140" i="3"/>
  <c r="BX140" i="3" s="1"/>
  <c r="BS140" i="3"/>
  <c r="BN140" i="3"/>
  <c r="BI140" i="3"/>
  <c r="BD140" i="3"/>
  <c r="AY140" i="3"/>
  <c r="AQ140" i="3"/>
  <c r="AL140" i="3"/>
  <c r="AG140" i="3"/>
  <c r="AH140" i="3" s="1"/>
  <c r="AB140" i="3"/>
  <c r="V140" i="3"/>
  <c r="R140" i="3"/>
  <c r="S140" i="3" s="1"/>
  <c r="L140" i="3"/>
  <c r="FO139" i="3"/>
  <c r="FJ139" i="3"/>
  <c r="FE139" i="3"/>
  <c r="EZ139" i="3"/>
  <c r="EU139" i="3"/>
  <c r="EP139" i="3"/>
  <c r="EK139" i="3"/>
  <c r="EF139" i="3"/>
  <c r="EA139" i="3"/>
  <c r="DV139" i="3"/>
  <c r="DQ139" i="3"/>
  <c r="DL139" i="3"/>
  <c r="DG139" i="3"/>
  <c r="DB139" i="3"/>
  <c r="CU139" i="3"/>
  <c r="CR139" i="3"/>
  <c r="CJ139" i="3"/>
  <c r="CM139" i="3" s="1"/>
  <c r="CH139" i="3"/>
  <c r="CC139" i="3"/>
  <c r="BX139" i="3"/>
  <c r="BS139" i="3"/>
  <c r="BN139" i="3"/>
  <c r="BI139" i="3"/>
  <c r="BD139" i="3"/>
  <c r="AY139" i="3"/>
  <c r="AT139" i="3"/>
  <c r="AN139" i="3"/>
  <c r="AO139" i="3" s="1"/>
  <c r="AJ139" i="3"/>
  <c r="AB139" i="3"/>
  <c r="X139" i="3"/>
  <c r="Y139" i="3" s="1"/>
  <c r="Z139" i="3" s="1"/>
  <c r="T139" i="3"/>
  <c r="U139" i="3" s="1"/>
  <c r="P139" i="3"/>
  <c r="FK134" i="3"/>
  <c r="FF134" i="3"/>
  <c r="FA134" i="3"/>
  <c r="EV134" i="3"/>
  <c r="ER134" i="3"/>
  <c r="BL134" i="3"/>
  <c r="T134" i="3"/>
  <c r="S134" i="3"/>
  <c r="R134" i="3"/>
  <c r="Q134" i="3"/>
  <c r="O134" i="3"/>
  <c r="N134" i="3"/>
  <c r="M134" i="3"/>
  <c r="L134" i="3"/>
  <c r="FL133" i="3"/>
  <c r="FM133" i="3" s="1"/>
  <c r="FG133" i="3"/>
  <c r="FB133" i="3"/>
  <c r="EW133" i="3"/>
  <c r="EX133" i="3" s="1"/>
  <c r="EY133" i="3" s="1"/>
  <c r="EZ133" i="3" s="1"/>
  <c r="EQ133" i="3"/>
  <c r="EO133" i="3"/>
  <c r="EO134" i="3" s="1"/>
  <c r="EN133" i="3"/>
  <c r="EN134" i="3" s="1"/>
  <c r="EM133" i="3"/>
  <c r="EM134" i="3" s="1"/>
  <c r="EL133" i="3"/>
  <c r="EL134" i="3" s="1"/>
  <c r="EJ133" i="3"/>
  <c r="EJ134" i="3" s="1"/>
  <c r="EI133" i="3"/>
  <c r="EI134" i="3" s="1"/>
  <c r="EH133" i="3"/>
  <c r="EH134" i="3" s="1"/>
  <c r="EG133" i="3"/>
  <c r="EG134" i="3" s="1"/>
  <c r="EE133" i="3"/>
  <c r="EE134" i="3" s="1"/>
  <c r="ED133" i="3"/>
  <c r="ED134" i="3" s="1"/>
  <c r="EC133" i="3"/>
  <c r="EC134" i="3" s="1"/>
  <c r="EB133" i="3"/>
  <c r="EB134" i="3" s="1"/>
  <c r="DZ133" i="3"/>
  <c r="DZ134" i="3" s="1"/>
  <c r="DY133" i="3"/>
  <c r="DY134" i="3" s="1"/>
  <c r="DX133" i="3"/>
  <c r="DX134" i="3" s="1"/>
  <c r="DW133" i="3"/>
  <c r="DU133" i="3"/>
  <c r="DU134" i="3" s="1"/>
  <c r="DT133" i="3"/>
  <c r="DT134" i="3" s="1"/>
  <c r="DS133" i="3"/>
  <c r="DS134" i="3" s="1"/>
  <c r="DR133" i="3"/>
  <c r="DP133" i="3"/>
  <c r="DO133" i="3"/>
  <c r="DO134" i="3" s="1"/>
  <c r="DN133" i="3"/>
  <c r="DN134" i="3" s="1"/>
  <c r="DM133" i="3"/>
  <c r="DK133" i="3"/>
  <c r="DK134" i="3" s="1"/>
  <c r="DH133" i="3"/>
  <c r="DI133" i="3" s="1"/>
  <c r="DC133" i="3"/>
  <c r="DD133" i="3" s="1"/>
  <c r="DE133" i="3" s="1"/>
  <c r="DF133" i="3" s="1"/>
  <c r="DG133" i="3" s="1"/>
  <c r="CX133" i="3"/>
  <c r="CX134" i="3" s="1"/>
  <c r="CS133" i="3"/>
  <c r="CN133" i="3"/>
  <c r="CI133" i="3"/>
  <c r="CF133" i="3"/>
  <c r="CE133" i="3"/>
  <c r="CD133" i="3"/>
  <c r="CD134" i="3" s="1"/>
  <c r="BY133" i="3"/>
  <c r="BY134" i="3" s="1"/>
  <c r="BT133" i="3"/>
  <c r="BU133" i="3" s="1"/>
  <c r="BV133" i="3" s="1"/>
  <c r="BW133" i="3" s="1"/>
  <c r="BO133" i="3"/>
  <c r="BP133" i="3" s="1"/>
  <c r="BQ133" i="3" s="1"/>
  <c r="BR133" i="3" s="1"/>
  <c r="BJ133" i="3"/>
  <c r="BE133" i="3"/>
  <c r="BE134" i="3" s="1"/>
  <c r="AZ133" i="3"/>
  <c r="AU133" i="3"/>
  <c r="AU134" i="3" s="1"/>
  <c r="AP133" i="3"/>
  <c r="AK133" i="3"/>
  <c r="AL133" i="3" s="1"/>
  <c r="AF133" i="3"/>
  <c r="AA133" i="3"/>
  <c r="AA134" i="3" s="1"/>
  <c r="V133" i="3"/>
  <c r="V134" i="3" s="1"/>
  <c r="U133" i="3"/>
  <c r="P133" i="3"/>
  <c r="FL132" i="3"/>
  <c r="FM132" i="3" s="1"/>
  <c r="FG132" i="3"/>
  <c r="FB132" i="3"/>
  <c r="EW132" i="3"/>
  <c r="EX132" i="3" s="1"/>
  <c r="EY132" i="3" s="1"/>
  <c r="ES132" i="3"/>
  <c r="EP132" i="3"/>
  <c r="EK132" i="3"/>
  <c r="EF132" i="3"/>
  <c r="EA132" i="3"/>
  <c r="DV132" i="3"/>
  <c r="DP132" i="3"/>
  <c r="DI132" i="3"/>
  <c r="DJ132" i="3" s="1"/>
  <c r="DD132" i="3"/>
  <c r="CY132" i="3"/>
  <c r="CT132" i="3"/>
  <c r="CU132" i="3" s="1"/>
  <c r="CV132" i="3" s="1"/>
  <c r="CO132" i="3"/>
  <c r="CP132" i="3" s="1"/>
  <c r="CQ132" i="3" s="1"/>
  <c r="CJ132" i="3"/>
  <c r="CE132" i="3"/>
  <c r="BZ132" i="3"/>
  <c r="CA132" i="3" s="1"/>
  <c r="CB132" i="3" s="1"/>
  <c r="BU132" i="3"/>
  <c r="BP132" i="3"/>
  <c r="BQ132" i="3" s="1"/>
  <c r="BR132" i="3" s="1"/>
  <c r="BS132" i="3" s="1"/>
  <c r="BK132" i="3"/>
  <c r="BF132" i="3"/>
  <c r="BG132" i="3" s="1"/>
  <c r="BA132" i="3"/>
  <c r="BB132" i="3" s="1"/>
  <c r="AV132" i="3"/>
  <c r="AQ132" i="3"/>
  <c r="AR132" i="3" s="1"/>
  <c r="AL132" i="3"/>
  <c r="AG132" i="3"/>
  <c r="AH132" i="3" s="1"/>
  <c r="AB132" i="3"/>
  <c r="AC132" i="3" s="1"/>
  <c r="AD132" i="3" s="1"/>
  <c r="W132" i="3"/>
  <c r="U132" i="3"/>
  <c r="P132" i="3"/>
  <c r="FO127" i="3"/>
  <c r="FJ127" i="3"/>
  <c r="FE127" i="3"/>
  <c r="EZ127" i="3"/>
  <c r="EU127" i="3"/>
  <c r="EP127" i="3"/>
  <c r="EK127" i="3"/>
  <c r="EF127" i="3"/>
  <c r="EA127" i="3"/>
  <c r="DV127" i="3"/>
  <c r="DQ127" i="3"/>
  <c r="DI127" i="3"/>
  <c r="DJ127" i="3" s="1"/>
  <c r="DL127" i="3" s="1"/>
  <c r="DF127" i="3"/>
  <c r="DG127" i="3" s="1"/>
  <c r="CY127" i="3"/>
  <c r="CZ127" i="3" s="1"/>
  <c r="DA127" i="3" s="1"/>
  <c r="DB127" i="3" s="1"/>
  <c r="CW127" i="3"/>
  <c r="CR127" i="3"/>
  <c r="CM127" i="3"/>
  <c r="CH127" i="3"/>
  <c r="CC127" i="3"/>
  <c r="BX127" i="3"/>
  <c r="BS127" i="3"/>
  <c r="BN127" i="3"/>
  <c r="BI127" i="3"/>
  <c r="BD127" i="3"/>
  <c r="AY127" i="3"/>
  <c r="AT127" i="3"/>
  <c r="AL127" i="3"/>
  <c r="AO127" i="3" s="1"/>
  <c r="AG127" i="3"/>
  <c r="AH127" i="3" s="1"/>
  <c r="AB127" i="3"/>
  <c r="X127" i="3"/>
  <c r="Y127" i="3" s="1"/>
  <c r="Z127" i="3" s="1"/>
  <c r="U127" i="3"/>
  <c r="P127" i="3"/>
  <c r="FO126" i="3"/>
  <c r="FJ126" i="3"/>
  <c r="FE126" i="3"/>
  <c r="EZ126" i="3"/>
  <c r="EU126" i="3"/>
  <c r="EP126" i="3"/>
  <c r="EK126" i="3"/>
  <c r="EF126" i="3"/>
  <c r="EA126" i="3"/>
  <c r="DT126" i="3"/>
  <c r="DV126" i="3" s="1"/>
  <c r="DO126" i="3"/>
  <c r="DQ126" i="3" s="1"/>
  <c r="DI126" i="3"/>
  <c r="DJ126" i="3" s="1"/>
  <c r="DC126" i="3"/>
  <c r="CY126" i="3"/>
  <c r="CT126" i="3"/>
  <c r="CU126" i="3" s="1"/>
  <c r="CO126" i="3"/>
  <c r="CP126" i="3" s="1"/>
  <c r="CQ126" i="3" s="1"/>
  <c r="CR126" i="3" s="1"/>
  <c r="CJ126" i="3"/>
  <c r="CE126" i="3"/>
  <c r="CG126" i="3" s="1"/>
  <c r="BZ126" i="3"/>
  <c r="BU126" i="3"/>
  <c r="BP126" i="3"/>
  <c r="BK126" i="3"/>
  <c r="BF126" i="3"/>
  <c r="BG126" i="3" s="1"/>
  <c r="BH126" i="3" s="1"/>
  <c r="BA126" i="3"/>
  <c r="BB126" i="3" s="1"/>
  <c r="AV126" i="3"/>
  <c r="AW126" i="3" s="1"/>
  <c r="AQ126" i="3"/>
  <c r="AR126" i="3" s="1"/>
  <c r="AS126" i="3" s="1"/>
  <c r="AL126" i="3"/>
  <c r="AM126" i="3" s="1"/>
  <c r="AG126" i="3"/>
  <c r="AB126" i="3"/>
  <c r="AC126" i="3" s="1"/>
  <c r="AE126" i="3" s="1"/>
  <c r="W126" i="3"/>
  <c r="R126" i="3"/>
  <c r="M126" i="3"/>
  <c r="N126" i="3" s="1"/>
  <c r="O126" i="3" s="1"/>
  <c r="EP125" i="3"/>
  <c r="EK125" i="3"/>
  <c r="EF125" i="3"/>
  <c r="EA125" i="3"/>
  <c r="DV125" i="3"/>
  <c r="DQ125" i="3"/>
  <c r="DI125" i="3"/>
  <c r="DD125" i="3"/>
  <c r="DE125" i="3" s="1"/>
  <c r="DF125" i="3" s="1"/>
  <c r="CY125" i="3"/>
  <c r="CZ125" i="3" s="1"/>
  <c r="CT125" i="3"/>
  <c r="CU125" i="3" s="1"/>
  <c r="CV125" i="3" s="1"/>
  <c r="CO125" i="3"/>
  <c r="CP125" i="3" s="1"/>
  <c r="CQ125" i="3" s="1"/>
  <c r="CJ125" i="3"/>
  <c r="CK125" i="3" s="1"/>
  <c r="CF125" i="3"/>
  <c r="CE125" i="3"/>
  <c r="BZ125" i="3"/>
  <c r="CA125" i="3" s="1"/>
  <c r="BU125" i="3"/>
  <c r="BV125" i="3" s="1"/>
  <c r="BW125" i="3" s="1"/>
  <c r="BX125" i="3" s="1"/>
  <c r="BP125" i="3"/>
  <c r="BL125" i="3"/>
  <c r="BJ125" i="3"/>
  <c r="BK125" i="3" s="1"/>
  <c r="BF125" i="3"/>
  <c r="BG125" i="3" s="1"/>
  <c r="BH125" i="3" s="1"/>
  <c r="BI125" i="3" s="1"/>
  <c r="BA125" i="3"/>
  <c r="AV125" i="3"/>
  <c r="AQ125" i="3"/>
  <c r="AR125" i="3" s="1"/>
  <c r="AL125" i="3"/>
  <c r="AG125" i="3"/>
  <c r="AB125" i="3"/>
  <c r="AC125" i="3" s="1"/>
  <c r="AE125" i="3" s="1"/>
  <c r="W125" i="3"/>
  <c r="R125" i="3"/>
  <c r="S125" i="3" s="1"/>
  <c r="M125" i="3"/>
  <c r="N125" i="3" s="1"/>
  <c r="FO124" i="3"/>
  <c r="FJ124" i="3"/>
  <c r="FE124" i="3"/>
  <c r="EZ124" i="3"/>
  <c r="EU124" i="3"/>
  <c r="EP124" i="3"/>
  <c r="EK124" i="3"/>
  <c r="EF124" i="3"/>
  <c r="EA124" i="3"/>
  <c r="DS124" i="3"/>
  <c r="DV124" i="3" s="1"/>
  <c r="DQ124" i="3"/>
  <c r="DL124" i="3"/>
  <c r="DG124" i="3"/>
  <c r="CY124" i="3"/>
  <c r="CZ124" i="3" s="1"/>
  <c r="CT124" i="3"/>
  <c r="CU124" i="3" s="1"/>
  <c r="CV124" i="3" s="1"/>
  <c r="CO124" i="3"/>
  <c r="CP124" i="3" s="1"/>
  <c r="CQ124" i="3" s="1"/>
  <c r="CJ124" i="3"/>
  <c r="CK124" i="3" s="1"/>
  <c r="CE124" i="3"/>
  <c r="BZ124" i="3"/>
  <c r="CA124" i="3" s="1"/>
  <c r="BU124" i="3"/>
  <c r="BV124" i="3" s="1"/>
  <c r="BW124" i="3" s="1"/>
  <c r="BP124" i="3"/>
  <c r="BK124" i="3"/>
  <c r="BM124" i="3" s="1"/>
  <c r="BE124" i="3"/>
  <c r="BF124" i="3" s="1"/>
  <c r="BG124" i="3" s="1"/>
  <c r="BH124" i="3" s="1"/>
  <c r="BA124" i="3"/>
  <c r="BB124" i="3" s="1"/>
  <c r="AV124" i="3"/>
  <c r="AW124" i="3" s="1"/>
  <c r="AX124" i="3" s="1"/>
  <c r="AQ124" i="3"/>
  <c r="AR124" i="3" s="1"/>
  <c r="AS124" i="3" s="1"/>
  <c r="AL124" i="3"/>
  <c r="AG124" i="3"/>
  <c r="AH124" i="3" s="1"/>
  <c r="AI124" i="3" s="1"/>
  <c r="AB124" i="3"/>
  <c r="AC124" i="3" s="1"/>
  <c r="W124" i="3"/>
  <c r="R124" i="3"/>
  <c r="M124" i="3"/>
  <c r="FO123" i="3"/>
  <c r="FJ123" i="3"/>
  <c r="FE123" i="3"/>
  <c r="EZ123" i="3"/>
  <c r="EU123" i="3"/>
  <c r="EP123" i="3"/>
  <c r="EK123" i="3"/>
  <c r="EF123" i="3"/>
  <c r="EA123" i="3"/>
  <c r="DU123" i="3"/>
  <c r="DV123" i="3" s="1"/>
  <c r="DP123" i="3"/>
  <c r="DQ123" i="3" s="1"/>
  <c r="DI123" i="3"/>
  <c r="DD123" i="3"/>
  <c r="DE123" i="3" s="1"/>
  <c r="DF123" i="3" s="1"/>
  <c r="DG123" i="3" s="1"/>
  <c r="CY123" i="3"/>
  <c r="CZ123" i="3" s="1"/>
  <c r="DA123" i="3" s="1"/>
  <c r="CT123" i="3"/>
  <c r="CO123" i="3"/>
  <c r="CP123" i="3" s="1"/>
  <c r="CQ123" i="3" s="1"/>
  <c r="CR123" i="3" s="1"/>
  <c r="CJ123" i="3"/>
  <c r="CE123" i="3"/>
  <c r="BZ123" i="3"/>
  <c r="CA123" i="3" s="1"/>
  <c r="CB123" i="3" s="1"/>
  <c r="BU123" i="3"/>
  <c r="BV123" i="3" s="1"/>
  <c r="BW123" i="3" s="1"/>
  <c r="BP123" i="3"/>
  <c r="BK123" i="3"/>
  <c r="BM123" i="3" s="1"/>
  <c r="BN123" i="3" s="1"/>
  <c r="BF123" i="3"/>
  <c r="BG123" i="3" s="1"/>
  <c r="BH123" i="3" s="1"/>
  <c r="BA123" i="3"/>
  <c r="AV123" i="3"/>
  <c r="AW123" i="3" s="1"/>
  <c r="AQ123" i="3"/>
  <c r="AR123" i="3" s="1"/>
  <c r="AL123" i="3"/>
  <c r="AM123" i="3" s="1"/>
  <c r="AN123" i="3" s="1"/>
  <c r="AG123" i="3"/>
  <c r="AH123" i="3" s="1"/>
  <c r="AB123" i="3"/>
  <c r="V123" i="3"/>
  <c r="W123" i="3" s="1"/>
  <c r="R123" i="3"/>
  <c r="S123" i="3" s="1"/>
  <c r="M123" i="3"/>
  <c r="N123" i="3" s="1"/>
  <c r="O123" i="3" s="1"/>
  <c r="EP122" i="3"/>
  <c r="EK122" i="3"/>
  <c r="EF122" i="3"/>
  <c r="EA122" i="3"/>
  <c r="DV122" i="3"/>
  <c r="DQ122" i="3"/>
  <c r="DI122" i="3"/>
  <c r="DD122" i="3"/>
  <c r="CY122" i="3"/>
  <c r="CT122" i="3"/>
  <c r="CU122" i="3" s="1"/>
  <c r="CV122" i="3" s="1"/>
  <c r="CW122" i="3" s="1"/>
  <c r="CO122" i="3"/>
  <c r="CP122" i="3" s="1"/>
  <c r="CQ122" i="3" s="1"/>
  <c r="CJ122" i="3"/>
  <c r="CE122" i="3"/>
  <c r="CF122" i="3" s="1"/>
  <c r="CG122" i="3" s="1"/>
  <c r="CH122" i="3" s="1"/>
  <c r="BZ122" i="3"/>
  <c r="BU122" i="3"/>
  <c r="BP122" i="3"/>
  <c r="BQ122" i="3" s="1"/>
  <c r="BR122" i="3" s="1"/>
  <c r="BS122" i="3" s="1"/>
  <c r="BL122" i="3"/>
  <c r="BK122" i="3"/>
  <c r="BF122" i="3"/>
  <c r="BA122" i="3"/>
  <c r="AV122" i="3"/>
  <c r="AW122" i="3" s="1"/>
  <c r="AQ122" i="3"/>
  <c r="AL122" i="3"/>
  <c r="AG122" i="3"/>
  <c r="AB122" i="3"/>
  <c r="AC122" i="3" s="1"/>
  <c r="AE122" i="3" s="1"/>
  <c r="W122" i="3"/>
  <c r="X122" i="3" s="1"/>
  <c r="Y122" i="3" s="1"/>
  <c r="R122" i="3"/>
  <c r="M122" i="3"/>
  <c r="N122" i="3" s="1"/>
  <c r="O122" i="3" s="1"/>
  <c r="EP121" i="3"/>
  <c r="EK121" i="3"/>
  <c r="EF121" i="3"/>
  <c r="EA121" i="3"/>
  <c r="DU121" i="3"/>
  <c r="DV121" i="3" s="1"/>
  <c r="DP121" i="3"/>
  <c r="DQ121" i="3" s="1"/>
  <c r="DI121" i="3"/>
  <c r="DJ121" i="3" s="1"/>
  <c r="DL121" i="3" s="1"/>
  <c r="DD121" i="3"/>
  <c r="DE121" i="3" s="1"/>
  <c r="DF121" i="3" s="1"/>
  <c r="CY121" i="3"/>
  <c r="CT121" i="3"/>
  <c r="CU121" i="3" s="1"/>
  <c r="CV121" i="3" s="1"/>
  <c r="CW121" i="3" s="1"/>
  <c r="CO121" i="3"/>
  <c r="CJ121" i="3"/>
  <c r="CE121" i="3"/>
  <c r="CF121" i="3" s="1"/>
  <c r="CG121" i="3" s="1"/>
  <c r="BZ121" i="3"/>
  <c r="CA121" i="3" s="1"/>
  <c r="CB121" i="3" s="1"/>
  <c r="BU121" i="3"/>
  <c r="BP121" i="3"/>
  <c r="BQ121" i="3" s="1"/>
  <c r="BR121" i="3" s="1"/>
  <c r="BS121" i="3" s="1"/>
  <c r="BL121" i="3"/>
  <c r="BK121" i="3"/>
  <c r="BF121" i="3"/>
  <c r="BA121" i="3"/>
  <c r="BB121" i="3" s="1"/>
  <c r="AV121" i="3"/>
  <c r="AQ121" i="3"/>
  <c r="AL121" i="3"/>
  <c r="AG121" i="3"/>
  <c r="AB121" i="3"/>
  <c r="AC121" i="3" s="1"/>
  <c r="AE121" i="3" s="1"/>
  <c r="W121" i="3"/>
  <c r="X121" i="3" s="1"/>
  <c r="R121" i="3"/>
  <c r="S121" i="3" s="1"/>
  <c r="T121" i="3" s="1"/>
  <c r="M121" i="3"/>
  <c r="N121" i="3" s="1"/>
  <c r="O121" i="3" s="1"/>
  <c r="EQ118" i="3"/>
  <c r="EO118" i="3"/>
  <c r="EN118" i="3"/>
  <c r="EM118" i="3"/>
  <c r="EL118" i="3"/>
  <c r="EJ118" i="3"/>
  <c r="EI118" i="3"/>
  <c r="EH118" i="3"/>
  <c r="EG118" i="3"/>
  <c r="EE118" i="3"/>
  <c r="ED118" i="3"/>
  <c r="EC118" i="3"/>
  <c r="EB118" i="3"/>
  <c r="DZ118" i="3"/>
  <c r="DY118" i="3"/>
  <c r="DX118" i="3"/>
  <c r="DW118" i="3"/>
  <c r="DU118" i="3"/>
  <c r="DT118" i="3"/>
  <c r="DS118" i="3"/>
  <c r="DR118" i="3"/>
  <c r="DP118" i="3"/>
  <c r="DO118" i="3"/>
  <c r="DN118" i="3"/>
  <c r="DM118" i="3"/>
  <c r="DH118" i="3"/>
  <c r="DI118" i="3" s="1"/>
  <c r="DJ118" i="3" s="1"/>
  <c r="DL118" i="3" s="1"/>
  <c r="DC118" i="3"/>
  <c r="DD118" i="3" s="1"/>
  <c r="DE118" i="3" s="1"/>
  <c r="DF118" i="3" s="1"/>
  <c r="CX118" i="3"/>
  <c r="CY118" i="3" s="1"/>
  <c r="CZ118" i="3" s="1"/>
  <c r="DA118" i="3" s="1"/>
  <c r="CN118" i="3"/>
  <c r="CO118" i="3" s="1"/>
  <c r="CP118" i="3" s="1"/>
  <c r="CQ118" i="3" s="1"/>
  <c r="CI118" i="3"/>
  <c r="CD118" i="3"/>
  <c r="CE118" i="3" s="1"/>
  <c r="CF118" i="3" s="1"/>
  <c r="BY118" i="3"/>
  <c r="BZ118" i="3" s="1"/>
  <c r="CA118" i="3" s="1"/>
  <c r="CB118" i="3" s="1"/>
  <c r="BT118" i="3"/>
  <c r="BU118" i="3" s="1"/>
  <c r="BV118" i="3" s="1"/>
  <c r="BW118" i="3" s="1"/>
  <c r="BO118" i="3"/>
  <c r="BJ118" i="3"/>
  <c r="AZ118" i="3"/>
  <c r="BA118" i="3" s="1"/>
  <c r="BB118" i="3" s="1"/>
  <c r="AU118" i="3"/>
  <c r="AV118" i="3" s="1"/>
  <c r="AW118" i="3" s="1"/>
  <c r="AP118" i="3"/>
  <c r="AQ118" i="3" s="1"/>
  <c r="AR118" i="3" s="1"/>
  <c r="AK118" i="3"/>
  <c r="AF118" i="3"/>
  <c r="AA118" i="3"/>
  <c r="AB118" i="3" s="1"/>
  <c r="AC118" i="3" s="1"/>
  <c r="AE118" i="3" s="1"/>
  <c r="W118" i="3"/>
  <c r="X118" i="3" s="1"/>
  <c r="Y118" i="3" s="1"/>
  <c r="R118" i="3"/>
  <c r="N118" i="3"/>
  <c r="O118" i="3" s="1"/>
  <c r="P118" i="3" s="1"/>
  <c r="FO117" i="3"/>
  <c r="FJ117" i="3"/>
  <c r="FE117" i="3"/>
  <c r="EZ117" i="3"/>
  <c r="EU117" i="3"/>
  <c r="EP117" i="3"/>
  <c r="EK117" i="3"/>
  <c r="EF117" i="3"/>
  <c r="EA117" i="3"/>
  <c r="DV117" i="3"/>
  <c r="DQ117" i="3"/>
  <c r="DL117" i="3"/>
  <c r="DG117" i="3"/>
  <c r="DB117" i="3"/>
  <c r="CT117" i="3"/>
  <c r="CU117" i="3" s="1"/>
  <c r="CV117" i="3" s="1"/>
  <c r="CO117" i="3"/>
  <c r="CJ117" i="3"/>
  <c r="CK117" i="3" s="1"/>
  <c r="CL117" i="3" s="1"/>
  <c r="CE117" i="3"/>
  <c r="CF117" i="3" s="1"/>
  <c r="BZ117" i="3"/>
  <c r="CA117" i="3" s="1"/>
  <c r="CB117" i="3" s="1"/>
  <c r="BU117" i="3"/>
  <c r="BV117" i="3" s="1"/>
  <c r="BW117" i="3" s="1"/>
  <c r="BR117" i="3"/>
  <c r="BS117" i="3" s="1"/>
  <c r="BM117" i="3"/>
  <c r="BN117" i="3" s="1"/>
  <c r="BI117" i="3"/>
  <c r="BD117" i="3"/>
  <c r="AV117" i="3"/>
  <c r="AW117" i="3" s="1"/>
  <c r="AT117" i="3"/>
  <c r="AN117" i="3"/>
  <c r="AO117" i="3" s="1"/>
  <c r="AJ117" i="3"/>
  <c r="AB117" i="3"/>
  <c r="W117" i="3"/>
  <c r="R117" i="3"/>
  <c r="M117" i="3"/>
  <c r="FO116" i="3"/>
  <c r="FJ116" i="3"/>
  <c r="FE116" i="3"/>
  <c r="EZ116" i="3"/>
  <c r="EU116" i="3"/>
  <c r="EP116" i="3"/>
  <c r="EK116" i="3"/>
  <c r="EF116" i="3"/>
  <c r="EA116" i="3"/>
  <c r="DV116" i="3"/>
  <c r="DQ116" i="3"/>
  <c r="DL116" i="3"/>
  <c r="DG116" i="3"/>
  <c r="DB116" i="3"/>
  <c r="CW116" i="3"/>
  <c r="CR116" i="3"/>
  <c r="CM116" i="3"/>
  <c r="CH116" i="3"/>
  <c r="CC116" i="3"/>
  <c r="BX116" i="3"/>
  <c r="BS116" i="3"/>
  <c r="BN116" i="3"/>
  <c r="BI116" i="3"/>
  <c r="BD116" i="3"/>
  <c r="AY116" i="3"/>
  <c r="AQ116" i="3"/>
  <c r="AR116" i="3" s="1"/>
  <c r="AT116" i="3" s="1"/>
  <c r="AN116" i="3"/>
  <c r="AO116" i="3" s="1"/>
  <c r="AJ116" i="3"/>
  <c r="AE116" i="3"/>
  <c r="W116" i="3"/>
  <c r="R116" i="3"/>
  <c r="S116" i="3" s="1"/>
  <c r="T116" i="3" s="1"/>
  <c r="M116" i="3"/>
  <c r="FO115" i="3"/>
  <c r="FJ115" i="3"/>
  <c r="FE115" i="3"/>
  <c r="EZ115" i="3"/>
  <c r="EU115" i="3"/>
  <c r="EP115" i="3"/>
  <c r="EK115" i="3"/>
  <c r="EF115" i="3"/>
  <c r="EA115" i="3"/>
  <c r="DV115" i="3"/>
  <c r="DQ115" i="3"/>
  <c r="DI115" i="3"/>
  <c r="DD115" i="3"/>
  <c r="CY115" i="3"/>
  <c r="CZ115" i="3" s="1"/>
  <c r="DA115" i="3" s="1"/>
  <c r="DB115" i="3" s="1"/>
  <c r="CT115" i="3"/>
  <c r="CO115" i="3"/>
  <c r="CJ115" i="3"/>
  <c r="CK115" i="3" s="1"/>
  <c r="CL115" i="3" s="1"/>
  <c r="CM115" i="3" s="1"/>
  <c r="CE115" i="3"/>
  <c r="CF115" i="3" s="1"/>
  <c r="CG115" i="3" s="1"/>
  <c r="BZ115" i="3"/>
  <c r="BU115" i="3"/>
  <c r="BV115" i="3" s="1"/>
  <c r="BW115" i="3" s="1"/>
  <c r="BX115" i="3" s="1"/>
  <c r="BQ115" i="3"/>
  <c r="BK115" i="3"/>
  <c r="BF115" i="3"/>
  <c r="BC115" i="3"/>
  <c r="BD115" i="3" s="1"/>
  <c r="AV115" i="3"/>
  <c r="AT115" i="3"/>
  <c r="AN115" i="3"/>
  <c r="AO115" i="3" s="1"/>
  <c r="AH115" i="3"/>
  <c r="AJ115" i="3" s="1"/>
  <c r="AB115" i="3"/>
  <c r="W115" i="3"/>
  <c r="X115" i="3" s="1"/>
  <c r="Y115" i="3" s="1"/>
  <c r="U115" i="3"/>
  <c r="P115" i="3"/>
  <c r="EP114" i="3"/>
  <c r="EK114" i="3"/>
  <c r="EF114" i="3"/>
  <c r="EA114" i="3"/>
  <c r="DV114" i="3"/>
  <c r="DQ114" i="3"/>
  <c r="DH114" i="3"/>
  <c r="DD114" i="3"/>
  <c r="CY114" i="3"/>
  <c r="CU114" i="3"/>
  <c r="CT114" i="3"/>
  <c r="CS114" i="3"/>
  <c r="CO114" i="3"/>
  <c r="CI114" i="3"/>
  <c r="BY114" i="3"/>
  <c r="BW114" i="3"/>
  <c r="BV114" i="3"/>
  <c r="BT114" i="3"/>
  <c r="BR114" i="3"/>
  <c r="BS114" i="3" s="1"/>
  <c r="BL114" i="3"/>
  <c r="BK114" i="3"/>
  <c r="BF114" i="3"/>
  <c r="BA114" i="3"/>
  <c r="BA11" i="3" s="1"/>
  <c r="AV114" i="3"/>
  <c r="AV11" i="3" s="1"/>
  <c r="AV10" i="3" s="1"/>
  <c r="AV71" i="3" s="1"/>
  <c r="AK114" i="3"/>
  <c r="AF114" i="3"/>
  <c r="AC114" i="3"/>
  <c r="AA114" i="3"/>
  <c r="Y114" i="3"/>
  <c r="X114" i="3"/>
  <c r="W114" i="3"/>
  <c r="V114" i="3"/>
  <c r="O114" i="3"/>
  <c r="N114" i="3"/>
  <c r="M114" i="3"/>
  <c r="L114" i="3"/>
  <c r="EP102" i="3"/>
  <c r="EK102" i="3"/>
  <c r="EF102" i="3"/>
  <c r="EA102" i="3"/>
  <c r="DV102" i="3"/>
  <c r="DQ102" i="3"/>
  <c r="DL102" i="3"/>
  <c r="DG102" i="3"/>
  <c r="DB102" i="3"/>
  <c r="CZ102" i="3"/>
  <c r="CZ309" i="3" s="1"/>
  <c r="CX102" i="3"/>
  <c r="CX309" i="3" s="1"/>
  <c r="CW102" i="3"/>
  <c r="CR102" i="3"/>
  <c r="CM102" i="3"/>
  <c r="CH102" i="3"/>
  <c r="CC102" i="3"/>
  <c r="BX102" i="3"/>
  <c r="BS102" i="3"/>
  <c r="BN102" i="3"/>
  <c r="BI102" i="3"/>
  <c r="BD102" i="3"/>
  <c r="AY102" i="3"/>
  <c r="AT102" i="3"/>
  <c r="AO102" i="3"/>
  <c r="AJ102" i="3"/>
  <c r="AE102" i="3"/>
  <c r="Z102" i="3"/>
  <c r="U102" i="3"/>
  <c r="P102" i="3"/>
  <c r="EQ98" i="3"/>
  <c r="ER98" i="3" s="1"/>
  <c r="ES98" i="3" s="1"/>
  <c r="ET98" i="3" s="1"/>
  <c r="EO98" i="3"/>
  <c r="EP98" i="3" s="1"/>
  <c r="EN98" i="3"/>
  <c r="EM98" i="3"/>
  <c r="EL98" i="3"/>
  <c r="EJ98" i="3"/>
  <c r="EK98" i="3" s="1"/>
  <c r="EI98" i="3"/>
  <c r="EH98" i="3"/>
  <c r="EG98" i="3"/>
  <c r="EE98" i="3"/>
  <c r="EF98" i="3" s="1"/>
  <c r="ED98" i="3"/>
  <c r="EC98" i="3"/>
  <c r="EB98" i="3"/>
  <c r="DZ98" i="3"/>
  <c r="EA98" i="3" s="1"/>
  <c r="DY98" i="3"/>
  <c r="DX98" i="3"/>
  <c r="DW98" i="3"/>
  <c r="DU98" i="3"/>
  <c r="DV98" i="3" s="1"/>
  <c r="DT98" i="3"/>
  <c r="DS98" i="3"/>
  <c r="DR98" i="3"/>
  <c r="DP98" i="3"/>
  <c r="DQ98" i="3" s="1"/>
  <c r="DO98" i="3"/>
  <c r="DN98" i="3"/>
  <c r="DM98" i="3"/>
  <c r="DK98" i="3"/>
  <c r="DL98" i="3" s="1"/>
  <c r="DJ98" i="3"/>
  <c r="DI98" i="3"/>
  <c r="DH98" i="3"/>
  <c r="DG98" i="3"/>
  <c r="DB98" i="3"/>
  <c r="CZ98" i="3"/>
  <c r="CY98" i="3"/>
  <c r="CX98" i="3"/>
  <c r="CV98" i="3"/>
  <c r="CW98" i="3" s="1"/>
  <c r="CU98" i="3"/>
  <c r="CT98" i="3"/>
  <c r="CS98" i="3"/>
  <c r="CQ98" i="3"/>
  <c r="CR98" i="3" s="1"/>
  <c r="CP98" i="3"/>
  <c r="CO98" i="3"/>
  <c r="CN98" i="3"/>
  <c r="CL98" i="3"/>
  <c r="CM98" i="3" s="1"/>
  <c r="CK98" i="3"/>
  <c r="CJ98" i="3"/>
  <c r="CI98" i="3"/>
  <c r="CG98" i="3"/>
  <c r="CH98" i="3" s="1"/>
  <c r="CF98" i="3"/>
  <c r="CE98" i="3"/>
  <c r="CD98" i="3"/>
  <c r="CB98" i="3"/>
  <c r="CC98" i="3" s="1"/>
  <c r="CA98" i="3"/>
  <c r="BZ98" i="3"/>
  <c r="BY98" i="3"/>
  <c r="BW98" i="3"/>
  <c r="BX98" i="3" s="1"/>
  <c r="BV98" i="3"/>
  <c r="BU98" i="3"/>
  <c r="BT98" i="3"/>
  <c r="BR98" i="3"/>
  <c r="BS98" i="3" s="1"/>
  <c r="BQ98" i="3"/>
  <c r="BP98" i="3"/>
  <c r="BO98" i="3"/>
  <c r="BM98" i="3"/>
  <c r="BN98" i="3" s="1"/>
  <c r="BL98" i="3"/>
  <c r="BK98" i="3"/>
  <c r="BJ98" i="3"/>
  <c r="BH98" i="3"/>
  <c r="BI98" i="3" s="1"/>
  <c r="BD98" i="3"/>
  <c r="AY98" i="3"/>
  <c r="AW98" i="3"/>
  <c r="AT98" i="3"/>
  <c r="AQ98" i="3"/>
  <c r="AP98" i="3"/>
  <c r="AN98" i="3"/>
  <c r="AO98" i="3" s="1"/>
  <c r="AM98" i="3"/>
  <c r="AJ98" i="3"/>
  <c r="AE98" i="3"/>
  <c r="Z98" i="3"/>
  <c r="U98" i="3"/>
  <c r="P98" i="3"/>
  <c r="ER97" i="3"/>
  <c r="ES97" i="3" s="1"/>
  <c r="ET97" i="3" s="1"/>
  <c r="EP97" i="3"/>
  <c r="EK97" i="3"/>
  <c r="EF97" i="3"/>
  <c r="EA97" i="3"/>
  <c r="DV97" i="3"/>
  <c r="DQ97" i="3"/>
  <c r="DL97" i="3"/>
  <c r="DG97" i="3"/>
  <c r="DB97" i="3"/>
  <c r="CX97" i="3"/>
  <c r="CW97" i="3"/>
  <c r="AX97" i="3"/>
  <c r="AZ97" i="3" s="1"/>
  <c r="BA97" i="3" s="1"/>
  <c r="BB97" i="3" s="1"/>
  <c r="BC97" i="3" s="1"/>
  <c r="AT97" i="3"/>
  <c r="AO97" i="3"/>
  <c r="AJ97" i="3"/>
  <c r="AH97" i="3"/>
  <c r="AE97" i="3"/>
  <c r="Z97" i="3"/>
  <c r="U97" i="3"/>
  <c r="P97" i="3"/>
  <c r="DJ96" i="3"/>
  <c r="DK96" i="3" s="1"/>
  <c r="DL96" i="3" s="1"/>
  <c r="DH96" i="3"/>
  <c r="DG96" i="3"/>
  <c r="DB96" i="3"/>
  <c r="CY96" i="3"/>
  <c r="CX96" i="3"/>
  <c r="CV96" i="3"/>
  <c r="CW96" i="3" s="1"/>
  <c r="CU96" i="3"/>
  <c r="CT96" i="3"/>
  <c r="CS96" i="3"/>
  <c r="CQ96" i="3"/>
  <c r="CR96" i="3" s="1"/>
  <c r="CM96" i="3"/>
  <c r="CH96" i="3"/>
  <c r="AV96" i="3"/>
  <c r="AT96" i="3"/>
  <c r="AO96" i="3"/>
  <c r="AJ96" i="3"/>
  <c r="AE96" i="3"/>
  <c r="Z96" i="3"/>
  <c r="U96" i="3"/>
  <c r="P96" i="3"/>
  <c r="DJ95" i="3"/>
  <c r="DK95" i="3" s="1"/>
  <c r="DH95" i="3"/>
  <c r="DG95" i="3"/>
  <c r="DB95" i="3"/>
  <c r="AV95" i="3"/>
  <c r="AW95" i="3" s="1"/>
  <c r="AX95" i="3" s="1"/>
  <c r="AT95" i="3"/>
  <c r="AO95" i="3"/>
  <c r="AM95" i="3"/>
  <c r="AJ95" i="3"/>
  <c r="AE95" i="3"/>
  <c r="Z95" i="3"/>
  <c r="U95" i="3"/>
  <c r="P95" i="3"/>
  <c r="DI93" i="3"/>
  <c r="DF93" i="3"/>
  <c r="DF100" i="3" s="1"/>
  <c r="DE93" i="3"/>
  <c r="DE100" i="3" s="1"/>
  <c r="DE104" i="3" s="1"/>
  <c r="CZ93" i="3"/>
  <c r="CY93" i="3"/>
  <c r="CF93" i="3"/>
  <c r="CA93" i="3"/>
  <c r="BV93" i="3"/>
  <c r="BQ93" i="3"/>
  <c r="BL93" i="3"/>
  <c r="BG93" i="3"/>
  <c r="BB93" i="3"/>
  <c r="AW93" i="3"/>
  <c r="AV93" i="3"/>
  <c r="AU93" i="3"/>
  <c r="AU100" i="3" s="1"/>
  <c r="AU104" i="3" s="1"/>
  <c r="AS93" i="3"/>
  <c r="AR93" i="3"/>
  <c r="AR100" i="3" s="1"/>
  <c r="AR104" i="3" s="1"/>
  <c r="AQ93" i="3"/>
  <c r="AN93" i="3"/>
  <c r="AM93" i="3"/>
  <c r="AL93" i="3"/>
  <c r="AL100" i="3" s="1"/>
  <c r="AL104" i="3" s="1"/>
  <c r="AK93" i="3"/>
  <c r="AK100" i="3" s="1"/>
  <c r="AK104" i="3" s="1"/>
  <c r="AI93" i="3"/>
  <c r="AH93" i="3"/>
  <c r="AG93" i="3"/>
  <c r="AG100" i="3" s="1"/>
  <c r="AG104" i="3" s="1"/>
  <c r="AB93" i="3"/>
  <c r="AB100" i="3" s="1"/>
  <c r="AB104" i="3" s="1"/>
  <c r="AA93" i="3"/>
  <c r="AA100" i="3" s="1"/>
  <c r="AA104" i="3" s="1"/>
  <c r="Y93" i="3"/>
  <c r="Z93" i="3" s="1"/>
  <c r="X93" i="3"/>
  <c r="X100" i="3" s="1"/>
  <c r="X104" i="3" s="1"/>
  <c r="W93" i="3"/>
  <c r="W100" i="3" s="1"/>
  <c r="W104" i="3" s="1"/>
  <c r="V93" i="3"/>
  <c r="V100" i="3" s="1"/>
  <c r="V104" i="3" s="1"/>
  <c r="T93" i="3"/>
  <c r="T100" i="3" s="1"/>
  <c r="U100" i="3" s="1"/>
  <c r="S93" i="3"/>
  <c r="S100" i="3" s="1"/>
  <c r="S104" i="3" s="1"/>
  <c r="R93" i="3"/>
  <c r="R100" i="3" s="1"/>
  <c r="R104" i="3" s="1"/>
  <c r="Q93" i="3"/>
  <c r="Q100" i="3" s="1"/>
  <c r="Q104" i="3" s="1"/>
  <c r="O93" i="3"/>
  <c r="N93" i="3"/>
  <c r="N100" i="3" s="1"/>
  <c r="N104" i="3" s="1"/>
  <c r="M93" i="3"/>
  <c r="M100" i="3" s="1"/>
  <c r="M104" i="3" s="1"/>
  <c r="L93" i="3"/>
  <c r="L100" i="3" s="1"/>
  <c r="L104" i="3" s="1"/>
  <c r="ER92" i="3"/>
  <c r="ES92" i="3" s="1"/>
  <c r="ET92" i="3" s="1"/>
  <c r="EU92" i="3" s="1"/>
  <c r="EP92" i="3"/>
  <c r="EK92" i="3"/>
  <c r="EF92" i="3"/>
  <c r="EA92" i="3"/>
  <c r="DV92" i="3"/>
  <c r="DQ92" i="3"/>
  <c r="DL92" i="3"/>
  <c r="DG92" i="3"/>
  <c r="DD92" i="3"/>
  <c r="DD93" i="3" s="1"/>
  <c r="DD100" i="3" s="1"/>
  <c r="DD104" i="3" s="1"/>
  <c r="DC92" i="3"/>
  <c r="DA92" i="3"/>
  <c r="CX92" i="3"/>
  <c r="CX93" i="3" s="1"/>
  <c r="CW92" i="3"/>
  <c r="CR92" i="3"/>
  <c r="CM92" i="3"/>
  <c r="CH92" i="3"/>
  <c r="CC92" i="3"/>
  <c r="BX92" i="3"/>
  <c r="BS92" i="3"/>
  <c r="BN92" i="3"/>
  <c r="BI92" i="3"/>
  <c r="BD92" i="3"/>
  <c r="AY92" i="3"/>
  <c r="AT92" i="3"/>
  <c r="AO92" i="3"/>
  <c r="AJ92" i="3"/>
  <c r="AF92" i="3"/>
  <c r="AF93" i="3" s="1"/>
  <c r="AF100" i="3" s="1"/>
  <c r="AF104" i="3" s="1"/>
  <c r="AD92" i="3"/>
  <c r="AC92" i="3"/>
  <c r="AC93" i="3" s="1"/>
  <c r="AC100" i="3" s="1"/>
  <c r="AC104" i="3" s="1"/>
  <c r="Z92" i="3"/>
  <c r="U92" i="3"/>
  <c r="P92" i="3"/>
  <c r="ER91" i="3"/>
  <c r="ES91" i="3" s="1"/>
  <c r="ET91" i="3" s="1"/>
  <c r="EP91" i="3"/>
  <c r="EK91" i="3"/>
  <c r="EF91" i="3"/>
  <c r="EA91" i="3"/>
  <c r="DV91" i="3"/>
  <c r="DQ91" i="3"/>
  <c r="DJ91" i="3"/>
  <c r="DK91" i="3" s="1"/>
  <c r="DH91" i="3"/>
  <c r="DG91" i="3"/>
  <c r="DB91" i="3"/>
  <c r="CW91" i="3"/>
  <c r="CK91" i="3"/>
  <c r="CH91" i="3"/>
  <c r="CD91" i="3"/>
  <c r="CE91" i="3" s="1"/>
  <c r="CC91" i="3"/>
  <c r="BY91" i="3"/>
  <c r="BZ91" i="3" s="1"/>
  <c r="BX91" i="3"/>
  <c r="BU91" i="3"/>
  <c r="BS91" i="3"/>
  <c r="BP91" i="3"/>
  <c r="BN91" i="3"/>
  <c r="BK91" i="3"/>
  <c r="BI91" i="3"/>
  <c r="BF91" i="3"/>
  <c r="BD91" i="3"/>
  <c r="AX91" i="3"/>
  <c r="AT91" i="3"/>
  <c r="AP91" i="3"/>
  <c r="AP93" i="3" s="1"/>
  <c r="AO91" i="3"/>
  <c r="AJ91" i="3"/>
  <c r="AE91" i="3"/>
  <c r="Z91" i="3"/>
  <c r="U91" i="3"/>
  <c r="P91" i="3"/>
  <c r="EP89" i="3"/>
  <c r="EK89" i="3"/>
  <c r="EF89" i="3"/>
  <c r="EA89" i="3"/>
  <c r="DV89" i="3"/>
  <c r="DQ89" i="3"/>
  <c r="DL89" i="3"/>
  <c r="DG89" i="3"/>
  <c r="DB89" i="3"/>
  <c r="CW89" i="3"/>
  <c r="CR89" i="3"/>
  <c r="CM89" i="3"/>
  <c r="CH89" i="3"/>
  <c r="CC89" i="3"/>
  <c r="BX89" i="3"/>
  <c r="BS89" i="3"/>
  <c r="BN89" i="3"/>
  <c r="BI89" i="3"/>
  <c r="BD89" i="3"/>
  <c r="AY89" i="3"/>
  <c r="AT89" i="3"/>
  <c r="AO89" i="3"/>
  <c r="AJ89" i="3"/>
  <c r="AE89" i="3"/>
  <c r="Z89" i="3"/>
  <c r="U89" i="3"/>
  <c r="P89" i="3"/>
  <c r="DJ88" i="3"/>
  <c r="DH88" i="3"/>
  <c r="DG88" i="3"/>
  <c r="DC88" i="3"/>
  <c r="DB88" i="3"/>
  <c r="CG88" i="3"/>
  <c r="CG93" i="3" s="1"/>
  <c r="CH93" i="3" s="1"/>
  <c r="CB88" i="3"/>
  <c r="CC88" i="3" s="1"/>
  <c r="BW88" i="3"/>
  <c r="BR88" i="3"/>
  <c r="BS88" i="3" s="1"/>
  <c r="BM88" i="3"/>
  <c r="BN88" i="3" s="1"/>
  <c r="BH88" i="3"/>
  <c r="BI88" i="3" s="1"/>
  <c r="BC88" i="3"/>
  <c r="AZ88" i="3"/>
  <c r="BA88" i="3" s="1"/>
  <c r="AY88" i="3"/>
  <c r="AT88" i="3"/>
  <c r="AO88" i="3"/>
  <c r="AJ88" i="3"/>
  <c r="AE88" i="3"/>
  <c r="Z88" i="3"/>
  <c r="U88" i="3"/>
  <c r="P88" i="3"/>
  <c r="AD84" i="3"/>
  <c r="AE84" i="3" s="1"/>
  <c r="AC84" i="3"/>
  <c r="Z84" i="3"/>
  <c r="U84" i="3"/>
  <c r="P84" i="3"/>
  <c r="EQ83" i="3"/>
  <c r="ER83" i="3" s="1"/>
  <c r="ES83" i="3" s="1"/>
  <c r="ET83" i="3" s="1"/>
  <c r="EO83" i="3"/>
  <c r="EP83" i="3" s="1"/>
  <c r="EN83" i="3"/>
  <c r="EM83" i="3"/>
  <c r="EL83" i="3"/>
  <c r="EJ83" i="3"/>
  <c r="EK83" i="3" s="1"/>
  <c r="EI83" i="3"/>
  <c r="EH83" i="3"/>
  <c r="EG83" i="3"/>
  <c r="EE83" i="3"/>
  <c r="EF83" i="3" s="1"/>
  <c r="ED83" i="3"/>
  <c r="EC83" i="3"/>
  <c r="EB83" i="3"/>
  <c r="DZ83" i="3"/>
  <c r="EA83" i="3" s="1"/>
  <c r="DY83" i="3"/>
  <c r="DX83" i="3"/>
  <c r="DW83" i="3"/>
  <c r="DU83" i="3"/>
  <c r="DV83" i="3" s="1"/>
  <c r="DT83" i="3"/>
  <c r="DS83" i="3"/>
  <c r="DR83" i="3"/>
  <c r="DP83" i="3"/>
  <c r="DQ83" i="3" s="1"/>
  <c r="DO83" i="3"/>
  <c r="DN83" i="3"/>
  <c r="DM83" i="3"/>
  <c r="DK83" i="3"/>
  <c r="DL83" i="3" s="1"/>
  <c r="DJ83" i="3"/>
  <c r="DI83" i="3"/>
  <c r="DI84" i="3" s="1"/>
  <c r="DH83" i="3"/>
  <c r="DF83" i="3"/>
  <c r="DG83" i="3" s="1"/>
  <c r="DE83" i="3"/>
  <c r="DD83" i="3"/>
  <c r="DC83" i="3"/>
  <c r="DA83" i="3"/>
  <c r="DB83" i="3" s="1"/>
  <c r="CZ83" i="3"/>
  <c r="CY83" i="3"/>
  <c r="CX83" i="3"/>
  <c r="CX84" i="3" s="1"/>
  <c r="CV83" i="3"/>
  <c r="CW83" i="3" s="1"/>
  <c r="CU83" i="3"/>
  <c r="CT83" i="3"/>
  <c r="CS83" i="3"/>
  <c r="CQ83" i="3"/>
  <c r="CR83" i="3" s="1"/>
  <c r="CP83" i="3"/>
  <c r="CO83" i="3"/>
  <c r="CN83" i="3"/>
  <c r="CL83" i="3"/>
  <c r="CM83" i="3" s="1"/>
  <c r="CK83" i="3"/>
  <c r="CJ83" i="3"/>
  <c r="CI83" i="3"/>
  <c r="CG83" i="3"/>
  <c r="CH83" i="3" s="1"/>
  <c r="CF83" i="3"/>
  <c r="CE83" i="3"/>
  <c r="CD83" i="3"/>
  <c r="CB83" i="3"/>
  <c r="CC83" i="3" s="1"/>
  <c r="CA83" i="3"/>
  <c r="BZ83" i="3"/>
  <c r="BZ84" i="3" s="1"/>
  <c r="BY83" i="3"/>
  <c r="BW83" i="3"/>
  <c r="BV83" i="3"/>
  <c r="BU83" i="3"/>
  <c r="BU84" i="3" s="1"/>
  <c r="BT83" i="3"/>
  <c r="BR83" i="3"/>
  <c r="BS83" i="3" s="1"/>
  <c r="BQ83" i="3"/>
  <c r="BP83" i="3"/>
  <c r="BP84" i="3" s="1"/>
  <c r="BO83" i="3"/>
  <c r="BM83" i="3"/>
  <c r="BN83" i="3" s="1"/>
  <c r="BL83" i="3"/>
  <c r="BK83" i="3"/>
  <c r="BK84" i="3" s="1"/>
  <c r="BJ83" i="3"/>
  <c r="BH83" i="3"/>
  <c r="BI83" i="3" s="1"/>
  <c r="BG83" i="3"/>
  <c r="BF83" i="3"/>
  <c r="BF84" i="3" s="1"/>
  <c r="BE83" i="3"/>
  <c r="BC83" i="3"/>
  <c r="BB83" i="3"/>
  <c r="BA83" i="3"/>
  <c r="BA84" i="3" s="1"/>
  <c r="AZ83" i="3"/>
  <c r="AZ84" i="3" s="1"/>
  <c r="AX83" i="3"/>
  <c r="AX84" i="3" s="1"/>
  <c r="AY84" i="3" s="1"/>
  <c r="AW83" i="3"/>
  <c r="AW84" i="3" s="1"/>
  <c r="AV83" i="3"/>
  <c r="AV84" i="3" s="1"/>
  <c r="AU83" i="3"/>
  <c r="AU84" i="3" s="1"/>
  <c r="AS83" i="3"/>
  <c r="AT83" i="3" s="1"/>
  <c r="AR83" i="3"/>
  <c r="AR84" i="3" s="1"/>
  <c r="AQ83" i="3"/>
  <c r="AQ84" i="3" s="1"/>
  <c r="AP83" i="3"/>
  <c r="AN83" i="3"/>
  <c r="AO83" i="3" s="1"/>
  <c r="AL83" i="3"/>
  <c r="AL84" i="3" s="1"/>
  <c r="AK83" i="3"/>
  <c r="AK84" i="3" s="1"/>
  <c r="AI83" i="3"/>
  <c r="AH83" i="3"/>
  <c r="AH84" i="3" s="1"/>
  <c r="AG83" i="3"/>
  <c r="AG84" i="3" s="1"/>
  <c r="AF83" i="3"/>
  <c r="AF84" i="3" s="1"/>
  <c r="AE83" i="3"/>
  <c r="Z83" i="3"/>
  <c r="U83" i="3"/>
  <c r="P83" i="3"/>
  <c r="DJ82" i="3"/>
  <c r="DK82" i="3" s="1"/>
  <c r="CY82" i="3"/>
  <c r="CZ82" i="3" s="1"/>
  <c r="CA82" i="3"/>
  <c r="BV82" i="3"/>
  <c r="BQ82" i="3"/>
  <c r="BR82" i="3" s="1"/>
  <c r="BS82" i="3" s="1"/>
  <c r="BL82" i="3"/>
  <c r="BG82" i="3"/>
  <c r="BH82" i="3" s="1"/>
  <c r="BJ82" i="3" s="1"/>
  <c r="BB82" i="3"/>
  <c r="AY82" i="3"/>
  <c r="AT82" i="3"/>
  <c r="AM82" i="3"/>
  <c r="AM84" i="3" s="1"/>
  <c r="AJ82" i="3"/>
  <c r="AE82" i="3"/>
  <c r="Z82" i="3"/>
  <c r="U82" i="3"/>
  <c r="P82" i="3"/>
  <c r="DJ81" i="3"/>
  <c r="DK81" i="3" s="1"/>
  <c r="DC81" i="3"/>
  <c r="DB81" i="3"/>
  <c r="CW81" i="3"/>
  <c r="CR81" i="3"/>
  <c r="CM81" i="3"/>
  <c r="CH81" i="3"/>
  <c r="CC81" i="3"/>
  <c r="BX81" i="3"/>
  <c r="BS81" i="3"/>
  <c r="BN81" i="3"/>
  <c r="BI81" i="3"/>
  <c r="BD81" i="3"/>
  <c r="AY81" i="3"/>
  <c r="AT81" i="3"/>
  <c r="AO81" i="3"/>
  <c r="AJ81" i="3"/>
  <c r="AE81" i="3"/>
  <c r="Z81" i="3"/>
  <c r="U81" i="3"/>
  <c r="P81" i="3"/>
  <c r="EP78" i="3"/>
  <c r="EK78" i="3"/>
  <c r="EF78" i="3"/>
  <c r="EA78" i="3"/>
  <c r="DV78" i="3"/>
  <c r="DQ78" i="3"/>
  <c r="DL78" i="3"/>
  <c r="DG78" i="3"/>
  <c r="DB78" i="3"/>
  <c r="CW78" i="3"/>
  <c r="CR78" i="3"/>
  <c r="CM78" i="3"/>
  <c r="CH78" i="3"/>
  <c r="CC78" i="3"/>
  <c r="BX78" i="3"/>
  <c r="BS78" i="3"/>
  <c r="BN78" i="3"/>
  <c r="BI78" i="3"/>
  <c r="BD78" i="3"/>
  <c r="AY78" i="3"/>
  <c r="AT78" i="3"/>
  <c r="AN78" i="3"/>
  <c r="AO78" i="3" s="1"/>
  <c r="AM78" i="3"/>
  <c r="AL78" i="3"/>
  <c r="AI78" i="3"/>
  <c r="AJ78" i="3" s="1"/>
  <c r="AD78" i="3"/>
  <c r="AE78" i="3" s="1"/>
  <c r="Z78" i="3"/>
  <c r="U78" i="3"/>
  <c r="P78" i="3"/>
  <c r="AT77" i="3"/>
  <c r="AP77" i="3"/>
  <c r="AP76" i="3" s="1"/>
  <c r="AO77" i="3"/>
  <c r="AJ77" i="3"/>
  <c r="AF77" i="3"/>
  <c r="AE77" i="3"/>
  <c r="AG77" i="3" s="1"/>
  <c r="AG76" i="3" s="1"/>
  <c r="Z77" i="3"/>
  <c r="U77" i="3"/>
  <c r="P77" i="3"/>
  <c r="AS76" i="3"/>
  <c r="AT76" i="3" s="1"/>
  <c r="AO76" i="3"/>
  <c r="AJ76" i="3"/>
  <c r="AE76" i="3"/>
  <c r="AA76" i="3"/>
  <c r="Y76" i="3"/>
  <c r="Z76" i="3" s="1"/>
  <c r="X76" i="3"/>
  <c r="W76" i="3"/>
  <c r="V76" i="3"/>
  <c r="T76" i="3"/>
  <c r="U76" i="3" s="1"/>
  <c r="S76" i="3"/>
  <c r="R76" i="3"/>
  <c r="Q76" i="3"/>
  <c r="O76" i="3"/>
  <c r="P76" i="3" s="1"/>
  <c r="N76" i="3"/>
  <c r="M76" i="3"/>
  <c r="L76" i="3"/>
  <c r="CF74" i="3"/>
  <c r="CE74" i="3"/>
  <c r="CA74" i="3"/>
  <c r="BV74" i="3"/>
  <c r="BG74" i="3"/>
  <c r="AM74" i="3"/>
  <c r="AB74" i="3"/>
  <c r="AB86" i="3" s="1"/>
  <c r="AA74" i="3"/>
  <c r="AA86" i="3" s="1"/>
  <c r="X74" i="3"/>
  <c r="X86" i="3" s="1"/>
  <c r="W74" i="3"/>
  <c r="W86" i="3" s="1"/>
  <c r="V74" i="3"/>
  <c r="V86" i="3" s="1"/>
  <c r="T74" i="3"/>
  <c r="S74" i="3"/>
  <c r="S86" i="3" s="1"/>
  <c r="R74" i="3"/>
  <c r="R86" i="3" s="1"/>
  <c r="Q74" i="3"/>
  <c r="Q86" i="3" s="1"/>
  <c r="O74" i="3"/>
  <c r="N74" i="3"/>
  <c r="N86" i="3" s="1"/>
  <c r="M74" i="3"/>
  <c r="M86" i="3" s="1"/>
  <c r="L74" i="3"/>
  <c r="L86" i="3" s="1"/>
  <c r="ER72" i="3"/>
  <c r="ES72" i="3" s="1"/>
  <c r="ET72" i="3" s="1"/>
  <c r="EP72" i="3"/>
  <c r="EK72" i="3"/>
  <c r="EF72" i="3"/>
  <c r="EA72" i="3"/>
  <c r="DV72" i="3"/>
  <c r="DQ72" i="3"/>
  <c r="DL72" i="3"/>
  <c r="DG72" i="3"/>
  <c r="DB72" i="3"/>
  <c r="CW72" i="3"/>
  <c r="CR72" i="3"/>
  <c r="CP72" i="3"/>
  <c r="CM72" i="3"/>
  <c r="CJ72" i="3"/>
  <c r="CI72" i="3"/>
  <c r="CH72" i="3"/>
  <c r="CC72" i="3"/>
  <c r="BX72" i="3"/>
  <c r="BS72" i="3"/>
  <c r="BN72" i="3"/>
  <c r="BI72" i="3"/>
  <c r="BD72" i="3"/>
  <c r="AX72" i="3"/>
  <c r="AY72" i="3" s="1"/>
  <c r="AW72" i="3"/>
  <c r="AW74" i="3" s="1"/>
  <c r="AV72" i="3"/>
  <c r="AU72" i="3"/>
  <c r="AS72" i="3"/>
  <c r="AS74" i="3" s="1"/>
  <c r="AT74" i="3" s="1"/>
  <c r="AR72" i="3"/>
  <c r="AQ72" i="3"/>
  <c r="AQ74" i="3" s="1"/>
  <c r="AP72" i="3"/>
  <c r="AP74" i="3" s="1"/>
  <c r="AN72" i="3"/>
  <c r="AL72" i="3"/>
  <c r="AL74" i="3" s="1"/>
  <c r="AK72" i="3"/>
  <c r="AK74" i="3" s="1"/>
  <c r="AI72" i="3"/>
  <c r="AJ72" i="3" s="1"/>
  <c r="AH72" i="3"/>
  <c r="AH74" i="3" s="1"/>
  <c r="AG72" i="3"/>
  <c r="AG74" i="3" s="1"/>
  <c r="AF72" i="3"/>
  <c r="AF74" i="3" s="1"/>
  <c r="AD72" i="3"/>
  <c r="AD74" i="3" s="1"/>
  <c r="AE74" i="3" s="1"/>
  <c r="AC72" i="3"/>
  <c r="AC74" i="3" s="1"/>
  <c r="Y72" i="3"/>
  <c r="U72" i="3"/>
  <c r="P72" i="3"/>
  <c r="BG71" i="3"/>
  <c r="EP67" i="3"/>
  <c r="EK67" i="3"/>
  <c r="EF67" i="3"/>
  <c r="EA67" i="3"/>
  <c r="DV67" i="3"/>
  <c r="DQ67" i="3"/>
  <c r="DL67" i="3"/>
  <c r="DG67" i="3"/>
  <c r="DB67" i="3"/>
  <c r="CW67" i="3"/>
  <c r="CR67" i="3"/>
  <c r="CM67" i="3"/>
  <c r="CH67" i="3"/>
  <c r="CC67" i="3"/>
  <c r="BX67" i="3"/>
  <c r="BS67" i="3"/>
  <c r="BN67" i="3"/>
  <c r="BI67" i="3"/>
  <c r="BD67" i="3"/>
  <c r="AY67" i="3"/>
  <c r="AT67" i="3"/>
  <c r="AO67" i="3"/>
  <c r="AJ67" i="3"/>
  <c r="AE67" i="3"/>
  <c r="Z67" i="3"/>
  <c r="U67" i="3"/>
  <c r="P67" i="3"/>
  <c r="EQ66" i="3"/>
  <c r="EO66" i="3"/>
  <c r="EN66" i="3"/>
  <c r="EM66" i="3"/>
  <c r="EL66" i="3"/>
  <c r="EJ66" i="3"/>
  <c r="EI66" i="3"/>
  <c r="EH66" i="3"/>
  <c r="EG66" i="3"/>
  <c r="EE66" i="3"/>
  <c r="ED66" i="3"/>
  <c r="EC66" i="3"/>
  <c r="EB66" i="3"/>
  <c r="DZ66" i="3"/>
  <c r="DY66" i="3"/>
  <c r="DX66" i="3"/>
  <c r="DW66" i="3"/>
  <c r="DU66" i="3"/>
  <c r="DT66" i="3"/>
  <c r="DS66" i="3"/>
  <c r="DR66" i="3"/>
  <c r="DP66" i="3"/>
  <c r="DO66" i="3"/>
  <c r="DN66" i="3"/>
  <c r="DM66" i="3"/>
  <c r="DK66" i="3"/>
  <c r="DJ66" i="3"/>
  <c r="DI66" i="3"/>
  <c r="DH66" i="3"/>
  <c r="DF66" i="3"/>
  <c r="DE66" i="3"/>
  <c r="DD66" i="3"/>
  <c r="DC66" i="3"/>
  <c r="DA66" i="3"/>
  <c r="CZ66" i="3"/>
  <c r="CY66" i="3"/>
  <c r="CX66" i="3"/>
  <c r="CV66" i="3"/>
  <c r="CU66" i="3"/>
  <c r="CT66" i="3"/>
  <c r="CS66" i="3"/>
  <c r="CL66" i="3"/>
  <c r="CK66" i="3"/>
  <c r="CJ66" i="3"/>
  <c r="CI66" i="3"/>
  <c r="CG66" i="3"/>
  <c r="CF66" i="3"/>
  <c r="CE66" i="3"/>
  <c r="CD66" i="3"/>
  <c r="CB66" i="3"/>
  <c r="CA66" i="3"/>
  <c r="BZ66" i="3"/>
  <c r="BY66" i="3"/>
  <c r="BW66" i="3"/>
  <c r="BV66" i="3"/>
  <c r="BU66" i="3"/>
  <c r="BT66" i="3"/>
  <c r="BR66" i="3"/>
  <c r="BQ66" i="3"/>
  <c r="BP66" i="3"/>
  <c r="BO66" i="3"/>
  <c r="BM66" i="3"/>
  <c r="BL66" i="3"/>
  <c r="BK66" i="3"/>
  <c r="BJ66" i="3"/>
  <c r="BH66" i="3"/>
  <c r="BG66" i="3"/>
  <c r="BF66" i="3"/>
  <c r="BE66" i="3"/>
  <c r="BC66" i="3"/>
  <c r="BB66" i="3"/>
  <c r="BA66" i="3"/>
  <c r="AZ66" i="3"/>
  <c r="AX66" i="3"/>
  <c r="AW66" i="3"/>
  <c r="AV66" i="3"/>
  <c r="AU66" i="3"/>
  <c r="AS66" i="3"/>
  <c r="AR66" i="3"/>
  <c r="AQ66" i="3"/>
  <c r="AP66" i="3"/>
  <c r="AN66" i="3"/>
  <c r="AM66" i="3"/>
  <c r="AL66" i="3"/>
  <c r="AK66" i="3"/>
  <c r="AI66" i="3"/>
  <c r="AH66" i="3"/>
  <c r="AG66" i="3"/>
  <c r="AF66" i="3"/>
  <c r="AC66" i="3"/>
  <c r="AB66" i="3"/>
  <c r="AA66" i="3"/>
  <c r="Y66" i="3"/>
  <c r="X66" i="3"/>
  <c r="W66" i="3"/>
  <c r="V66" i="3"/>
  <c r="T66" i="3"/>
  <c r="S66" i="3"/>
  <c r="R66" i="3"/>
  <c r="Q66" i="3"/>
  <c r="O66" i="3"/>
  <c r="N66" i="3"/>
  <c r="M66" i="3"/>
  <c r="L66" i="3"/>
  <c r="EP65" i="3"/>
  <c r="EK65" i="3"/>
  <c r="EF65" i="3"/>
  <c r="EA65" i="3"/>
  <c r="DV65" i="3"/>
  <c r="DQ65" i="3"/>
  <c r="DL65" i="3"/>
  <c r="DG65" i="3"/>
  <c r="DB65" i="3"/>
  <c r="CW65" i="3"/>
  <c r="CR65" i="3"/>
  <c r="CM65" i="3"/>
  <c r="CH65" i="3"/>
  <c r="CC65" i="3"/>
  <c r="BX65" i="3"/>
  <c r="BS65" i="3"/>
  <c r="BN65" i="3"/>
  <c r="BI65" i="3"/>
  <c r="BD65" i="3"/>
  <c r="AY65" i="3"/>
  <c r="AT65" i="3"/>
  <c r="AO65" i="3"/>
  <c r="AJ65" i="3"/>
  <c r="AE65" i="3"/>
  <c r="Z65" i="3"/>
  <c r="U65" i="3"/>
  <c r="P65" i="3"/>
  <c r="EQ64" i="3"/>
  <c r="ER64" i="3" s="1"/>
  <c r="ES64" i="3" s="1"/>
  <c r="ET64" i="3" s="1"/>
  <c r="EU64" i="3" s="1"/>
  <c r="EO64" i="3"/>
  <c r="EP64" i="3" s="1"/>
  <c r="EN64" i="3"/>
  <c r="EL64" i="3"/>
  <c r="EJ64" i="3"/>
  <c r="EK64" i="3" s="1"/>
  <c r="EI64" i="3"/>
  <c r="EE64" i="3"/>
  <c r="EF64" i="3" s="1"/>
  <c r="ED64" i="3"/>
  <c r="EC64" i="3"/>
  <c r="EB64" i="3"/>
  <c r="DZ64" i="3"/>
  <c r="EA64" i="3" s="1"/>
  <c r="DY64" i="3"/>
  <c r="DX64" i="3"/>
  <c r="DU64" i="3"/>
  <c r="DV64" i="3" s="1"/>
  <c r="DT64" i="3"/>
  <c r="DS64" i="3"/>
  <c r="DR64" i="3"/>
  <c r="DP64" i="3"/>
  <c r="DQ64" i="3" s="1"/>
  <c r="DO64" i="3"/>
  <c r="DN64" i="3"/>
  <c r="DM64" i="3"/>
  <c r="DK64" i="3"/>
  <c r="DL64" i="3" s="1"/>
  <c r="CH64" i="3"/>
  <c r="CC64" i="3"/>
  <c r="BY64" i="3"/>
  <c r="BX64" i="3"/>
  <c r="BS64" i="3"/>
  <c r="BN64" i="3"/>
  <c r="BL64" i="3"/>
  <c r="BL62" i="3" s="1"/>
  <c r="BJ64" i="3"/>
  <c r="BI64" i="3"/>
  <c r="BD64" i="3"/>
  <c r="AY64" i="3"/>
  <c r="AT64" i="3"/>
  <c r="AO64" i="3"/>
  <c r="AJ64" i="3"/>
  <c r="AE64" i="3"/>
  <c r="Z64" i="3"/>
  <c r="U64" i="3"/>
  <c r="P64" i="3"/>
  <c r="DK63" i="3"/>
  <c r="DG63" i="3"/>
  <c r="CG63" i="3"/>
  <c r="CB63" i="3"/>
  <c r="CD63" i="3" s="1"/>
  <c r="CD74" i="3" s="1"/>
  <c r="BW63" i="3"/>
  <c r="BY63" i="3" s="1"/>
  <c r="BR63" i="3"/>
  <c r="BS63" i="3" s="1"/>
  <c r="BM63" i="3"/>
  <c r="BO63" i="3" s="1"/>
  <c r="BP63" i="3" s="1"/>
  <c r="BP74" i="3" s="1"/>
  <c r="BH63" i="3"/>
  <c r="AX63" i="3"/>
  <c r="AU63" i="3"/>
  <c r="AT63" i="3"/>
  <c r="AO63" i="3"/>
  <c r="AJ63" i="3"/>
  <c r="AE63" i="3"/>
  <c r="Z63" i="3"/>
  <c r="U63" i="3"/>
  <c r="P63" i="3"/>
  <c r="EP62" i="3"/>
  <c r="EM62" i="3"/>
  <c r="EN152" i="3" s="1"/>
  <c r="EK62" i="3"/>
  <c r="EH62" i="3"/>
  <c r="EH153" i="3" s="1"/>
  <c r="EG62" i="3"/>
  <c r="EG64" i="3" s="1"/>
  <c r="EF62" i="3"/>
  <c r="EA62" i="3"/>
  <c r="DW62" i="3"/>
  <c r="DW153" i="3" s="1"/>
  <c r="DV62" i="3"/>
  <c r="DQ62" i="3"/>
  <c r="DL62" i="3"/>
  <c r="CH62" i="3"/>
  <c r="CC62" i="3"/>
  <c r="BW62" i="3"/>
  <c r="BS62" i="3"/>
  <c r="BQ62" i="3"/>
  <c r="BR152" i="3" s="1"/>
  <c r="BN62" i="3"/>
  <c r="BI62" i="3"/>
  <c r="BF62" i="3"/>
  <c r="BC62" i="3"/>
  <c r="AY62" i="3"/>
  <c r="AT62" i="3"/>
  <c r="AR62" i="3"/>
  <c r="AO62" i="3"/>
  <c r="AJ62" i="3"/>
  <c r="AE62" i="3"/>
  <c r="Z62" i="3"/>
  <c r="U62" i="3"/>
  <c r="P62" i="3"/>
  <c r="FM57" i="3"/>
  <c r="FC57" i="3"/>
  <c r="FD57" i="3" s="1"/>
  <c r="ES57" i="3"/>
  <c r="EP57" i="3"/>
  <c r="EK57" i="3"/>
  <c r="EF57" i="3"/>
  <c r="EA57" i="3"/>
  <c r="DV57" i="3"/>
  <c r="DQ57" i="3"/>
  <c r="DL57" i="3"/>
  <c r="DG57" i="3"/>
  <c r="DB57" i="3"/>
  <c r="CW57" i="3"/>
  <c r="CR57" i="3"/>
  <c r="CM57" i="3"/>
  <c r="CH57" i="3"/>
  <c r="CC57" i="3"/>
  <c r="BX57" i="3"/>
  <c r="BS57" i="3"/>
  <c r="BN57" i="3"/>
  <c r="BI57" i="3"/>
  <c r="BD57" i="3"/>
  <c r="AY57" i="3"/>
  <c r="AT57" i="3"/>
  <c r="AO57" i="3"/>
  <c r="AJ57" i="3"/>
  <c r="AE57" i="3"/>
  <c r="Z57" i="3"/>
  <c r="U57" i="3"/>
  <c r="P57" i="3"/>
  <c r="K57" i="3"/>
  <c r="F57" i="3"/>
  <c r="EF49" i="3"/>
  <c r="DQ49" i="3"/>
  <c r="DL49" i="3"/>
  <c r="DG49" i="3"/>
  <c r="DB49" i="3"/>
  <c r="CW49" i="3"/>
  <c r="CR49" i="3"/>
  <c r="EF48" i="3"/>
  <c r="EQ47" i="3"/>
  <c r="ER47" i="3" s="1"/>
  <c r="ES47" i="3" s="1"/>
  <c r="ET47" i="3" s="1"/>
  <c r="EV47" i="3" s="1"/>
  <c r="EW47" i="3" s="1"/>
  <c r="EX47" i="3" s="1"/>
  <c r="EY47" i="3" s="1"/>
  <c r="FA47" i="3" s="1"/>
  <c r="FB47" i="3" s="1"/>
  <c r="FC47" i="3" s="1"/>
  <c r="FD47" i="3" s="1"/>
  <c r="FF47" i="3" s="1"/>
  <c r="FG47" i="3" s="1"/>
  <c r="FH47" i="3" s="1"/>
  <c r="FI47" i="3" s="1"/>
  <c r="FK47" i="3" s="1"/>
  <c r="FL47" i="3" s="1"/>
  <c r="FM47" i="3" s="1"/>
  <c r="FN47" i="3" s="1"/>
  <c r="EL47" i="3"/>
  <c r="EM47" i="3" s="1"/>
  <c r="EN47" i="3" s="1"/>
  <c r="EO47" i="3" s="1"/>
  <c r="EG47" i="3"/>
  <c r="EH47" i="3" s="1"/>
  <c r="EI47" i="3" s="1"/>
  <c r="EJ47" i="3" s="1"/>
  <c r="EB47" i="3"/>
  <c r="EC47" i="3" s="1"/>
  <c r="ED47" i="3" s="1"/>
  <c r="EE47" i="3" s="1"/>
  <c r="DF47" i="3"/>
  <c r="DH47" i="3" s="1"/>
  <c r="DI47" i="3" s="1"/>
  <c r="DJ47" i="3" s="1"/>
  <c r="DK47" i="3" s="1"/>
  <c r="DM47" i="3" s="1"/>
  <c r="DN47" i="3" s="1"/>
  <c r="DO47" i="3" s="1"/>
  <c r="DP47" i="3" s="1"/>
  <c r="DR47" i="3" s="1"/>
  <c r="DS47" i="3" s="1"/>
  <c r="DT47" i="3" s="1"/>
  <c r="DU47" i="3" s="1"/>
  <c r="DW47" i="3" s="1"/>
  <c r="DX47" i="3" s="1"/>
  <c r="DY47" i="3" s="1"/>
  <c r="DZ47" i="3" s="1"/>
  <c r="DD47" i="3"/>
  <c r="DA47" i="3"/>
  <c r="CZ47" i="3"/>
  <c r="CY47" i="3"/>
  <c r="CX47" i="3"/>
  <c r="CV47" i="3"/>
  <c r="CU47" i="3"/>
  <c r="CT47" i="3"/>
  <c r="CS47" i="3"/>
  <c r="CQ47" i="3"/>
  <c r="CP47" i="3"/>
  <c r="EP46" i="3"/>
  <c r="EK46" i="3"/>
  <c r="EF46" i="3"/>
  <c r="EA46" i="3"/>
  <c r="DV46" i="3"/>
  <c r="AJ46" i="3"/>
  <c r="AE46" i="3"/>
  <c r="Z46" i="3"/>
  <c r="U46" i="3"/>
  <c r="P46" i="3"/>
  <c r="K46" i="3"/>
  <c r="F46" i="3"/>
  <c r="EO42" i="3"/>
  <c r="EN42" i="3"/>
  <c r="EM42" i="3"/>
  <c r="EJ42" i="3"/>
  <c r="EI42" i="3"/>
  <c r="EH42" i="3"/>
  <c r="EG42" i="3"/>
  <c r="EE42" i="3"/>
  <c r="ED42" i="3"/>
  <c r="EC42" i="3"/>
  <c r="EB42" i="3"/>
  <c r="DZ42" i="3"/>
  <c r="DY42" i="3"/>
  <c r="DX42" i="3"/>
  <c r="DU42" i="3"/>
  <c r="DT42" i="3"/>
  <c r="DS42" i="3"/>
  <c r="DR42" i="3"/>
  <c r="DP42" i="3"/>
  <c r="DO42" i="3"/>
  <c r="DN42" i="3"/>
  <c r="DM42" i="3"/>
  <c r="DK42" i="3"/>
  <c r="DJ42" i="3"/>
  <c r="DI42" i="3"/>
  <c r="DH42" i="3"/>
  <c r="DF42" i="3"/>
  <c r="DE42" i="3"/>
  <c r="CA42" i="3"/>
  <c r="BA42" i="3"/>
  <c r="AZ42" i="3"/>
  <c r="AX42" i="3"/>
  <c r="AW42" i="3"/>
  <c r="AW39" i="3" s="1"/>
  <c r="AU42" i="3"/>
  <c r="AR42" i="3"/>
  <c r="AQ42" i="3"/>
  <c r="AP42" i="3"/>
  <c r="AM42" i="3"/>
  <c r="AL42" i="3"/>
  <c r="AK42" i="3"/>
  <c r="AH42" i="3"/>
  <c r="AE42" i="3"/>
  <c r="Z42" i="3"/>
  <c r="U42" i="3"/>
  <c r="P42" i="3"/>
  <c r="K42" i="3"/>
  <c r="F42" i="3"/>
  <c r="DD41" i="3"/>
  <c r="DD42" i="3" s="1"/>
  <c r="DC41" i="3"/>
  <c r="DC42" i="3" s="1"/>
  <c r="DA41" i="3"/>
  <c r="CZ41" i="3"/>
  <c r="CZ42" i="3" s="1"/>
  <c r="CY41" i="3"/>
  <c r="CY42" i="3" s="1"/>
  <c r="CX41" i="3"/>
  <c r="CV41" i="3"/>
  <c r="CU41" i="3"/>
  <c r="CT41" i="3"/>
  <c r="CS41" i="3"/>
  <c r="CS42" i="3" s="1"/>
  <c r="CQ41" i="3"/>
  <c r="CQ42" i="3" s="1"/>
  <c r="CP41" i="3"/>
  <c r="CP42" i="3" s="1"/>
  <c r="CO41" i="3"/>
  <c r="CN41" i="3"/>
  <c r="CL41" i="3"/>
  <c r="CL42" i="3" s="1"/>
  <c r="CK41" i="3"/>
  <c r="CK42" i="3" s="1"/>
  <c r="CJ41" i="3"/>
  <c r="CI41" i="3"/>
  <c r="CG41" i="3"/>
  <c r="CG42" i="3" s="1"/>
  <c r="CF41" i="3"/>
  <c r="CE41" i="3"/>
  <c r="CE42" i="3" s="1"/>
  <c r="CD41" i="3"/>
  <c r="CD42" i="3" s="1"/>
  <c r="CB41" i="3"/>
  <c r="BZ41" i="3"/>
  <c r="BY41" i="3"/>
  <c r="BY317" i="3" s="1"/>
  <c r="BW41" i="3"/>
  <c r="BV41" i="3"/>
  <c r="BU41" i="3"/>
  <c r="BQ41" i="3"/>
  <c r="BP41" i="3"/>
  <c r="BM41" i="3"/>
  <c r="BL41" i="3"/>
  <c r="BK41" i="3"/>
  <c r="BJ41" i="3"/>
  <c r="BG41" i="3"/>
  <c r="BG42" i="3" s="1"/>
  <c r="BF41" i="3"/>
  <c r="BE41" i="3"/>
  <c r="BC41" i="3"/>
  <c r="BB41" i="3"/>
  <c r="BB42" i="3" s="1"/>
  <c r="AV41" i="3"/>
  <c r="AV315" i="3" s="1"/>
  <c r="AE41" i="3"/>
  <c r="Z41" i="3"/>
  <c r="U41" i="3"/>
  <c r="P41" i="3"/>
  <c r="K41" i="3"/>
  <c r="F41" i="3"/>
  <c r="FO40" i="3"/>
  <c r="FJ40" i="3"/>
  <c r="FE40" i="3"/>
  <c r="EZ40" i="3"/>
  <c r="EU40" i="3"/>
  <c r="EP40" i="3"/>
  <c r="EK40" i="3"/>
  <c r="EF40" i="3"/>
  <c r="EA40" i="3"/>
  <c r="DV40" i="3"/>
  <c r="DQ40" i="3"/>
  <c r="DL40" i="3"/>
  <c r="DG40" i="3"/>
  <c r="DB40" i="3"/>
  <c r="CW40" i="3"/>
  <c r="CR40" i="3"/>
  <c r="CM40" i="3"/>
  <c r="CH40" i="3"/>
  <c r="CC40" i="3"/>
  <c r="BX40" i="3"/>
  <c r="BS40" i="3"/>
  <c r="BN40" i="3"/>
  <c r="BI40" i="3"/>
  <c r="BD40" i="3"/>
  <c r="AY40" i="3"/>
  <c r="AT40" i="3"/>
  <c r="AO40" i="3"/>
  <c r="AJ40" i="3"/>
  <c r="AE40" i="3"/>
  <c r="X40" i="3"/>
  <c r="W40" i="3"/>
  <c r="V40" i="3"/>
  <c r="U40" i="3"/>
  <c r="P40" i="3"/>
  <c r="K40" i="3"/>
  <c r="F40" i="3"/>
  <c r="FO39" i="3"/>
  <c r="FJ39" i="3"/>
  <c r="FE39" i="3"/>
  <c r="EZ39" i="3"/>
  <c r="EQ39" i="3"/>
  <c r="EU39" i="3" s="1"/>
  <c r="EO39" i="3"/>
  <c r="EN39" i="3"/>
  <c r="EM39" i="3"/>
  <c r="EL39" i="3"/>
  <c r="EJ39" i="3"/>
  <c r="EI39" i="3"/>
  <c r="EH39" i="3"/>
  <c r="EG39" i="3"/>
  <c r="EE39" i="3"/>
  <c r="ED39" i="3"/>
  <c r="EC39" i="3"/>
  <c r="EB39" i="3"/>
  <c r="DZ39" i="3"/>
  <c r="DY39" i="3"/>
  <c r="DX39" i="3"/>
  <c r="DW39" i="3"/>
  <c r="DU39" i="3"/>
  <c r="DT39" i="3"/>
  <c r="DS39" i="3"/>
  <c r="DR39" i="3"/>
  <c r="DP39" i="3"/>
  <c r="DO39" i="3"/>
  <c r="DN39" i="3"/>
  <c r="DM39" i="3"/>
  <c r="DK39" i="3"/>
  <c r="DJ39" i="3"/>
  <c r="DI39" i="3"/>
  <c r="DH39" i="3"/>
  <c r="DF39" i="3"/>
  <c r="DE39" i="3"/>
  <c r="DD39" i="3"/>
  <c r="DC39" i="3"/>
  <c r="DA39" i="3"/>
  <c r="CZ39" i="3"/>
  <c r="CY39" i="3"/>
  <c r="CX39" i="3"/>
  <c r="CV39" i="3"/>
  <c r="CU39" i="3"/>
  <c r="CT39" i="3"/>
  <c r="CS39" i="3"/>
  <c r="CQ39" i="3"/>
  <c r="CP39" i="3"/>
  <c r="CO39" i="3"/>
  <c r="CN39" i="3"/>
  <c r="CL39" i="3"/>
  <c r="CK39" i="3"/>
  <c r="CJ39" i="3"/>
  <c r="CI39" i="3"/>
  <c r="CF39" i="3"/>
  <c r="CE39" i="3"/>
  <c r="CD39" i="3"/>
  <c r="CB39" i="3"/>
  <c r="CA39" i="3"/>
  <c r="BZ39" i="3"/>
  <c r="BW39" i="3"/>
  <c r="BX39" i="3" s="1"/>
  <c r="BP39" i="3"/>
  <c r="BS39" i="3" s="1"/>
  <c r="BL39" i="3"/>
  <c r="BK39" i="3"/>
  <c r="BJ39" i="3"/>
  <c r="BG39" i="3"/>
  <c r="BF39" i="3"/>
  <c r="BD39" i="3"/>
  <c r="AR39" i="3"/>
  <c r="AT39" i="3" s="1"/>
  <c r="AO39" i="3"/>
  <c r="AH39" i="3"/>
  <c r="AJ39" i="3" s="1"/>
  <c r="AD39" i="3"/>
  <c r="AB39" i="3"/>
  <c r="W39" i="3"/>
  <c r="V39" i="3"/>
  <c r="U39" i="3"/>
  <c r="P39" i="3"/>
  <c r="K39" i="3"/>
  <c r="F39" i="3"/>
  <c r="FL35" i="3"/>
  <c r="FM35" i="3" s="1"/>
  <c r="FN35" i="3" s="1"/>
  <c r="FG35" i="3"/>
  <c r="FH35" i="3" s="1"/>
  <c r="FI35" i="3" s="1"/>
  <c r="FB35" i="3"/>
  <c r="FC35" i="3" s="1"/>
  <c r="FD35" i="3" s="1"/>
  <c r="EW35" i="3"/>
  <c r="EX35" i="3" s="1"/>
  <c r="EY35" i="3" s="1"/>
  <c r="ES35" i="3"/>
  <c r="ET35" i="3" s="1"/>
  <c r="EQ34" i="3"/>
  <c r="EO34" i="3"/>
  <c r="EN34" i="3"/>
  <c r="EM34" i="3"/>
  <c r="EL34" i="3"/>
  <c r="EJ34" i="3"/>
  <c r="EI34" i="3"/>
  <c r="EH34" i="3"/>
  <c r="EG34" i="3"/>
  <c r="EE34" i="3"/>
  <c r="ED34" i="3"/>
  <c r="EC34" i="3"/>
  <c r="EB34" i="3"/>
  <c r="DZ34" i="3"/>
  <c r="DY34" i="3"/>
  <c r="DX34" i="3"/>
  <c r="DW34" i="3"/>
  <c r="DU34" i="3"/>
  <c r="DT34" i="3"/>
  <c r="DS34" i="3"/>
  <c r="DR34" i="3"/>
  <c r="DP34" i="3"/>
  <c r="DO34" i="3"/>
  <c r="DN34" i="3"/>
  <c r="DM34" i="3"/>
  <c r="DK34" i="3"/>
  <c r="DJ34" i="3"/>
  <c r="DI34" i="3"/>
  <c r="DH34" i="3"/>
  <c r="DF34" i="3"/>
  <c r="DE34" i="3"/>
  <c r="DD34" i="3"/>
  <c r="DC34" i="3"/>
  <c r="DA34" i="3"/>
  <c r="CZ34" i="3"/>
  <c r="CY34" i="3"/>
  <c r="CX34" i="3"/>
  <c r="CV34" i="3"/>
  <c r="CU34" i="3"/>
  <c r="CT34" i="3"/>
  <c r="CS34" i="3"/>
  <c r="CQ34" i="3"/>
  <c r="CP34" i="3"/>
  <c r="CO34" i="3"/>
  <c r="CN34" i="3"/>
  <c r="CL34" i="3"/>
  <c r="CK34" i="3"/>
  <c r="CJ34" i="3"/>
  <c r="CI34" i="3"/>
  <c r="CG34" i="3"/>
  <c r="CF34" i="3"/>
  <c r="CE34" i="3"/>
  <c r="CD34" i="3"/>
  <c r="CA34" i="3"/>
  <c r="BZ34" i="3"/>
  <c r="BX34" i="3"/>
  <c r="BP34" i="3"/>
  <c r="BS34" i="3" s="1"/>
  <c r="BL34" i="3"/>
  <c r="BK34" i="3"/>
  <c r="BJ34" i="3"/>
  <c r="BG34" i="3"/>
  <c r="BF34" i="3"/>
  <c r="BD34" i="3"/>
  <c r="AR34" i="3"/>
  <c r="AT34" i="3" s="1"/>
  <c r="AO34" i="3"/>
  <c r="AH34" i="3"/>
  <c r="AJ34" i="3" s="1"/>
  <c r="AD34" i="3"/>
  <c r="AB34" i="3"/>
  <c r="X34" i="3"/>
  <c r="W34" i="3"/>
  <c r="V34" i="3"/>
  <c r="U34" i="3"/>
  <c r="O34" i="3"/>
  <c r="N34" i="3"/>
  <c r="M34" i="3"/>
  <c r="K34" i="3"/>
  <c r="F34" i="3"/>
  <c r="FO30" i="3"/>
  <c r="FJ30" i="3"/>
  <c r="FE30" i="3"/>
  <c r="EZ30" i="3"/>
  <c r="EU30" i="3"/>
  <c r="EP30" i="3"/>
  <c r="EK30" i="3"/>
  <c r="EF30" i="3"/>
  <c r="EA30" i="3"/>
  <c r="DV30" i="3"/>
  <c r="DQ30" i="3"/>
  <c r="DL30" i="3"/>
  <c r="DE30" i="3"/>
  <c r="DG30" i="3" s="1"/>
  <c r="CZ30" i="3"/>
  <c r="CY30" i="3"/>
  <c r="CX30" i="3"/>
  <c r="CV30" i="3"/>
  <c r="CU30" i="3"/>
  <c r="CR30" i="3"/>
  <c r="CM30" i="3"/>
  <c r="CH30" i="3"/>
  <c r="CC30" i="3"/>
  <c r="BX30" i="3"/>
  <c r="BS30" i="3"/>
  <c r="BN30" i="3"/>
  <c r="BI30" i="3"/>
  <c r="BD30" i="3"/>
  <c r="AY30" i="3"/>
  <c r="AT30" i="3"/>
  <c r="AO30" i="3"/>
  <c r="AJ30" i="3"/>
  <c r="AE30" i="3"/>
  <c r="Y30" i="3"/>
  <c r="Z30" i="3" s="1"/>
  <c r="U30" i="3"/>
  <c r="P30" i="3"/>
  <c r="K30" i="3"/>
  <c r="F30" i="3"/>
  <c r="DH28" i="3"/>
  <c r="CZ28" i="3"/>
  <c r="CF28" i="3"/>
  <c r="CE28" i="3"/>
  <c r="CD28" i="3"/>
  <c r="CB28" i="3"/>
  <c r="CA28" i="3"/>
  <c r="BZ28" i="3"/>
  <c r="BY28" i="3"/>
  <c r="BW28" i="3"/>
  <c r="BV28" i="3"/>
  <c r="BU28" i="3"/>
  <c r="BT28" i="3"/>
  <c r="BR28" i="3"/>
  <c r="BQ28" i="3"/>
  <c r="BP28" i="3"/>
  <c r="BO28" i="3"/>
  <c r="BM28" i="3"/>
  <c r="BL28" i="3"/>
  <c r="BK28" i="3"/>
  <c r="BJ28" i="3"/>
  <c r="BH28" i="3"/>
  <c r="BG28" i="3"/>
  <c r="BF28" i="3"/>
  <c r="BE28" i="3"/>
  <c r="BC28" i="3"/>
  <c r="BB28" i="3"/>
  <c r="BA28" i="3"/>
  <c r="AZ28" i="3"/>
  <c r="AX28" i="3"/>
  <c r="AW28" i="3"/>
  <c r="AV28" i="3"/>
  <c r="AU28" i="3"/>
  <c r="AS28" i="3"/>
  <c r="AR28" i="3"/>
  <c r="AQ28" i="3"/>
  <c r="AP28" i="3"/>
  <c r="AN28" i="3"/>
  <c r="AM28" i="3"/>
  <c r="AL28" i="3"/>
  <c r="AK28" i="3"/>
  <c r="AI28" i="3"/>
  <c r="AJ28" i="3" s="1"/>
  <c r="AE28" i="3"/>
  <c r="Q28" i="3"/>
  <c r="Q27" i="3" s="1"/>
  <c r="P28" i="3"/>
  <c r="K28" i="3"/>
  <c r="F28" i="3"/>
  <c r="EQ27" i="3"/>
  <c r="EO27" i="3"/>
  <c r="EN27" i="3"/>
  <c r="EM27" i="3"/>
  <c r="EL27" i="3"/>
  <c r="EJ27" i="3"/>
  <c r="EI27" i="3"/>
  <c r="EH27" i="3"/>
  <c r="EG27" i="3"/>
  <c r="EE27" i="3"/>
  <c r="ED27" i="3"/>
  <c r="EC27" i="3"/>
  <c r="EB27" i="3"/>
  <c r="DZ27" i="3"/>
  <c r="DY27" i="3"/>
  <c r="DX27" i="3"/>
  <c r="DW27" i="3"/>
  <c r="DU27" i="3"/>
  <c r="DT27" i="3"/>
  <c r="DS27" i="3"/>
  <c r="DR27" i="3"/>
  <c r="DP27" i="3"/>
  <c r="DO27" i="3"/>
  <c r="DO28" i="3" s="1"/>
  <c r="DN27" i="3"/>
  <c r="DM27" i="3"/>
  <c r="DK27" i="3"/>
  <c r="DK28" i="3" s="1"/>
  <c r="DJ27" i="3"/>
  <c r="DJ28" i="3" s="1"/>
  <c r="DI27" i="3"/>
  <c r="DF27" i="3"/>
  <c r="DF28" i="3" s="1"/>
  <c r="DE27" i="3"/>
  <c r="DE28" i="3" s="1"/>
  <c r="DD27" i="3"/>
  <c r="DD28" i="3" s="1"/>
  <c r="DC27" i="3"/>
  <c r="DA27" i="3"/>
  <c r="CX27" i="3"/>
  <c r="CU27" i="3"/>
  <c r="CS27" i="3"/>
  <c r="CP27" i="3"/>
  <c r="CO27" i="3"/>
  <c r="CN27" i="3"/>
  <c r="CL27" i="3"/>
  <c r="CK27" i="3"/>
  <c r="CK28" i="3" s="1"/>
  <c r="CJ27" i="3"/>
  <c r="CJ28" i="3" s="1"/>
  <c r="CI27" i="3"/>
  <c r="CI28" i="3" s="1"/>
  <c r="CG27" i="3"/>
  <c r="CG28" i="3" s="1"/>
  <c r="CC27" i="3"/>
  <c r="BX27" i="3"/>
  <c r="BS27" i="3"/>
  <c r="BN27" i="3"/>
  <c r="BI27" i="3"/>
  <c r="BD27" i="3"/>
  <c r="AY27" i="3"/>
  <c r="AT27" i="3"/>
  <c r="AO27" i="3"/>
  <c r="AH27" i="3"/>
  <c r="Y27" i="3"/>
  <c r="S27" i="3"/>
  <c r="R27" i="3"/>
  <c r="P27" i="3"/>
  <c r="K27" i="3"/>
  <c r="F27" i="3"/>
  <c r="EQ26" i="3"/>
  <c r="ER26" i="3" s="1"/>
  <c r="ES26" i="3" s="1"/>
  <c r="ET26" i="3" s="1"/>
  <c r="EO26" i="3"/>
  <c r="EN26" i="3"/>
  <c r="EM26" i="3"/>
  <c r="EL26" i="3"/>
  <c r="EJ26" i="3"/>
  <c r="EI26" i="3"/>
  <c r="EH26" i="3"/>
  <c r="EG26" i="3"/>
  <c r="EE26" i="3"/>
  <c r="ED26" i="3"/>
  <c r="EC26" i="3"/>
  <c r="EB26" i="3"/>
  <c r="DZ26" i="3"/>
  <c r="DY26" i="3"/>
  <c r="DX26" i="3"/>
  <c r="DW26" i="3"/>
  <c r="DU26" i="3"/>
  <c r="DT26" i="3"/>
  <c r="DS26" i="3"/>
  <c r="DR26" i="3"/>
  <c r="DP26" i="3"/>
  <c r="DN26" i="3"/>
  <c r="DM26" i="3"/>
  <c r="DL26" i="3"/>
  <c r="DC26" i="3"/>
  <c r="DA26" i="3"/>
  <c r="CY26" i="3"/>
  <c r="CY28" i="3" s="1"/>
  <c r="CX26" i="3"/>
  <c r="CV26" i="3"/>
  <c r="CV28" i="3" s="1"/>
  <c r="CU26" i="3"/>
  <c r="CT26" i="3"/>
  <c r="CT28" i="3" s="1"/>
  <c r="CS26" i="3"/>
  <c r="CQ26" i="3"/>
  <c r="CQ28" i="3" s="1"/>
  <c r="CP26" i="3"/>
  <c r="CO26" i="3"/>
  <c r="CN26" i="3"/>
  <c r="CL26" i="3"/>
  <c r="CM26" i="3" s="1"/>
  <c r="CH26" i="3"/>
  <c r="CC26" i="3"/>
  <c r="BX26" i="3"/>
  <c r="BS26" i="3"/>
  <c r="BN26" i="3"/>
  <c r="BI26" i="3"/>
  <c r="BD26" i="3"/>
  <c r="AY26" i="3"/>
  <c r="AT26" i="3"/>
  <c r="AO26" i="3"/>
  <c r="AG26" i="3"/>
  <c r="AG326" i="3" s="1"/>
  <c r="AF26" i="3"/>
  <c r="AD26" i="3"/>
  <c r="AD326" i="3" s="1"/>
  <c r="AC26" i="3"/>
  <c r="AC326" i="3" s="1"/>
  <c r="AB26" i="3"/>
  <c r="AB326" i="3" s="1"/>
  <c r="AA26" i="3"/>
  <c r="AA326" i="3" s="1"/>
  <c r="X26" i="3"/>
  <c r="W26" i="3"/>
  <c r="W326" i="3" s="1"/>
  <c r="V26" i="3"/>
  <c r="V326" i="3" s="1"/>
  <c r="T26" i="3"/>
  <c r="T326" i="3" s="1"/>
  <c r="P26" i="3"/>
  <c r="K26" i="3"/>
  <c r="F26" i="3"/>
  <c r="EQ20" i="3"/>
  <c r="EO20" i="3"/>
  <c r="EN20" i="3"/>
  <c r="EM20" i="3"/>
  <c r="EL20" i="3"/>
  <c r="EJ20" i="3"/>
  <c r="EI20" i="3"/>
  <c r="EH20" i="3"/>
  <c r="EG20" i="3"/>
  <c r="EE20" i="3"/>
  <c r="ED20" i="3"/>
  <c r="EC20" i="3"/>
  <c r="EB20" i="3"/>
  <c r="DZ20" i="3"/>
  <c r="DY20" i="3"/>
  <c r="DX20" i="3"/>
  <c r="DW20" i="3"/>
  <c r="DT20" i="3"/>
  <c r="DR20" i="3"/>
  <c r="DO20" i="3"/>
  <c r="DN20" i="3"/>
  <c r="DM20" i="3"/>
  <c r="DK20" i="3"/>
  <c r="DJ20" i="3"/>
  <c r="DI20" i="3"/>
  <c r="DH20" i="3"/>
  <c r="DF20" i="3"/>
  <c r="DE20" i="3"/>
  <c r="DD20" i="3"/>
  <c r="DC20" i="3"/>
  <c r="DA20" i="3"/>
  <c r="CZ20" i="3"/>
  <c r="CY20" i="3"/>
  <c r="CT20" i="3"/>
  <c r="CK20" i="3"/>
  <c r="CJ20" i="3"/>
  <c r="CI20" i="3"/>
  <c r="CF20" i="3"/>
  <c r="CE20" i="3"/>
  <c r="CA20" i="3"/>
  <c r="BZ20" i="3"/>
  <c r="BY20" i="3"/>
  <c r="BW20" i="3"/>
  <c r="BV20" i="3"/>
  <c r="BU20" i="3"/>
  <c r="BT20" i="3"/>
  <c r="BR20" i="3"/>
  <c r="BQ20" i="3"/>
  <c r="BP20" i="3"/>
  <c r="BO20" i="3"/>
  <c r="BM20" i="3"/>
  <c r="BL20" i="3"/>
  <c r="BK20" i="3"/>
  <c r="BJ20" i="3"/>
  <c r="BH20" i="3"/>
  <c r="BG20" i="3"/>
  <c r="BF20" i="3"/>
  <c r="BE20" i="3"/>
  <c r="BB20" i="3"/>
  <c r="BA20" i="3"/>
  <c r="AZ20" i="3"/>
  <c r="AW20" i="3"/>
  <c r="AV20" i="3"/>
  <c r="AU20" i="3"/>
  <c r="AS20" i="3"/>
  <c r="AR20" i="3"/>
  <c r="AQ20" i="3"/>
  <c r="AP20" i="3"/>
  <c r="AN20" i="3"/>
  <c r="AM20" i="3"/>
  <c r="AL20" i="3"/>
  <c r="AK20" i="3"/>
  <c r="AI20" i="3"/>
  <c r="AH20" i="3"/>
  <c r="AG20" i="3"/>
  <c r="AF20" i="3"/>
  <c r="AC20" i="3"/>
  <c r="AB20" i="3"/>
  <c r="AA20" i="3"/>
  <c r="Y20" i="3"/>
  <c r="X20" i="3"/>
  <c r="W20" i="3"/>
  <c r="V20" i="3"/>
  <c r="T20" i="3"/>
  <c r="S20" i="3"/>
  <c r="R20" i="3"/>
  <c r="Q20" i="3"/>
  <c r="O20" i="3"/>
  <c r="N20" i="3"/>
  <c r="M20" i="3"/>
  <c r="L20" i="3"/>
  <c r="J20" i="3"/>
  <c r="I20" i="3"/>
  <c r="H20" i="3"/>
  <c r="G20" i="3"/>
  <c r="E20" i="3"/>
  <c r="D20" i="3"/>
  <c r="C20" i="3"/>
  <c r="B20" i="3"/>
  <c r="EP19" i="3"/>
  <c r="EK19" i="3"/>
  <c r="EF19" i="3"/>
  <c r="EA19" i="3"/>
  <c r="DU19" i="3"/>
  <c r="CG30" i="2" s="1"/>
  <c r="DS19" i="3"/>
  <c r="CE30" i="2" s="1"/>
  <c r="DP19" i="3"/>
  <c r="DQ19" i="3" s="1"/>
  <c r="DL19" i="3"/>
  <c r="DG19" i="3"/>
  <c r="CX19" i="3"/>
  <c r="DB19" i="3" s="1"/>
  <c r="CV19" i="3"/>
  <c r="CV20" i="3" s="1"/>
  <c r="CU19" i="3"/>
  <c r="CU20" i="3" s="1"/>
  <c r="CS19" i="3"/>
  <c r="CS20" i="3" s="1"/>
  <c r="CQ19" i="3"/>
  <c r="BI30" i="2" s="1"/>
  <c r="CP19" i="3"/>
  <c r="BH30" i="2" s="1"/>
  <c r="CO19" i="3"/>
  <c r="BG30" i="2" s="1"/>
  <c r="CN19" i="3"/>
  <c r="BF30" i="2" s="1"/>
  <c r="CL19" i="3"/>
  <c r="CM19" i="3" s="1"/>
  <c r="CG19" i="3"/>
  <c r="CG20" i="3" s="1"/>
  <c r="CD19" i="3"/>
  <c r="CD20" i="3" s="1"/>
  <c r="CB19" i="3"/>
  <c r="CB20" i="3" s="1"/>
  <c r="BX19" i="3"/>
  <c r="BS19" i="3"/>
  <c r="BN19" i="3"/>
  <c r="BI19" i="3"/>
  <c r="BC19" i="3"/>
  <c r="BC20" i="3" s="1"/>
  <c r="AX19" i="3"/>
  <c r="AX20" i="3" s="1"/>
  <c r="AT19" i="3"/>
  <c r="AO19" i="3"/>
  <c r="AJ19" i="3"/>
  <c r="AE19" i="3"/>
  <c r="Z19" i="3"/>
  <c r="U19" i="3"/>
  <c r="P19" i="3"/>
  <c r="K19" i="3"/>
  <c r="F19" i="3"/>
  <c r="BT18" i="3"/>
  <c r="BR18" i="3"/>
  <c r="BQ18" i="3"/>
  <c r="BO18" i="3"/>
  <c r="BM18" i="3"/>
  <c r="BL18" i="3"/>
  <c r="BJ18" i="3"/>
  <c r="BH18" i="3"/>
  <c r="BF18" i="3"/>
  <c r="BE18" i="3"/>
  <c r="BC18" i="3"/>
  <c r="BB18" i="3"/>
  <c r="BA18" i="3"/>
  <c r="AZ18" i="3"/>
  <c r="AX18" i="3"/>
  <c r="AV18" i="3"/>
  <c r="AU18" i="3"/>
  <c r="AS18" i="3"/>
  <c r="AR18" i="3"/>
  <c r="AQ18" i="3"/>
  <c r="AP18" i="3"/>
  <c r="AN18" i="3"/>
  <c r="AM18" i="3"/>
  <c r="AL18" i="3"/>
  <c r="AK18" i="3"/>
  <c r="AI18" i="3"/>
  <c r="AH18" i="3"/>
  <c r="AG18" i="3"/>
  <c r="AF18" i="3"/>
  <c r="AC18" i="3"/>
  <c r="AB18" i="3"/>
  <c r="AA18" i="3"/>
  <c r="Y18" i="3"/>
  <c r="X18" i="3"/>
  <c r="W18" i="3"/>
  <c r="V18" i="3"/>
  <c r="T18" i="3"/>
  <c r="S18" i="3"/>
  <c r="R18" i="3"/>
  <c r="Q18" i="3"/>
  <c r="O18" i="3"/>
  <c r="N18" i="3"/>
  <c r="M18" i="3"/>
  <c r="L18" i="3"/>
  <c r="J18" i="3"/>
  <c r="I18" i="3"/>
  <c r="H18" i="3"/>
  <c r="G18" i="3"/>
  <c r="E18" i="3"/>
  <c r="D18" i="3"/>
  <c r="C18" i="3"/>
  <c r="B18" i="3"/>
  <c r="EQ17" i="3"/>
  <c r="EQ18" i="3" s="1"/>
  <c r="EO17" i="3"/>
  <c r="EN17" i="3"/>
  <c r="EN18" i="3" s="1"/>
  <c r="EM17" i="3"/>
  <c r="EM18" i="3" s="1"/>
  <c r="EL17" i="3"/>
  <c r="EL18" i="3" s="1"/>
  <c r="EJ17" i="3"/>
  <c r="EJ18" i="3" s="1"/>
  <c r="EI17" i="3"/>
  <c r="CR35" i="2" s="1"/>
  <c r="EH17" i="3"/>
  <c r="EH18" i="3" s="1"/>
  <c r="EG17" i="3"/>
  <c r="EG18" i="3" s="1"/>
  <c r="EE17" i="3"/>
  <c r="EE18" i="3" s="1"/>
  <c r="ED17" i="3"/>
  <c r="CN35" i="2" s="1"/>
  <c r="EC17" i="3"/>
  <c r="EC18" i="3" s="1"/>
  <c r="EB17" i="3"/>
  <c r="EB18" i="3" s="1"/>
  <c r="DZ17" i="3"/>
  <c r="DZ18" i="3" s="1"/>
  <c r="DY17" i="3"/>
  <c r="DY18" i="3" s="1"/>
  <c r="DX17" i="3"/>
  <c r="DX18" i="3" s="1"/>
  <c r="DW17" i="3"/>
  <c r="CH35" i="2" s="1"/>
  <c r="DU17" i="3"/>
  <c r="DU18" i="3" s="1"/>
  <c r="DT17" i="3"/>
  <c r="DT18" i="3" s="1"/>
  <c r="DS17" i="3"/>
  <c r="DS18" i="3" s="1"/>
  <c r="DR17" i="3"/>
  <c r="DR18" i="3" s="1"/>
  <c r="DP17" i="3"/>
  <c r="DP18" i="3" s="1"/>
  <c r="DO17" i="3"/>
  <c r="CB35" i="2" s="1"/>
  <c r="DN17" i="3"/>
  <c r="DN18" i="3" s="1"/>
  <c r="DM17" i="3"/>
  <c r="BZ35" i="2" s="1"/>
  <c r="DK17" i="3"/>
  <c r="DK18" i="3" s="1"/>
  <c r="DJ17" i="3"/>
  <c r="BX35" i="2" s="1"/>
  <c r="DI17" i="3"/>
  <c r="BW35" i="2" s="1"/>
  <c r="DH17" i="3"/>
  <c r="DF17" i="3"/>
  <c r="DF18" i="3" s="1"/>
  <c r="DE17" i="3"/>
  <c r="DE18" i="3" s="1"/>
  <c r="DD17" i="3"/>
  <c r="DC17" i="3"/>
  <c r="BR35" i="2" s="1"/>
  <c r="DA17" i="3"/>
  <c r="DA18" i="3" s="1"/>
  <c r="CZ17" i="3"/>
  <c r="CZ18" i="3" s="1"/>
  <c r="CY17" i="3"/>
  <c r="CY18" i="3" s="1"/>
  <c r="CX17" i="3"/>
  <c r="CX18" i="3" s="1"/>
  <c r="CV17" i="3"/>
  <c r="CU17" i="3"/>
  <c r="BL35" i="2" s="1"/>
  <c r="CT17" i="3"/>
  <c r="CT18" i="3" s="1"/>
  <c r="CS17" i="3"/>
  <c r="CS18" i="3" s="1"/>
  <c r="CQ17" i="3"/>
  <c r="BI35" i="2" s="1"/>
  <c r="CP17" i="3"/>
  <c r="BH35" i="2" s="1"/>
  <c r="CO17" i="3"/>
  <c r="CN17" i="3"/>
  <c r="BF35" i="2" s="1"/>
  <c r="CL17" i="3"/>
  <c r="CL18" i="3" s="1"/>
  <c r="CK17" i="3"/>
  <c r="CK18" i="3" s="1"/>
  <c r="CJ17" i="3"/>
  <c r="CJ18" i="3" s="1"/>
  <c r="CI17" i="3"/>
  <c r="CG17" i="3"/>
  <c r="CG18" i="3" s="1"/>
  <c r="CF17" i="3"/>
  <c r="CF18" i="3" s="1"/>
  <c r="CE17" i="3"/>
  <c r="CE18" i="3" s="1"/>
  <c r="CD17" i="3"/>
  <c r="CD18" i="3" s="1"/>
  <c r="CB17" i="3"/>
  <c r="CB18" i="3" s="1"/>
  <c r="CA17" i="3"/>
  <c r="AV35" i="2" s="1"/>
  <c r="BZ17" i="3"/>
  <c r="BZ18" i="3" s="1"/>
  <c r="BY17" i="3"/>
  <c r="BY18" i="3" s="1"/>
  <c r="BW17" i="3"/>
  <c r="BW18" i="3" s="1"/>
  <c r="BV17" i="3"/>
  <c r="BV18" i="3" s="1"/>
  <c r="BU17" i="3"/>
  <c r="AQ35" i="2" s="1"/>
  <c r="BP17" i="3"/>
  <c r="BP18" i="3" s="1"/>
  <c r="BK17" i="3"/>
  <c r="AI35" i="2" s="1"/>
  <c r="BG17" i="3"/>
  <c r="AF35" i="2" s="1"/>
  <c r="BD17" i="3"/>
  <c r="AW17" i="3"/>
  <c r="AY17" i="3" s="1"/>
  <c r="AT17" i="3"/>
  <c r="AO17" i="3"/>
  <c r="AJ17" i="3"/>
  <c r="AE17" i="3"/>
  <c r="Z17" i="3"/>
  <c r="U17" i="3"/>
  <c r="P17" i="3"/>
  <c r="K17" i="3"/>
  <c r="F17" i="3"/>
  <c r="BG13" i="3"/>
  <c r="BG14" i="3" s="1"/>
  <c r="J13" i="3"/>
  <c r="J22" i="3" s="1"/>
  <c r="J23" i="3" s="1"/>
  <c r="I13" i="3"/>
  <c r="H13" i="3"/>
  <c r="G13" i="3"/>
  <c r="E13" i="3"/>
  <c r="E14" i="3" s="1"/>
  <c r="D13" i="3"/>
  <c r="D14" i="3" s="1"/>
  <c r="C13" i="3"/>
  <c r="B13" i="3"/>
  <c r="EP11" i="3"/>
  <c r="EK11" i="3"/>
  <c r="EF11" i="3"/>
  <c r="EA11" i="3"/>
  <c r="DS11" i="3"/>
  <c r="DS10" i="3" s="1"/>
  <c r="DS71" i="3" s="1"/>
  <c r="DN11" i="3"/>
  <c r="DL11" i="3"/>
  <c r="DG11" i="3"/>
  <c r="DB11" i="3"/>
  <c r="CW11" i="3"/>
  <c r="CR11" i="3"/>
  <c r="CJ11" i="3"/>
  <c r="CJ114" i="3" s="1"/>
  <c r="CE11" i="3"/>
  <c r="CE10" i="3" s="1"/>
  <c r="AY8" i="2" s="1"/>
  <c r="BZ11" i="3"/>
  <c r="BZ114" i="3" s="1"/>
  <c r="BU11" i="3"/>
  <c r="BU114" i="3" s="1"/>
  <c r="BN11" i="3"/>
  <c r="BE11" i="3"/>
  <c r="AD11" i="2" s="1"/>
  <c r="AZ11" i="3"/>
  <c r="Z11" i="2" s="1"/>
  <c r="AU11" i="3"/>
  <c r="AU77" i="3" s="1"/>
  <c r="AU76" i="3" s="1"/>
  <c r="AQ11" i="3"/>
  <c r="AQ10" i="3" s="1"/>
  <c r="AL11" i="3"/>
  <c r="AM11" i="3" s="1"/>
  <c r="AM10" i="3" s="1"/>
  <c r="AG11" i="3"/>
  <c r="AG114" i="3" s="1"/>
  <c r="AB11" i="3"/>
  <c r="AB114" i="3" s="1"/>
  <c r="Z11" i="3"/>
  <c r="S11" i="3"/>
  <c r="S114" i="3" s="1"/>
  <c r="R11" i="3"/>
  <c r="R114" i="3" s="1"/>
  <c r="Q11" i="3"/>
  <c r="P11" i="3"/>
  <c r="K11" i="3"/>
  <c r="F11" i="3"/>
  <c r="EQ10" i="3"/>
  <c r="EQ71" i="3" s="1"/>
  <c r="EO10" i="3"/>
  <c r="EO71" i="3" s="1"/>
  <c r="EN10" i="3"/>
  <c r="EN71" i="3" s="1"/>
  <c r="EM10" i="3"/>
  <c r="EM71" i="3" s="1"/>
  <c r="EL10" i="3"/>
  <c r="CT8" i="2" s="1"/>
  <c r="EJ10" i="3"/>
  <c r="EJ71" i="3" s="1"/>
  <c r="EI10" i="3"/>
  <c r="EI71" i="3" s="1"/>
  <c r="EH10" i="3"/>
  <c r="EH71" i="3" s="1"/>
  <c r="EG10" i="3"/>
  <c r="CP8" i="2" s="1"/>
  <c r="EE10" i="3"/>
  <c r="EE71" i="3" s="1"/>
  <c r="ED10" i="3"/>
  <c r="CN8" i="2" s="1"/>
  <c r="EC10" i="3"/>
  <c r="EC71" i="3" s="1"/>
  <c r="EB10" i="3"/>
  <c r="EB71" i="3" s="1"/>
  <c r="DZ10" i="3"/>
  <c r="DZ71" i="3" s="1"/>
  <c r="DY10" i="3"/>
  <c r="DY71" i="3" s="1"/>
  <c r="DX10" i="3"/>
  <c r="DW10" i="3"/>
  <c r="CH8" i="2" s="1"/>
  <c r="DU10" i="3"/>
  <c r="CG8" i="2" s="1"/>
  <c r="DT10" i="3"/>
  <c r="DT13" i="3" s="1"/>
  <c r="DR10" i="3"/>
  <c r="DR13" i="3" s="1"/>
  <c r="DP10" i="3"/>
  <c r="DO10" i="3"/>
  <c r="DM10" i="3"/>
  <c r="DM71" i="3" s="1"/>
  <c r="DK10" i="3"/>
  <c r="DK71" i="3" s="1"/>
  <c r="DJ10" i="3"/>
  <c r="BX8" i="2" s="1"/>
  <c r="DI10" i="3"/>
  <c r="DH10" i="3"/>
  <c r="DH13" i="3" s="1"/>
  <c r="DH14" i="3" s="1"/>
  <c r="DF10" i="3"/>
  <c r="DF71" i="3" s="1"/>
  <c r="DE10" i="3"/>
  <c r="DE71" i="3" s="1"/>
  <c r="DD10" i="3"/>
  <c r="BS8" i="2" s="1"/>
  <c r="DC10" i="3"/>
  <c r="DC71" i="3" s="1"/>
  <c r="DA10" i="3"/>
  <c r="DA13" i="3" s="1"/>
  <c r="CZ10" i="3"/>
  <c r="CZ71" i="3" s="1"/>
  <c r="CY10" i="3"/>
  <c r="CY71" i="3" s="1"/>
  <c r="CX10" i="3"/>
  <c r="BN8" i="2" s="1"/>
  <c r="CV10" i="3"/>
  <c r="CV71" i="3" s="1"/>
  <c r="CU10" i="3"/>
  <c r="CU71" i="3" s="1"/>
  <c r="CT10" i="3"/>
  <c r="CT71" i="3" s="1"/>
  <c r="CS10" i="3"/>
  <c r="CS71" i="3" s="1"/>
  <c r="CQ10" i="3"/>
  <c r="BI8" i="2" s="1"/>
  <c r="CP10" i="3"/>
  <c r="CP71" i="3" s="1"/>
  <c r="CO10" i="3"/>
  <c r="CO71" i="3" s="1"/>
  <c r="CN10" i="3"/>
  <c r="CN71" i="3" s="1"/>
  <c r="CL10" i="3"/>
  <c r="CL71" i="3" s="1"/>
  <c r="CK10" i="3"/>
  <c r="BD8" i="2" s="1"/>
  <c r="CI10" i="3"/>
  <c r="CI71" i="3" s="1"/>
  <c r="CD10" i="3"/>
  <c r="CD71" i="3" s="1"/>
  <c r="CB10" i="3"/>
  <c r="AW8" i="2" s="1"/>
  <c r="BY10" i="3"/>
  <c r="BY71" i="3" s="1"/>
  <c r="BW10" i="3"/>
  <c r="BW71" i="3" s="1"/>
  <c r="BV10" i="3"/>
  <c r="AR8" i="2" s="1"/>
  <c r="BT10" i="3"/>
  <c r="BT71" i="3" s="1"/>
  <c r="BQ10" i="3"/>
  <c r="BQ71" i="3" s="1"/>
  <c r="BP10" i="3"/>
  <c r="BP13" i="3" s="1"/>
  <c r="BO10" i="3"/>
  <c r="AL8" i="2" s="1"/>
  <c r="BM10" i="3"/>
  <c r="AK8" i="2" s="1"/>
  <c r="BL10" i="3"/>
  <c r="BL71" i="3" s="1"/>
  <c r="BK10" i="3"/>
  <c r="BK71" i="3" s="1"/>
  <c r="BJ10" i="3"/>
  <c r="AH8" i="2" s="1"/>
  <c r="BF10" i="3"/>
  <c r="AE8" i="2" s="1"/>
  <c r="AP10" i="3"/>
  <c r="AP13" i="3" s="1"/>
  <c r="AP22" i="3" s="1"/>
  <c r="AK10" i="3"/>
  <c r="AK71" i="3" s="1"/>
  <c r="AF10" i="3"/>
  <c r="AF13" i="3" s="1"/>
  <c r="AD10" i="3"/>
  <c r="AD71" i="3" s="1"/>
  <c r="AC10" i="3"/>
  <c r="H8" i="2" s="1"/>
  <c r="AA10" i="3"/>
  <c r="AA71" i="3" s="1"/>
  <c r="Y10" i="3"/>
  <c r="Y71" i="3" s="1"/>
  <c r="X10" i="3"/>
  <c r="X71" i="3" s="1"/>
  <c r="W10" i="3"/>
  <c r="W13" i="3" s="1"/>
  <c r="W14" i="3" s="1"/>
  <c r="V10" i="3"/>
  <c r="B8" i="2" s="1"/>
  <c r="O10" i="3"/>
  <c r="O71" i="3" s="1"/>
  <c r="N10" i="3"/>
  <c r="N71" i="3" s="1"/>
  <c r="M10" i="3"/>
  <c r="L10" i="3"/>
  <c r="K10" i="3"/>
  <c r="F10" i="3"/>
  <c r="EQ9" i="3"/>
  <c r="EO9" i="3"/>
  <c r="EN9" i="3"/>
  <c r="EM9" i="3"/>
  <c r="EL9" i="3"/>
  <c r="EJ9" i="3"/>
  <c r="EI9" i="3"/>
  <c r="EH9" i="3"/>
  <c r="EG9" i="3"/>
  <c r="EE9" i="3"/>
  <c r="ED9" i="3"/>
  <c r="EC9" i="3"/>
  <c r="EB9" i="3"/>
  <c r="DZ9" i="3"/>
  <c r="DY9" i="3"/>
  <c r="DX9" i="3"/>
  <c r="DW9" i="3"/>
  <c r="DU9" i="3"/>
  <c r="DT9" i="3"/>
  <c r="DS9" i="3"/>
  <c r="DR9" i="3"/>
  <c r="DP9" i="3"/>
  <c r="DO9" i="3"/>
  <c r="DN9" i="3"/>
  <c r="DM9" i="3"/>
  <c r="DK9" i="3"/>
  <c r="DJ9" i="3"/>
  <c r="DI9" i="3"/>
  <c r="DH9" i="3"/>
  <c r="DF9" i="3"/>
  <c r="DE9" i="3"/>
  <c r="DD9" i="3"/>
  <c r="DC9" i="3"/>
  <c r="DA9" i="3"/>
  <c r="CZ9" i="3"/>
  <c r="CY9" i="3"/>
  <c r="CX9" i="3"/>
  <c r="CL9" i="3"/>
  <c r="CK9" i="3"/>
  <c r="CJ9" i="3"/>
  <c r="CI9" i="3"/>
  <c r="CG9" i="3"/>
  <c r="CF9" i="3"/>
  <c r="CE9" i="3"/>
  <c r="CD9" i="3"/>
  <c r="CB9" i="3"/>
  <c r="CA9" i="3"/>
  <c r="BZ9" i="3"/>
  <c r="BY9" i="3"/>
  <c r="BW9" i="3"/>
  <c r="BV9" i="3"/>
  <c r="BU9" i="3"/>
  <c r="BT9" i="3"/>
  <c r="BR9" i="3"/>
  <c r="BQ9" i="3"/>
  <c r="BP9" i="3"/>
  <c r="BO9" i="3"/>
  <c r="BM9" i="3"/>
  <c r="BL9" i="3"/>
  <c r="BK9" i="3"/>
  <c r="BJ9" i="3"/>
  <c r="BH9" i="3"/>
  <c r="BG9" i="3"/>
  <c r="BF9" i="3"/>
  <c r="BE9" i="3"/>
  <c r="BC9" i="3"/>
  <c r="BB9" i="3"/>
  <c r="BA9" i="3"/>
  <c r="AZ9" i="3"/>
  <c r="AX9" i="3"/>
  <c r="AW9" i="3"/>
  <c r="AV9" i="3"/>
  <c r="AU9" i="3"/>
  <c r="AS9" i="3"/>
  <c r="AR9" i="3"/>
  <c r="AQ9" i="3"/>
  <c r="AP9" i="3"/>
  <c r="AN9" i="3"/>
  <c r="AM9" i="3"/>
  <c r="AL9" i="3"/>
  <c r="AK9" i="3"/>
  <c r="AH9" i="3"/>
  <c r="AG9" i="3"/>
  <c r="AF9" i="3"/>
  <c r="AC9" i="3"/>
  <c r="AB9" i="3"/>
  <c r="AA9" i="3"/>
  <c r="Y9" i="3"/>
  <c r="X9" i="3"/>
  <c r="W9" i="3"/>
  <c r="V9" i="3"/>
  <c r="T9" i="3"/>
  <c r="S9" i="3"/>
  <c r="R9" i="3"/>
  <c r="Q9" i="3"/>
  <c r="O9" i="3"/>
  <c r="N9" i="3"/>
  <c r="M9" i="3"/>
  <c r="L9" i="3"/>
  <c r="J9" i="3"/>
  <c r="I9" i="3"/>
  <c r="H9" i="3"/>
  <c r="G9" i="3"/>
  <c r="EQ8" i="3"/>
  <c r="EO8" i="3"/>
  <c r="EN8" i="3"/>
  <c r="EM8" i="3"/>
  <c r="EL8" i="3"/>
  <c r="EJ8" i="3"/>
  <c r="EI8" i="3"/>
  <c r="EH8" i="3"/>
  <c r="EG8" i="3"/>
  <c r="EE8" i="3"/>
  <c r="ED8" i="3"/>
  <c r="EC8" i="3"/>
  <c r="EB8" i="3"/>
  <c r="DZ8" i="3"/>
  <c r="DY8" i="3"/>
  <c r="DX8" i="3"/>
  <c r="DW8" i="3"/>
  <c r="DU8" i="3"/>
  <c r="DT8" i="3"/>
  <c r="DS8" i="3"/>
  <c r="DR8" i="3"/>
  <c r="DP8" i="3"/>
  <c r="DO8" i="3"/>
  <c r="DN8" i="3"/>
  <c r="DM8" i="3"/>
  <c r="DK8" i="3"/>
  <c r="DJ8" i="3"/>
  <c r="DI8" i="3"/>
  <c r="DH8" i="3"/>
  <c r="DF8" i="3"/>
  <c r="DE8" i="3"/>
  <c r="DD8" i="3"/>
  <c r="DC8" i="3"/>
  <c r="DA8" i="3"/>
  <c r="CZ8" i="3"/>
  <c r="CY8" i="3"/>
  <c r="CX8" i="3"/>
  <c r="CV8" i="3"/>
  <c r="CU8" i="3"/>
  <c r="CT8" i="3"/>
  <c r="CL8" i="3"/>
  <c r="CK8" i="3"/>
  <c r="CJ8" i="3"/>
  <c r="CI8" i="3"/>
  <c r="CG8" i="3"/>
  <c r="CF8" i="3"/>
  <c r="CE8" i="3"/>
  <c r="CD8" i="3"/>
  <c r="CB8" i="3"/>
  <c r="CA8" i="3"/>
  <c r="BZ8" i="3"/>
  <c r="BY8" i="3"/>
  <c r="BW8" i="3"/>
  <c r="BV8" i="3"/>
  <c r="BU8" i="3"/>
  <c r="BT8" i="3"/>
  <c r="BR8" i="3"/>
  <c r="BQ8" i="3"/>
  <c r="BP8" i="3"/>
  <c r="BO8" i="3"/>
  <c r="BM8" i="3"/>
  <c r="BL8" i="3"/>
  <c r="BK8" i="3"/>
  <c r="BJ8" i="3"/>
  <c r="BH8" i="3"/>
  <c r="BG8" i="3"/>
  <c r="BF8" i="3"/>
  <c r="BE8" i="3"/>
  <c r="BC8" i="3"/>
  <c r="BB8" i="3"/>
  <c r="BA8" i="3"/>
  <c r="AZ8" i="3"/>
  <c r="AX8" i="3"/>
  <c r="AW8" i="3"/>
  <c r="AV8" i="3"/>
  <c r="AU8" i="3"/>
  <c r="AS8" i="3"/>
  <c r="AR8" i="3"/>
  <c r="AQ8" i="3"/>
  <c r="AP8" i="3"/>
  <c r="AN8" i="3"/>
  <c r="AM8" i="3"/>
  <c r="AL8" i="3"/>
  <c r="AK8" i="3"/>
  <c r="AI8" i="3"/>
  <c r="AH8" i="3"/>
  <c r="AG8" i="3"/>
  <c r="AC8" i="3"/>
  <c r="AB8" i="3"/>
  <c r="AA8" i="3"/>
  <c r="Y8" i="3"/>
  <c r="X8" i="3"/>
  <c r="W8" i="3"/>
  <c r="V8" i="3"/>
  <c r="V242" i="3" s="1"/>
  <c r="T8" i="3"/>
  <c r="S8" i="3"/>
  <c r="R8" i="3"/>
  <c r="Q8" i="3"/>
  <c r="O8" i="3"/>
  <c r="N8" i="3"/>
  <c r="M8" i="3"/>
  <c r="L8" i="3"/>
  <c r="J8" i="3"/>
  <c r="I8" i="3"/>
  <c r="H8" i="3"/>
  <c r="G8" i="3"/>
  <c r="EP7" i="3"/>
  <c r="EK7" i="3"/>
  <c r="EF7" i="3"/>
  <c r="EA7" i="3"/>
  <c r="DV7" i="3"/>
  <c r="DQ7" i="3"/>
  <c r="DL7" i="3"/>
  <c r="DG7" i="3"/>
  <c r="DB7" i="3"/>
  <c r="CW7" i="3"/>
  <c r="CQ7" i="3"/>
  <c r="CV9" i="3" s="1"/>
  <c r="CP7" i="3"/>
  <c r="CP9" i="3" s="1"/>
  <c r="CO7" i="3"/>
  <c r="BG5" i="2" s="1"/>
  <c r="CN7" i="3"/>
  <c r="CN66" i="3" s="1"/>
  <c r="CM7" i="3"/>
  <c r="CH7" i="3"/>
  <c r="CC7" i="3"/>
  <c r="BX7" i="3"/>
  <c r="BS7" i="3"/>
  <c r="BN7" i="3"/>
  <c r="BN20" i="3" s="1"/>
  <c r="BI7" i="3"/>
  <c r="BD7" i="3"/>
  <c r="AY7" i="3"/>
  <c r="AT7" i="3"/>
  <c r="AO7" i="3"/>
  <c r="AJ7" i="3"/>
  <c r="AD7" i="3"/>
  <c r="AD241" i="3" s="1"/>
  <c r="Z7" i="3"/>
  <c r="U7" i="3"/>
  <c r="P7" i="3"/>
  <c r="K7" i="3"/>
  <c r="F7" i="3"/>
  <c r="CW3" i="3"/>
  <c r="CR3" i="3" s="1"/>
  <c r="CM3" i="3" s="1"/>
  <c r="CH3" i="3" s="1"/>
  <c r="CC3" i="3" s="1"/>
  <c r="BX3" i="3" s="1"/>
  <c r="BS3" i="3" s="1"/>
  <c r="BN3" i="3" s="1"/>
  <c r="BI3" i="3" s="1"/>
  <c r="BD3" i="3" s="1"/>
  <c r="AY3" i="3" s="1"/>
  <c r="AT3" i="3" s="1"/>
  <c r="AO3" i="3" s="1"/>
  <c r="AJ3" i="3" s="1"/>
  <c r="AE3" i="3" s="1"/>
  <c r="Z3" i="3" s="1"/>
  <c r="U3" i="3" s="1"/>
  <c r="P3" i="3" s="1"/>
  <c r="K3" i="3" s="1"/>
  <c r="F3" i="3" s="1"/>
  <c r="CA310" i="2"/>
  <c r="BZ310" i="2"/>
  <c r="BY310" i="2"/>
  <c r="BX310" i="2"/>
  <c r="BW310" i="2"/>
  <c r="BV310" i="2"/>
  <c r="BU310" i="2"/>
  <c r="CA309" i="2"/>
  <c r="BZ309" i="2"/>
  <c r="BY309" i="2"/>
  <c r="BX309" i="2"/>
  <c r="BW309" i="2"/>
  <c r="BV309" i="2"/>
  <c r="BU309" i="2"/>
  <c r="BT309" i="2"/>
  <c r="BS309" i="2"/>
  <c r="BR309" i="2"/>
  <c r="EL308" i="2"/>
  <c r="EK308" i="2"/>
  <c r="CA307" i="2"/>
  <c r="BZ307" i="2"/>
  <c r="BY307" i="2"/>
  <c r="BX307" i="2"/>
  <c r="BW307" i="2"/>
  <c r="BV307" i="2"/>
  <c r="BU307" i="2"/>
  <c r="CA306" i="2"/>
  <c r="BZ306" i="2"/>
  <c r="BY306" i="2"/>
  <c r="BX306" i="2"/>
  <c r="BW306" i="2"/>
  <c r="BV306" i="2"/>
  <c r="BU306" i="2"/>
  <c r="BT306" i="2"/>
  <c r="BS306" i="2"/>
  <c r="BR306" i="2"/>
  <c r="EL305" i="2"/>
  <c r="EK305" i="2"/>
  <c r="CA304" i="2"/>
  <c r="BZ304" i="2"/>
  <c r="BY304" i="2"/>
  <c r="BX304" i="2"/>
  <c r="BW304" i="2"/>
  <c r="BV304" i="2"/>
  <c r="BU304" i="2"/>
  <c r="CA303" i="2"/>
  <c r="BZ303" i="2"/>
  <c r="BY303" i="2"/>
  <c r="BX303" i="2"/>
  <c r="BW303" i="2"/>
  <c r="BV303" i="2"/>
  <c r="BU303" i="2"/>
  <c r="BT303" i="2"/>
  <c r="BS303" i="2"/>
  <c r="BR303" i="2"/>
  <c r="EL302" i="2"/>
  <c r="EK302" i="2"/>
  <c r="CA301" i="2"/>
  <c r="BZ301" i="2"/>
  <c r="BY301" i="2"/>
  <c r="BX301" i="2"/>
  <c r="BW301" i="2"/>
  <c r="BV301" i="2"/>
  <c r="BU301" i="2"/>
  <c r="CA300" i="2"/>
  <c r="BZ300" i="2"/>
  <c r="BY300" i="2"/>
  <c r="BX300" i="2"/>
  <c r="BW300" i="2"/>
  <c r="BV300" i="2"/>
  <c r="BU300" i="2"/>
  <c r="BT300" i="2"/>
  <c r="BS300" i="2"/>
  <c r="BR300" i="2"/>
  <c r="EL299" i="2"/>
  <c r="EK299" i="2"/>
  <c r="CA296" i="2"/>
  <c r="BZ296" i="2"/>
  <c r="BY296" i="2"/>
  <c r="BX296" i="2"/>
  <c r="BW296" i="2"/>
  <c r="BV296" i="2"/>
  <c r="BU296" i="2"/>
  <c r="BT296" i="2"/>
  <c r="BS296" i="2"/>
  <c r="BR296" i="2"/>
  <c r="BQ296" i="2"/>
  <c r="CA292" i="2"/>
  <c r="BZ292" i="2"/>
  <c r="BY292" i="2"/>
  <c r="BX292" i="2"/>
  <c r="BW292" i="2"/>
  <c r="BV292" i="2"/>
  <c r="BU292" i="2"/>
  <c r="BT292" i="2"/>
  <c r="BS292" i="2"/>
  <c r="BR292" i="2"/>
  <c r="CA291" i="2"/>
  <c r="BZ291" i="2"/>
  <c r="BY291" i="2"/>
  <c r="BX291" i="2"/>
  <c r="BW291" i="2"/>
  <c r="BV291" i="2"/>
  <c r="BU291" i="2"/>
  <c r="BT291" i="2"/>
  <c r="BS291" i="2"/>
  <c r="BR291" i="2"/>
  <c r="BQ291" i="2"/>
  <c r="BP291" i="2"/>
  <c r="BO291" i="2"/>
  <c r="EL290" i="2"/>
  <c r="EK290" i="2"/>
  <c r="EJ290" i="2"/>
  <c r="CA289" i="2"/>
  <c r="BZ289" i="2"/>
  <c r="BY289" i="2"/>
  <c r="BX289" i="2"/>
  <c r="BW289" i="2"/>
  <c r="BV289" i="2"/>
  <c r="BU289" i="2"/>
  <c r="BT289" i="2"/>
  <c r="BS289" i="2"/>
  <c r="BR289" i="2"/>
  <c r="CA288" i="2"/>
  <c r="BZ288" i="2"/>
  <c r="BY288" i="2"/>
  <c r="BX288" i="2"/>
  <c r="BW288" i="2"/>
  <c r="BV288" i="2"/>
  <c r="BU288" i="2"/>
  <c r="BT288" i="2"/>
  <c r="BS288" i="2"/>
  <c r="BR288" i="2"/>
  <c r="BQ288" i="2"/>
  <c r="BP288" i="2"/>
  <c r="BO288" i="2"/>
  <c r="EL287" i="2"/>
  <c r="EK287" i="2"/>
  <c r="EJ287" i="2"/>
  <c r="CA284" i="2"/>
  <c r="BZ284" i="2"/>
  <c r="BY284" i="2"/>
  <c r="BX284" i="2"/>
  <c r="BW284" i="2"/>
  <c r="BV284" i="2"/>
  <c r="BU284" i="2"/>
  <c r="BT284" i="2"/>
  <c r="BS284" i="2"/>
  <c r="BR284" i="2"/>
  <c r="BQ284" i="2"/>
  <c r="BP284" i="2"/>
  <c r="BO284" i="2"/>
  <c r="BN284" i="2"/>
  <c r="BQ269" i="2"/>
  <c r="BQ272" i="2" s="1"/>
  <c r="BP269" i="2"/>
  <c r="BO269" i="2"/>
  <c r="BN269" i="2"/>
  <c r="BN272" i="2" s="1"/>
  <c r="BM269" i="2"/>
  <c r="BL269" i="2"/>
  <c r="BL272" i="2" s="1"/>
  <c r="BK269" i="2"/>
  <c r="BJ269" i="2"/>
  <c r="BI269" i="2"/>
  <c r="BH269" i="2"/>
  <c r="BG269" i="2"/>
  <c r="BF269" i="2"/>
  <c r="BF272" i="2" s="1"/>
  <c r="BE269" i="2"/>
  <c r="BE272" i="2" s="1"/>
  <c r="BD269" i="2"/>
  <c r="BC269" i="2"/>
  <c r="BB269" i="2"/>
  <c r="BQ268" i="2"/>
  <c r="BP268" i="2"/>
  <c r="BO268" i="2"/>
  <c r="BN268" i="2"/>
  <c r="BM268" i="2"/>
  <c r="BL268" i="2"/>
  <c r="BK268" i="2"/>
  <c r="BJ268" i="2"/>
  <c r="BI268" i="2"/>
  <c r="BH268" i="2"/>
  <c r="BG268" i="2"/>
  <c r="BF268" i="2"/>
  <c r="BE268" i="2"/>
  <c r="BD268" i="2"/>
  <c r="BC268" i="2"/>
  <c r="BB268" i="2"/>
  <c r="BQ267" i="2"/>
  <c r="BP267" i="2"/>
  <c r="BO267" i="2"/>
  <c r="BN267" i="2"/>
  <c r="BM267" i="2"/>
  <c r="BL267" i="2"/>
  <c r="BK267" i="2"/>
  <c r="BJ267" i="2"/>
  <c r="BI267" i="2"/>
  <c r="BH267" i="2"/>
  <c r="BG267" i="2"/>
  <c r="BF267" i="2"/>
  <c r="BQ266" i="2"/>
  <c r="BP266" i="2"/>
  <c r="BO266" i="2"/>
  <c r="BN266" i="2"/>
  <c r="BM266" i="2"/>
  <c r="BL266" i="2"/>
  <c r="BK266" i="2"/>
  <c r="BJ266" i="2"/>
  <c r="BI266" i="2"/>
  <c r="BH266" i="2"/>
  <c r="BG266" i="2"/>
  <c r="BF266" i="2"/>
  <c r="BE266" i="2"/>
  <c r="BD266" i="2"/>
  <c r="BC266" i="2"/>
  <c r="CB265" i="2"/>
  <c r="CA265" i="2"/>
  <c r="BZ265" i="2"/>
  <c r="BZ268" i="2" s="1"/>
  <c r="BY265" i="2"/>
  <c r="BX265" i="2"/>
  <c r="BW265" i="2"/>
  <c r="BW268" i="2" s="1"/>
  <c r="BV265" i="2"/>
  <c r="BU265" i="2"/>
  <c r="BU267" i="2" s="1"/>
  <c r="BT265" i="2"/>
  <c r="BS265" i="2"/>
  <c r="BR265" i="2"/>
  <c r="BQ264" i="2"/>
  <c r="BP264" i="2"/>
  <c r="BO264" i="2"/>
  <c r="BN264" i="2"/>
  <c r="BM264" i="2"/>
  <c r="BL264" i="2"/>
  <c r="BK264" i="2"/>
  <c r="BJ264" i="2"/>
  <c r="BI264" i="2"/>
  <c r="BH264" i="2"/>
  <c r="BG264" i="2"/>
  <c r="BF264" i="2"/>
  <c r="BE264" i="2"/>
  <c r="BD264" i="2"/>
  <c r="BC264" i="2"/>
  <c r="BB264" i="2"/>
  <c r="BQ263" i="2"/>
  <c r="BP263" i="2"/>
  <c r="BO263" i="2"/>
  <c r="BN263" i="2"/>
  <c r="BM263" i="2"/>
  <c r="BL263" i="2"/>
  <c r="BK263" i="2"/>
  <c r="BJ263" i="2"/>
  <c r="BI263" i="2"/>
  <c r="BH263" i="2"/>
  <c r="BG263" i="2"/>
  <c r="BF263" i="2"/>
  <c r="BQ262" i="2"/>
  <c r="BP262" i="2"/>
  <c r="BO262" i="2"/>
  <c r="BN262" i="2"/>
  <c r="BM262" i="2"/>
  <c r="BL262" i="2"/>
  <c r="BK262" i="2"/>
  <c r="BJ262" i="2"/>
  <c r="BI262" i="2"/>
  <c r="BH262" i="2"/>
  <c r="BG262" i="2"/>
  <c r="BF262" i="2"/>
  <c r="BE262" i="2"/>
  <c r="BD262" i="2"/>
  <c r="BC262" i="2"/>
  <c r="CB261" i="2"/>
  <c r="CA261" i="2"/>
  <c r="BZ261" i="2"/>
  <c r="BY261" i="2"/>
  <c r="BX261" i="2"/>
  <c r="BW261" i="2"/>
  <c r="BW264" i="2" s="1"/>
  <c r="BV261" i="2"/>
  <c r="BU261" i="2"/>
  <c r="BT261" i="2"/>
  <c r="BS261" i="2"/>
  <c r="BS269" i="2" s="1"/>
  <c r="BR261" i="2"/>
  <c r="CA254" i="2"/>
  <c r="BZ254" i="2"/>
  <c r="BY254" i="2"/>
  <c r="BY234" i="2" s="1"/>
  <c r="BX254" i="2"/>
  <c r="BA254" i="2"/>
  <c r="BA245" i="2" s="1"/>
  <c r="AZ254" i="2"/>
  <c r="AY254" i="2"/>
  <c r="AX254" i="2"/>
  <c r="AX253" i="2" s="1"/>
  <c r="BA251" i="2"/>
  <c r="AZ251" i="2"/>
  <c r="AY251" i="2"/>
  <c r="EF250" i="2"/>
  <c r="BN250" i="2"/>
  <c r="BM250" i="2"/>
  <c r="BL250" i="2"/>
  <c r="BK250" i="2"/>
  <c r="BJ250" i="2"/>
  <c r="BI250" i="2"/>
  <c r="BH250" i="2"/>
  <c r="BG250" i="2"/>
  <c r="BF250" i="2"/>
  <c r="BE250" i="2"/>
  <c r="BE252" i="2" s="1"/>
  <c r="BD250" i="2"/>
  <c r="BD252" i="2" s="1"/>
  <c r="BC250" i="2"/>
  <c r="BB250" i="2"/>
  <c r="BY247" i="2"/>
  <c r="BA247" i="2"/>
  <c r="AZ247" i="2"/>
  <c r="AY247" i="2"/>
  <c r="EF246" i="2"/>
  <c r="AY245" i="2"/>
  <c r="BY244" i="2"/>
  <c r="BX244" i="2"/>
  <c r="BW244" i="2"/>
  <c r="BV244" i="2"/>
  <c r="BU244" i="2"/>
  <c r="BT244" i="2"/>
  <c r="BS244" i="2"/>
  <c r="BR244" i="2"/>
  <c r="BQ244" i="2"/>
  <c r="BP244" i="2"/>
  <c r="BO244" i="2"/>
  <c r="BN244" i="2"/>
  <c r="BM244" i="2"/>
  <c r="BL244" i="2"/>
  <c r="BK244" i="2"/>
  <c r="BJ244" i="2"/>
  <c r="BI244" i="2"/>
  <c r="BH244" i="2"/>
  <c r="BG244" i="2"/>
  <c r="BF244" i="2"/>
  <c r="BE244" i="2"/>
  <c r="BD244" i="2"/>
  <c r="BC244" i="2"/>
  <c r="BB244" i="2"/>
  <c r="BY243" i="2"/>
  <c r="BX243" i="2"/>
  <c r="BW243" i="2"/>
  <c r="BV243" i="2"/>
  <c r="BU243" i="2"/>
  <c r="BT243" i="2"/>
  <c r="BS243" i="2"/>
  <c r="BR243" i="2"/>
  <c r="BQ243" i="2"/>
  <c r="BP243" i="2"/>
  <c r="BO243" i="2"/>
  <c r="BN243" i="2"/>
  <c r="BM243" i="2"/>
  <c r="BL243" i="2"/>
  <c r="BK243" i="2"/>
  <c r="BJ243" i="2"/>
  <c r="BI243" i="2"/>
  <c r="BH243" i="2"/>
  <c r="BG243" i="2"/>
  <c r="BF243" i="2"/>
  <c r="BE243" i="2"/>
  <c r="BD243" i="2"/>
  <c r="BC243" i="2"/>
  <c r="BB243" i="2"/>
  <c r="BA243" i="2"/>
  <c r="AZ243" i="2"/>
  <c r="AY243" i="2"/>
  <c r="EL242" i="2"/>
  <c r="EK242" i="2"/>
  <c r="EJ242" i="2"/>
  <c r="EI242" i="2"/>
  <c r="EH242" i="2"/>
  <c r="EG242" i="2"/>
  <c r="EF242" i="2"/>
  <c r="CH237" i="2"/>
  <c r="CG237" i="2"/>
  <c r="CF237" i="2"/>
  <c r="CE237" i="2"/>
  <c r="CD237" i="2"/>
  <c r="CC237" i="2"/>
  <c r="CB237" i="2"/>
  <c r="CA237" i="2"/>
  <c r="BZ237" i="2"/>
  <c r="BY237" i="2"/>
  <c r="BX237" i="2"/>
  <c r="BW237" i="2"/>
  <c r="CH236" i="2"/>
  <c r="CG236" i="2"/>
  <c r="CF236" i="2"/>
  <c r="CE236" i="2"/>
  <c r="CD236" i="2"/>
  <c r="CC236" i="2"/>
  <c r="CB236" i="2"/>
  <c r="CA236" i="2"/>
  <c r="BZ236" i="2"/>
  <c r="BY236" i="2"/>
  <c r="BX236" i="2"/>
  <c r="BW236" i="2"/>
  <c r="EJ235" i="2"/>
  <c r="EI235" i="2"/>
  <c r="EH235" i="2"/>
  <c r="EG235" i="2"/>
  <c r="EF235" i="2"/>
  <c r="CH233" i="2"/>
  <c r="CG233" i="2"/>
  <c r="CF233" i="2"/>
  <c r="CE233" i="2"/>
  <c r="CD233" i="2"/>
  <c r="CC233" i="2"/>
  <c r="CB233" i="2"/>
  <c r="CA233" i="2"/>
  <c r="BZ233" i="2"/>
  <c r="BY233" i="2"/>
  <c r="BX233" i="2"/>
  <c r="BW233" i="2"/>
  <c r="CH232" i="2"/>
  <c r="CG232" i="2"/>
  <c r="CF232" i="2"/>
  <c r="CE232" i="2"/>
  <c r="CD232" i="2"/>
  <c r="CC232" i="2"/>
  <c r="CB232" i="2"/>
  <c r="CA232" i="2"/>
  <c r="BZ232" i="2"/>
  <c r="BY232" i="2"/>
  <c r="BX232" i="2"/>
  <c r="BW232" i="2"/>
  <c r="EJ231" i="2"/>
  <c r="EI231" i="2"/>
  <c r="EH231" i="2"/>
  <c r="EG231" i="2"/>
  <c r="EF231" i="2"/>
  <c r="BY223" i="2"/>
  <c r="BX223" i="2"/>
  <c r="BW223" i="2"/>
  <c r="BV223" i="2"/>
  <c r="BU223" i="2"/>
  <c r="BT223" i="2"/>
  <c r="BS223" i="2"/>
  <c r="BR223" i="2"/>
  <c r="BQ223" i="2"/>
  <c r="BP223" i="2"/>
  <c r="BO223" i="2"/>
  <c r="BN223" i="2"/>
  <c r="BM223" i="2"/>
  <c r="BL223" i="2"/>
  <c r="CW211" i="2"/>
  <c r="CU210" i="2"/>
  <c r="CT210" i="2"/>
  <c r="CR210" i="2"/>
  <c r="CQ210" i="2"/>
  <c r="CP210" i="2"/>
  <c r="CO210" i="2"/>
  <c r="CN210" i="2"/>
  <c r="CM210" i="2"/>
  <c r="CL210" i="2"/>
  <c r="CS208" i="2"/>
  <c r="CS210" i="2" s="1"/>
  <c r="ER168" i="2"/>
  <c r="ER175" i="2" s="1"/>
  <c r="EQ168" i="2"/>
  <c r="EQ173" i="2" s="1"/>
  <c r="EP168" i="2"/>
  <c r="EP173" i="2" s="1"/>
  <c r="CV168" i="2"/>
  <c r="CV172" i="2" s="1"/>
  <c r="CU168" i="2"/>
  <c r="CU174" i="2" s="1"/>
  <c r="CT168" i="2"/>
  <c r="CT176" i="2" s="1"/>
  <c r="CR168" i="2"/>
  <c r="CQ168" i="2"/>
  <c r="CQ178" i="2" s="1"/>
  <c r="CP168" i="2"/>
  <c r="CP173" i="2" s="1"/>
  <c r="CN168" i="2"/>
  <c r="CN177" i="2" s="1"/>
  <c r="CM168" i="2"/>
  <c r="CM179" i="2" s="1"/>
  <c r="CJ168" i="2"/>
  <c r="CJ175" i="2" s="1"/>
  <c r="CI168" i="2"/>
  <c r="CI175" i="2" s="1"/>
  <c r="CF168" i="2"/>
  <c r="CF173" i="2" s="1"/>
  <c r="CE168" i="2"/>
  <c r="CE172" i="2" s="1"/>
  <c r="CD168" i="2"/>
  <c r="CD172" i="2" s="1"/>
  <c r="EO167" i="2"/>
  <c r="EN167" i="2"/>
  <c r="CS167" i="2"/>
  <c r="CS166" i="2"/>
  <c r="CL166" i="2"/>
  <c r="CO166" i="2" s="1"/>
  <c r="CH166" i="2"/>
  <c r="CG166" i="2"/>
  <c r="EN166" i="2" s="1"/>
  <c r="EO165" i="2"/>
  <c r="EN165" i="2"/>
  <c r="CS164" i="2"/>
  <c r="CO164" i="2"/>
  <c r="CK164" i="2"/>
  <c r="CG164" i="2"/>
  <c r="EN164" i="2" s="1"/>
  <c r="EN163" i="2"/>
  <c r="CS162" i="2"/>
  <c r="CO162" i="2"/>
  <c r="CK162" i="2"/>
  <c r="EO162" i="2" s="1"/>
  <c r="CG162" i="2"/>
  <c r="EN162" i="2" s="1"/>
  <c r="CS161" i="2"/>
  <c r="CO161" i="2"/>
  <c r="CK161" i="2"/>
  <c r="EO161" i="2" s="1"/>
  <c r="CG161" i="2"/>
  <c r="EN161" i="2" s="1"/>
  <c r="BC155" i="2"/>
  <c r="BD155" i="2" s="1"/>
  <c r="BE155" i="2" s="1"/>
  <c r="BE152" i="2" s="1"/>
  <c r="BB152" i="2"/>
  <c r="CY151" i="2"/>
  <c r="CZ151" i="2" s="1"/>
  <c r="DA151" i="2" s="1"/>
  <c r="DB151" i="2" s="1"/>
  <c r="DC151" i="2" s="1"/>
  <c r="DD151" i="2" s="1"/>
  <c r="DE151" i="2" s="1"/>
  <c r="DF151" i="2" s="1"/>
  <c r="DG151" i="2" s="1"/>
  <c r="DH151" i="2" s="1"/>
  <c r="DI151" i="2" s="1"/>
  <c r="DJ151" i="2" s="1"/>
  <c r="DK151" i="2" s="1"/>
  <c r="DL151" i="2" s="1"/>
  <c r="DM151" i="2" s="1"/>
  <c r="DN151" i="2" s="1"/>
  <c r="DO151" i="2" s="1"/>
  <c r="DP151" i="2" s="1"/>
  <c r="DQ151" i="2" s="1"/>
  <c r="CV151" i="2"/>
  <c r="CW151" i="2" s="1"/>
  <c r="CW148" i="2" s="1"/>
  <c r="CR151" i="2"/>
  <c r="CK151" i="2"/>
  <c r="CK148" i="2" s="1"/>
  <c r="BW151" i="2"/>
  <c r="BU151" i="2"/>
  <c r="BU148" i="2" s="1"/>
  <c r="CU148" i="2"/>
  <c r="CQ148" i="2"/>
  <c r="CP148" i="2"/>
  <c r="CO148" i="2"/>
  <c r="CN148" i="2"/>
  <c r="CM148" i="2"/>
  <c r="CL148" i="2"/>
  <c r="CJ148" i="2"/>
  <c r="CI148" i="2"/>
  <c r="CH148" i="2"/>
  <c r="CG148" i="2"/>
  <c r="CF148" i="2"/>
  <c r="CE148" i="2"/>
  <c r="CD148" i="2"/>
  <c r="CC148" i="2"/>
  <c r="BV148" i="2"/>
  <c r="BT148" i="2"/>
  <c r="BS148" i="2"/>
  <c r="BR148" i="2"/>
  <c r="BQ148" i="2"/>
  <c r="BP148" i="2"/>
  <c r="BO148" i="2"/>
  <c r="CY147" i="2"/>
  <c r="CZ147" i="2" s="1"/>
  <c r="DA147" i="2" s="1"/>
  <c r="DB147" i="2" s="1"/>
  <c r="DC147" i="2" s="1"/>
  <c r="DD147" i="2" s="1"/>
  <c r="DE147" i="2" s="1"/>
  <c r="DF147" i="2" s="1"/>
  <c r="DG147" i="2" s="1"/>
  <c r="DH147" i="2" s="1"/>
  <c r="DI147" i="2" s="1"/>
  <c r="DJ147" i="2" s="1"/>
  <c r="DK147" i="2" s="1"/>
  <c r="DL147" i="2" s="1"/>
  <c r="DM147" i="2" s="1"/>
  <c r="DN147" i="2" s="1"/>
  <c r="DO147" i="2" s="1"/>
  <c r="DP147" i="2" s="1"/>
  <c r="DQ147" i="2" s="1"/>
  <c r="CV147" i="2"/>
  <c r="CV144" i="2" s="1"/>
  <c r="CR147" i="2"/>
  <c r="CO147" i="2"/>
  <c r="CO144" i="2" s="1"/>
  <c r="CD147" i="2"/>
  <c r="BT147" i="2"/>
  <c r="BT144" i="2" s="1"/>
  <c r="CW144" i="2"/>
  <c r="CU144" i="2"/>
  <c r="CT144" i="2"/>
  <c r="CQ144" i="2"/>
  <c r="CP144" i="2"/>
  <c r="CN144" i="2"/>
  <c r="CM144" i="2"/>
  <c r="CL144" i="2"/>
  <c r="CK144" i="2"/>
  <c r="CJ144" i="2"/>
  <c r="CI144" i="2"/>
  <c r="CC144" i="2"/>
  <c r="CB144" i="2"/>
  <c r="CA144" i="2"/>
  <c r="BZ144" i="2"/>
  <c r="BY144" i="2"/>
  <c r="BX144" i="2"/>
  <c r="BW144" i="2"/>
  <c r="BV144" i="2"/>
  <c r="BU144" i="2"/>
  <c r="BS144" i="2"/>
  <c r="BR144" i="2"/>
  <c r="BQ144" i="2"/>
  <c r="BP144" i="2"/>
  <c r="BO144" i="2"/>
  <c r="BN144" i="2"/>
  <c r="BM144" i="2"/>
  <c r="BL144" i="2"/>
  <c r="BK144" i="2"/>
  <c r="DA143" i="2"/>
  <c r="CY143" i="2"/>
  <c r="CR143" i="2"/>
  <c r="CS143" i="2" s="1"/>
  <c r="CT143" i="2" s="1"/>
  <c r="CT140" i="2" s="1"/>
  <c r="CI143" i="2"/>
  <c r="CC143" i="2"/>
  <c r="BQ143" i="2"/>
  <c r="BP143" i="2"/>
  <c r="BO143" i="2"/>
  <c r="BN143" i="2"/>
  <c r="BM143" i="2"/>
  <c r="BL143" i="2"/>
  <c r="BK143" i="2"/>
  <c r="BJ143" i="2"/>
  <c r="BI143" i="2"/>
  <c r="BH143" i="2"/>
  <c r="BG143" i="2"/>
  <c r="BF143" i="2"/>
  <c r="BE143" i="2"/>
  <c r="BD143" i="2"/>
  <c r="BC143" i="2"/>
  <c r="BB143" i="2"/>
  <c r="BQ142" i="2"/>
  <c r="BP142" i="2"/>
  <c r="BO142" i="2"/>
  <c r="BN142" i="2"/>
  <c r="BM142" i="2"/>
  <c r="BL142" i="2"/>
  <c r="BK142" i="2"/>
  <c r="BJ142" i="2"/>
  <c r="BI142" i="2"/>
  <c r="BH142" i="2"/>
  <c r="BG142" i="2"/>
  <c r="BF142" i="2"/>
  <c r="BQ141" i="2"/>
  <c r="BP141" i="2"/>
  <c r="BO141" i="2"/>
  <c r="BN141" i="2"/>
  <c r="BM141" i="2"/>
  <c r="BL141" i="2"/>
  <c r="BK141" i="2"/>
  <c r="BJ141" i="2"/>
  <c r="BI141" i="2"/>
  <c r="BH141" i="2"/>
  <c r="BG141" i="2"/>
  <c r="BF141" i="2"/>
  <c r="BE141" i="2"/>
  <c r="BD141" i="2"/>
  <c r="BC141" i="2"/>
  <c r="EJ140" i="2"/>
  <c r="EI140" i="2"/>
  <c r="EH140" i="2"/>
  <c r="EG140" i="2"/>
  <c r="CX140" i="2"/>
  <c r="CW140" i="2"/>
  <c r="CV140" i="2"/>
  <c r="CU140" i="2"/>
  <c r="CQ140" i="2"/>
  <c r="CP140" i="2"/>
  <c r="CO140" i="2"/>
  <c r="CM140" i="2"/>
  <c r="CL140" i="2"/>
  <c r="CB140" i="2"/>
  <c r="CA140" i="2"/>
  <c r="BZ140" i="2"/>
  <c r="BY140" i="2"/>
  <c r="BX140" i="2"/>
  <c r="BW140" i="2"/>
  <c r="BV140" i="2"/>
  <c r="BV143" i="2" s="1"/>
  <c r="BU140" i="2"/>
  <c r="BU142" i="2" s="1"/>
  <c r="BT140" i="2"/>
  <c r="BS140" i="2"/>
  <c r="BR140" i="2"/>
  <c r="CZ139" i="2"/>
  <c r="DA139" i="2" s="1"/>
  <c r="CE139" i="2"/>
  <c r="BZ139" i="2"/>
  <c r="BZ136" i="2" s="1"/>
  <c r="BW139" i="2"/>
  <c r="BW136" i="2" s="1"/>
  <c r="BY136" i="2"/>
  <c r="BX136" i="2"/>
  <c r="BV136" i="2"/>
  <c r="BU136" i="2"/>
  <c r="BT136" i="2"/>
  <c r="BS136" i="2"/>
  <c r="BR136" i="2"/>
  <c r="BQ136" i="2"/>
  <c r="BP136" i="2"/>
  <c r="BO136" i="2"/>
  <c r="BN136" i="2"/>
  <c r="BM136" i="2"/>
  <c r="BL136" i="2"/>
  <c r="BK136" i="2"/>
  <c r="CY135" i="2"/>
  <c r="CZ135" i="2" s="1"/>
  <c r="DA135" i="2" s="1"/>
  <c r="DB135" i="2" s="1"/>
  <c r="DC135" i="2" s="1"/>
  <c r="DD135" i="2" s="1"/>
  <c r="DE135" i="2" s="1"/>
  <c r="DF135" i="2" s="1"/>
  <c r="DG135" i="2" s="1"/>
  <c r="DH135" i="2" s="1"/>
  <c r="DI135" i="2" s="1"/>
  <c r="DJ135" i="2" s="1"/>
  <c r="DK135" i="2" s="1"/>
  <c r="DL135" i="2" s="1"/>
  <c r="DM135" i="2" s="1"/>
  <c r="DN135" i="2" s="1"/>
  <c r="DO135" i="2" s="1"/>
  <c r="DP135" i="2" s="1"/>
  <c r="DQ135" i="2" s="1"/>
  <c r="CR135" i="2"/>
  <c r="BU135" i="2"/>
  <c r="BO135" i="2"/>
  <c r="BO132" i="2" s="1"/>
  <c r="CW132" i="2"/>
  <c r="CQ132" i="2"/>
  <c r="CP132" i="2"/>
  <c r="CO132" i="2"/>
  <c r="CN132" i="2"/>
  <c r="CM132" i="2"/>
  <c r="CL132" i="2"/>
  <c r="CK132" i="2"/>
  <c r="CJ132" i="2"/>
  <c r="CI132" i="2"/>
  <c r="CH132" i="2"/>
  <c r="CG132" i="2"/>
  <c r="BT132" i="2"/>
  <c r="BS132" i="2"/>
  <c r="BR132" i="2"/>
  <c r="BQ132" i="2"/>
  <c r="BP132" i="2"/>
  <c r="BN132" i="2"/>
  <c r="BM132" i="2"/>
  <c r="BL132" i="2"/>
  <c r="BK132" i="2"/>
  <c r="EW127" i="2"/>
  <c r="EV127" i="2"/>
  <c r="EU127" i="2"/>
  <c r="ET127" i="2"/>
  <c r="ES127" i="2"/>
  <c r="ER127" i="2"/>
  <c r="EQ127" i="2"/>
  <c r="EP127" i="2"/>
  <c r="EO127" i="2"/>
  <c r="EN127" i="2"/>
  <c r="EM127" i="2"/>
  <c r="EL127" i="2"/>
  <c r="EK127" i="2"/>
  <c r="DQ127" i="2"/>
  <c r="DP127" i="2"/>
  <c r="DO127" i="2"/>
  <c r="DN127" i="2"/>
  <c r="DM127" i="2"/>
  <c r="DL127" i="2"/>
  <c r="DK127" i="2"/>
  <c r="DJ127" i="2"/>
  <c r="DI127" i="2"/>
  <c r="DH127" i="2"/>
  <c r="DG127" i="2"/>
  <c r="DF127" i="2"/>
  <c r="DE127" i="2"/>
  <c r="DD127" i="2"/>
  <c r="DC127" i="2"/>
  <c r="DB127" i="2"/>
  <c r="DA127" i="2"/>
  <c r="CZ127" i="2"/>
  <c r="CY127" i="2"/>
  <c r="CX127" i="2"/>
  <c r="CW127" i="2"/>
  <c r="CV127" i="2"/>
  <c r="CU127" i="2"/>
  <c r="CT127" i="2"/>
  <c r="CS127" i="2"/>
  <c r="CR127" i="2"/>
  <c r="CQ127" i="2"/>
  <c r="CP127" i="2"/>
  <c r="CO127" i="2"/>
  <c r="CN127" i="2"/>
  <c r="CM127" i="2"/>
  <c r="CL127" i="2"/>
  <c r="CK127" i="2"/>
  <c r="CJ127" i="2"/>
  <c r="CI127" i="2"/>
  <c r="CH127" i="2"/>
  <c r="CG127" i="2"/>
  <c r="CF127" i="2"/>
  <c r="CE127" i="2"/>
  <c r="CD127" i="2"/>
  <c r="CC127" i="2"/>
  <c r="CB127" i="2"/>
  <c r="CA127" i="2"/>
  <c r="BZ127" i="2"/>
  <c r="BY127" i="2"/>
  <c r="BX127" i="2"/>
  <c r="BW127" i="2"/>
  <c r="BV127" i="2"/>
  <c r="BU127" i="2"/>
  <c r="BT127" i="2"/>
  <c r="BS127" i="2"/>
  <c r="BR127" i="2"/>
  <c r="BZ119" i="2"/>
  <c r="BY119" i="2"/>
  <c r="BX119" i="2"/>
  <c r="BW119" i="2"/>
  <c r="BW246" i="2" s="1"/>
  <c r="BX247" i="2" s="1"/>
  <c r="BV119" i="2"/>
  <c r="BV102" i="2" s="1"/>
  <c r="BU119" i="2"/>
  <c r="BT119" i="2"/>
  <c r="BT94" i="2" s="1"/>
  <c r="BS119" i="2"/>
  <c r="BR119" i="2"/>
  <c r="BQ119" i="2"/>
  <c r="BQ246" i="2" s="1"/>
  <c r="BP119" i="2"/>
  <c r="BO119" i="2"/>
  <c r="BN116" i="2"/>
  <c r="BM116" i="2"/>
  <c r="BL116" i="2"/>
  <c r="BK116" i="2"/>
  <c r="BJ116" i="2"/>
  <c r="BI116" i="2"/>
  <c r="BH116" i="2"/>
  <c r="BG116" i="2"/>
  <c r="BF116" i="2"/>
  <c r="BE116" i="2"/>
  <c r="BD116" i="2"/>
  <c r="BC116" i="2"/>
  <c r="EJ115" i="2"/>
  <c r="EI115" i="2"/>
  <c r="EH115" i="2"/>
  <c r="EG115" i="2"/>
  <c r="EF115" i="2"/>
  <c r="EE115" i="2" s="1"/>
  <c r="DN113" i="2"/>
  <c r="DJ113" i="2"/>
  <c r="DF113" i="2"/>
  <c r="DB113" i="2"/>
  <c r="CL112" i="2"/>
  <c r="CK112" i="2"/>
  <c r="CA112" i="2"/>
  <c r="DO111" i="2"/>
  <c r="DK111" i="2"/>
  <c r="DK112" i="2" s="1"/>
  <c r="DG111" i="2"/>
  <c r="DC111" i="2"/>
  <c r="DD111" i="2" s="1"/>
  <c r="CY111" i="2"/>
  <c r="CM111" i="2"/>
  <c r="CM112" i="2" s="1"/>
  <c r="CB111" i="2"/>
  <c r="CC111" i="2" s="1"/>
  <c r="BW109" i="2"/>
  <c r="BV109" i="2"/>
  <c r="BU109" i="2"/>
  <c r="BT109" i="2"/>
  <c r="BS109" i="2"/>
  <c r="CL108" i="2"/>
  <c r="CK108" i="2"/>
  <c r="CJ108" i="2"/>
  <c r="CI108" i="2"/>
  <c r="CH108" i="2"/>
  <c r="CG108" i="2"/>
  <c r="CF108" i="2"/>
  <c r="CE108" i="2"/>
  <c r="BT108" i="2"/>
  <c r="BS108" i="2"/>
  <c r="BR108" i="2"/>
  <c r="BQ108" i="2"/>
  <c r="BP108" i="2"/>
  <c r="EO107" i="2"/>
  <c r="EN107" i="2"/>
  <c r="EM107" i="2"/>
  <c r="EL107" i="2"/>
  <c r="EK107" i="2"/>
  <c r="EJ107" i="2"/>
  <c r="CM107" i="2"/>
  <c r="CN107" i="2" s="1"/>
  <c r="BY105" i="2"/>
  <c r="BX105" i="2"/>
  <c r="BW105" i="2"/>
  <c r="BV105" i="2"/>
  <c r="BU105" i="2"/>
  <c r="BT105" i="2"/>
  <c r="BS105" i="2"/>
  <c r="BR105" i="2"/>
  <c r="BY104" i="2"/>
  <c r="BX104" i="2"/>
  <c r="BW104" i="2"/>
  <c r="BV104" i="2"/>
  <c r="BU104" i="2"/>
  <c r="BT104" i="2"/>
  <c r="BS104" i="2"/>
  <c r="BR104" i="2"/>
  <c r="BQ104" i="2"/>
  <c r="BP104" i="2"/>
  <c r="BO104" i="2"/>
  <c r="EL103" i="2"/>
  <c r="EK103" i="2"/>
  <c r="EJ103" i="2"/>
  <c r="CL103" i="2"/>
  <c r="CK103" i="2"/>
  <c r="CJ103" i="2"/>
  <c r="CA103" i="2"/>
  <c r="CA105" i="2" s="1"/>
  <c r="BZ103" i="2"/>
  <c r="BZ105" i="2" s="1"/>
  <c r="CW101" i="2"/>
  <c r="CV101" i="2"/>
  <c r="CU101" i="2"/>
  <c r="CT101" i="2"/>
  <c r="CS101" i="2"/>
  <c r="CR101" i="2"/>
  <c r="CQ101" i="2"/>
  <c r="CP101" i="2"/>
  <c r="CO101" i="2"/>
  <c r="CN101" i="2"/>
  <c r="CM101" i="2"/>
  <c r="CL101" i="2"/>
  <c r="CK101" i="2"/>
  <c r="CJ101" i="2"/>
  <c r="CI101" i="2"/>
  <c r="CH101" i="2"/>
  <c r="CG101" i="2"/>
  <c r="CF101" i="2"/>
  <c r="CE101" i="2"/>
  <c r="CD101" i="2"/>
  <c r="CC101" i="2"/>
  <c r="CB101" i="2"/>
  <c r="CA101" i="2"/>
  <c r="BZ101" i="2"/>
  <c r="BY101" i="2"/>
  <c r="BX101" i="2"/>
  <c r="BW101" i="2"/>
  <c r="BV101" i="2"/>
  <c r="BU101" i="2"/>
  <c r="BT101" i="2"/>
  <c r="BS101" i="2"/>
  <c r="CW100" i="2"/>
  <c r="CV100" i="2"/>
  <c r="CU100" i="2"/>
  <c r="CT100" i="2"/>
  <c r="CS100" i="2"/>
  <c r="CR100" i="2"/>
  <c r="CQ100" i="2"/>
  <c r="CP100" i="2"/>
  <c r="CO100" i="2"/>
  <c r="CN100" i="2"/>
  <c r="CM100" i="2"/>
  <c r="CL100" i="2"/>
  <c r="CK100" i="2"/>
  <c r="CJ100" i="2"/>
  <c r="CI100" i="2"/>
  <c r="CH100" i="2"/>
  <c r="CG100" i="2"/>
  <c r="CF100" i="2"/>
  <c r="CE100" i="2"/>
  <c r="CD100" i="2"/>
  <c r="CC100" i="2"/>
  <c r="CB100" i="2"/>
  <c r="CA100" i="2"/>
  <c r="BZ100" i="2"/>
  <c r="BY100" i="2"/>
  <c r="BX100" i="2"/>
  <c r="BW100" i="2"/>
  <c r="BV100" i="2"/>
  <c r="BU100" i="2"/>
  <c r="BT100" i="2"/>
  <c r="BS100" i="2"/>
  <c r="BR100" i="2"/>
  <c r="BQ100" i="2"/>
  <c r="BP100" i="2"/>
  <c r="ER99" i="2"/>
  <c r="EQ99" i="2"/>
  <c r="EP99" i="2"/>
  <c r="EO99" i="2"/>
  <c r="EN99" i="2"/>
  <c r="EM99" i="2"/>
  <c r="EL99" i="2"/>
  <c r="EK99" i="2"/>
  <c r="BN99" i="2"/>
  <c r="BM99" i="2"/>
  <c r="BL99" i="2"/>
  <c r="BK99" i="2"/>
  <c r="BJ99" i="2"/>
  <c r="BI99" i="2"/>
  <c r="BI119" i="2" s="1"/>
  <c r="BH99" i="2"/>
  <c r="BG99" i="2"/>
  <c r="BF99" i="2"/>
  <c r="BE99" i="2"/>
  <c r="BD99" i="2"/>
  <c r="BC99" i="2"/>
  <c r="BC119" i="2" s="1"/>
  <c r="BB99" i="2"/>
  <c r="EF97" i="2"/>
  <c r="CW97" i="2"/>
  <c r="CV97" i="2"/>
  <c r="CU97" i="2"/>
  <c r="CT97" i="2"/>
  <c r="CS97" i="2"/>
  <c r="CR97" i="2"/>
  <c r="CQ97" i="2"/>
  <c r="CP97" i="2"/>
  <c r="CO97" i="2"/>
  <c r="CN97" i="2"/>
  <c r="CM97" i="2"/>
  <c r="CL97" i="2"/>
  <c r="CK97" i="2"/>
  <c r="CJ97" i="2"/>
  <c r="CI97" i="2"/>
  <c r="CH97" i="2"/>
  <c r="CG97" i="2"/>
  <c r="CF97" i="2"/>
  <c r="CE97" i="2"/>
  <c r="CD97" i="2"/>
  <c r="CC97" i="2"/>
  <c r="CB97" i="2"/>
  <c r="CA97" i="2"/>
  <c r="BZ97" i="2"/>
  <c r="BY97" i="2"/>
  <c r="BX97" i="2"/>
  <c r="BW97" i="2"/>
  <c r="BV97" i="2"/>
  <c r="BU97" i="2"/>
  <c r="BT97" i="2"/>
  <c r="BS97" i="2"/>
  <c r="BR97" i="2"/>
  <c r="BQ97" i="2"/>
  <c r="BP97" i="2"/>
  <c r="BO97" i="2"/>
  <c r="BN97" i="2"/>
  <c r="BM97" i="2"/>
  <c r="BL97" i="2"/>
  <c r="BK97" i="2"/>
  <c r="BJ97" i="2"/>
  <c r="BI97" i="2"/>
  <c r="BH97" i="2"/>
  <c r="BG97" i="2"/>
  <c r="BF97" i="2"/>
  <c r="CW96" i="2"/>
  <c r="CV96" i="2"/>
  <c r="CU96" i="2"/>
  <c r="CT96" i="2"/>
  <c r="CS96" i="2"/>
  <c r="CR96" i="2"/>
  <c r="CQ96" i="2"/>
  <c r="CP96" i="2"/>
  <c r="CO96" i="2"/>
  <c r="CN96" i="2"/>
  <c r="CM96" i="2"/>
  <c r="CL96" i="2"/>
  <c r="CK96" i="2"/>
  <c r="CJ96" i="2"/>
  <c r="CI96" i="2"/>
  <c r="CH96" i="2"/>
  <c r="CG96" i="2"/>
  <c r="CF96" i="2"/>
  <c r="CE96" i="2"/>
  <c r="CD96" i="2"/>
  <c r="CC96" i="2"/>
  <c r="CB96" i="2"/>
  <c r="CA96" i="2"/>
  <c r="BZ96" i="2"/>
  <c r="BY96" i="2"/>
  <c r="BX96" i="2"/>
  <c r="BW96" i="2"/>
  <c r="BV96" i="2"/>
  <c r="BU96" i="2"/>
  <c r="BT96" i="2"/>
  <c r="BS96" i="2"/>
  <c r="BR96" i="2"/>
  <c r="BQ96" i="2"/>
  <c r="BP96" i="2"/>
  <c r="BO96" i="2"/>
  <c r="BN96" i="2"/>
  <c r="BM96" i="2"/>
  <c r="BL96" i="2"/>
  <c r="BK96" i="2"/>
  <c r="BJ96" i="2"/>
  <c r="BI96" i="2"/>
  <c r="BH96" i="2"/>
  <c r="BG96" i="2"/>
  <c r="BF96" i="2"/>
  <c r="BE96" i="2"/>
  <c r="BD96" i="2"/>
  <c r="BC96" i="2"/>
  <c r="ER95" i="2"/>
  <c r="EQ95" i="2"/>
  <c r="EP95" i="2"/>
  <c r="EO95" i="2"/>
  <c r="EN95" i="2"/>
  <c r="EM95" i="2"/>
  <c r="EL95" i="2"/>
  <c r="EK95" i="2"/>
  <c r="EJ95" i="2"/>
  <c r="EI95" i="2"/>
  <c r="EH95" i="2"/>
  <c r="EG95" i="2"/>
  <c r="CX95" i="2"/>
  <c r="CX97" i="2" s="1"/>
  <c r="EF93" i="2"/>
  <c r="CX93" i="2"/>
  <c r="CW93" i="2"/>
  <c r="CV93" i="2"/>
  <c r="CU93" i="2"/>
  <c r="CT93" i="2"/>
  <c r="CS93" i="2"/>
  <c r="CQ93" i="2"/>
  <c r="CP93" i="2"/>
  <c r="CB93" i="2"/>
  <c r="CA93" i="2"/>
  <c r="BZ93" i="2"/>
  <c r="BY93" i="2"/>
  <c r="BX93" i="2"/>
  <c r="BW93" i="2"/>
  <c r="BV93" i="2"/>
  <c r="BU93" i="2"/>
  <c r="BT93" i="2"/>
  <c r="BS93" i="2"/>
  <c r="BR93" i="2"/>
  <c r="BQ93" i="2"/>
  <c r="BP93" i="2"/>
  <c r="BO93" i="2"/>
  <c r="BN93" i="2"/>
  <c r="BM93" i="2"/>
  <c r="BL93" i="2"/>
  <c r="BK93" i="2"/>
  <c r="BJ93" i="2"/>
  <c r="BI93" i="2"/>
  <c r="BH93" i="2"/>
  <c r="BG93" i="2"/>
  <c r="BF93" i="2"/>
  <c r="CX92" i="2"/>
  <c r="CW92" i="2"/>
  <c r="CV92" i="2"/>
  <c r="CU92" i="2"/>
  <c r="CT92" i="2"/>
  <c r="CS92" i="2"/>
  <c r="CR92" i="2"/>
  <c r="CQ92" i="2"/>
  <c r="CP92" i="2"/>
  <c r="CM92" i="2"/>
  <c r="CB92" i="2"/>
  <c r="CA92" i="2"/>
  <c r="BZ92" i="2"/>
  <c r="BY92" i="2"/>
  <c r="BX92" i="2"/>
  <c r="BW92" i="2"/>
  <c r="BV92" i="2"/>
  <c r="BU92" i="2"/>
  <c r="BT92" i="2"/>
  <c r="BS92" i="2"/>
  <c r="BR92" i="2"/>
  <c r="BQ92" i="2"/>
  <c r="BP92" i="2"/>
  <c r="BO92" i="2"/>
  <c r="BN92" i="2"/>
  <c r="BM92" i="2"/>
  <c r="BL92" i="2"/>
  <c r="BK92" i="2"/>
  <c r="BJ92" i="2"/>
  <c r="BI92" i="2"/>
  <c r="BH92" i="2"/>
  <c r="BG92" i="2"/>
  <c r="BF92" i="2"/>
  <c r="BE92" i="2"/>
  <c r="BD92" i="2"/>
  <c r="BC92" i="2"/>
  <c r="ER91" i="2"/>
  <c r="EQ91" i="2"/>
  <c r="EL91" i="2"/>
  <c r="EK91" i="2"/>
  <c r="EJ91" i="2"/>
  <c r="EJ276" i="2" s="1"/>
  <c r="EI91" i="2"/>
  <c r="EH91" i="2"/>
  <c r="EG91" i="2"/>
  <c r="CY91" i="2"/>
  <c r="CY93" i="2" s="1"/>
  <c r="CN91" i="2"/>
  <c r="CR93" i="2" s="1"/>
  <c r="CE91" i="2"/>
  <c r="CD91" i="2"/>
  <c r="CD87" i="2" s="1"/>
  <c r="CC91" i="2"/>
  <c r="CC87" i="2" s="1"/>
  <c r="EF89" i="2"/>
  <c r="BZ89" i="2"/>
  <c r="BY89" i="2"/>
  <c r="BX89" i="2"/>
  <c r="BW89" i="2"/>
  <c r="BV89" i="2"/>
  <c r="BU89" i="2"/>
  <c r="BT89" i="2"/>
  <c r="BS89" i="2"/>
  <c r="BR89" i="2"/>
  <c r="BQ89" i="2"/>
  <c r="BP89" i="2"/>
  <c r="BO89" i="2"/>
  <c r="BN89" i="2"/>
  <c r="BM89" i="2"/>
  <c r="BL89" i="2"/>
  <c r="BK89" i="2"/>
  <c r="BJ89" i="2"/>
  <c r="BI89" i="2"/>
  <c r="BH89" i="2"/>
  <c r="BG89" i="2"/>
  <c r="BF89" i="2"/>
  <c r="BZ88" i="2"/>
  <c r="BY88" i="2"/>
  <c r="BX88" i="2"/>
  <c r="BW88" i="2"/>
  <c r="BV88" i="2"/>
  <c r="BU88" i="2"/>
  <c r="BT88" i="2"/>
  <c r="BS88" i="2"/>
  <c r="BR88" i="2"/>
  <c r="BQ88" i="2"/>
  <c r="BP88" i="2"/>
  <c r="BO88" i="2"/>
  <c r="BN88" i="2"/>
  <c r="BM88" i="2"/>
  <c r="BL88" i="2"/>
  <c r="BK88" i="2"/>
  <c r="BJ88" i="2"/>
  <c r="BI88" i="2"/>
  <c r="BH88" i="2"/>
  <c r="BG88" i="2"/>
  <c r="BF88" i="2"/>
  <c r="BE88" i="2"/>
  <c r="BD88" i="2"/>
  <c r="BC88" i="2"/>
  <c r="EL87" i="2"/>
  <c r="EK87" i="2"/>
  <c r="EJ87" i="2"/>
  <c r="EI87" i="2"/>
  <c r="EH87" i="2"/>
  <c r="EG87" i="2"/>
  <c r="EG89" i="2" s="1"/>
  <c r="CX87" i="2"/>
  <c r="CW87" i="2"/>
  <c r="CW119" i="2" s="1"/>
  <c r="CV87" i="2"/>
  <c r="CU87" i="2"/>
  <c r="CT87" i="2"/>
  <c r="CS87" i="2"/>
  <c r="CR87" i="2"/>
  <c r="CQ87" i="2"/>
  <c r="CP87" i="2"/>
  <c r="CO87" i="2"/>
  <c r="CM87" i="2"/>
  <c r="CM136" i="2" s="1"/>
  <c r="CL87" i="2"/>
  <c r="CB87" i="2"/>
  <c r="CA87" i="2"/>
  <c r="CA136" i="2" s="1"/>
  <c r="EF85" i="2"/>
  <c r="CX85" i="2"/>
  <c r="CW85" i="2"/>
  <c r="CV85" i="2"/>
  <c r="CU85" i="2"/>
  <c r="CT85" i="2"/>
  <c r="CS85" i="2"/>
  <c r="CR85" i="2"/>
  <c r="CQ85" i="2"/>
  <c r="CP85" i="2"/>
  <c r="CO85" i="2"/>
  <c r="CN85" i="2"/>
  <c r="CM85" i="2"/>
  <c r="CL85" i="2"/>
  <c r="CK85" i="2"/>
  <c r="CJ85" i="2"/>
  <c r="CI85" i="2"/>
  <c r="CH85" i="2"/>
  <c r="CG85" i="2"/>
  <c r="CF85" i="2"/>
  <c r="CE85" i="2"/>
  <c r="CX84" i="2"/>
  <c r="CW84" i="2"/>
  <c r="CV84" i="2"/>
  <c r="CU84" i="2"/>
  <c r="CT84" i="2"/>
  <c r="CS84" i="2"/>
  <c r="CR84" i="2"/>
  <c r="CQ84" i="2"/>
  <c r="CP84" i="2"/>
  <c r="CO84" i="2"/>
  <c r="CN84" i="2"/>
  <c r="CM84" i="2"/>
  <c r="CL84" i="2"/>
  <c r="CK84" i="2"/>
  <c r="CJ84" i="2"/>
  <c r="CI84" i="2"/>
  <c r="CH84" i="2"/>
  <c r="CG84" i="2"/>
  <c r="CF84" i="2"/>
  <c r="CE84" i="2"/>
  <c r="CD84" i="2"/>
  <c r="CC84" i="2"/>
  <c r="CB84" i="2"/>
  <c r="ER83" i="2"/>
  <c r="EQ83" i="2"/>
  <c r="EP83" i="2"/>
  <c r="EO83" i="2"/>
  <c r="EN83" i="2"/>
  <c r="BZ83" i="2"/>
  <c r="CD85" i="2" s="1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EF81" i="2"/>
  <c r="CW81" i="2"/>
  <c r="CV81" i="2"/>
  <c r="CU81" i="2"/>
  <c r="CT81" i="2"/>
  <c r="CS81" i="2"/>
  <c r="CR81" i="2"/>
  <c r="CQ81" i="2"/>
  <c r="CP81" i="2"/>
  <c r="CO81" i="2"/>
  <c r="CN81" i="2"/>
  <c r="CM81" i="2"/>
  <c r="CL81" i="2"/>
  <c r="CK81" i="2"/>
  <c r="CJ81" i="2"/>
  <c r="CI81" i="2"/>
  <c r="CH81" i="2"/>
  <c r="CG81" i="2"/>
  <c r="CF81" i="2"/>
  <c r="CE81" i="2"/>
  <c r="CD81" i="2"/>
  <c r="CC81" i="2"/>
  <c r="CB81" i="2"/>
  <c r="CA81" i="2"/>
  <c r="BZ81" i="2"/>
  <c r="BY81" i="2"/>
  <c r="BX81" i="2"/>
  <c r="BW81" i="2"/>
  <c r="BV81" i="2"/>
  <c r="BU81" i="2"/>
  <c r="BT81" i="2"/>
  <c r="BS81" i="2"/>
  <c r="BR81" i="2"/>
  <c r="BQ81" i="2"/>
  <c r="BP81" i="2"/>
  <c r="BO81" i="2"/>
  <c r="BN81" i="2"/>
  <c r="BM81" i="2"/>
  <c r="BL81" i="2"/>
  <c r="BK81" i="2"/>
  <c r="BJ81" i="2"/>
  <c r="BI81" i="2"/>
  <c r="BH81" i="2"/>
  <c r="BG81" i="2"/>
  <c r="BF81" i="2"/>
  <c r="CW80" i="2"/>
  <c r="CV80" i="2"/>
  <c r="CU80" i="2"/>
  <c r="CT80" i="2"/>
  <c r="CS80" i="2"/>
  <c r="CR80" i="2"/>
  <c r="CQ80" i="2"/>
  <c r="CP80" i="2"/>
  <c r="CO80" i="2"/>
  <c r="CN80" i="2"/>
  <c r="CM80" i="2"/>
  <c r="CL80" i="2"/>
  <c r="CK80" i="2"/>
  <c r="CJ80" i="2"/>
  <c r="CI80" i="2"/>
  <c r="CH80" i="2"/>
  <c r="CG80" i="2"/>
  <c r="CF80" i="2"/>
  <c r="CE80" i="2"/>
  <c r="CD80" i="2"/>
  <c r="CC80" i="2"/>
  <c r="CB80" i="2"/>
  <c r="CA80" i="2"/>
  <c r="BZ80" i="2"/>
  <c r="BY80" i="2"/>
  <c r="BX80" i="2"/>
  <c r="BW80" i="2"/>
  <c r="BV80" i="2"/>
  <c r="BU80" i="2"/>
  <c r="BT80" i="2"/>
  <c r="BS80" i="2"/>
  <c r="BR80" i="2"/>
  <c r="BQ80" i="2"/>
  <c r="BP80" i="2"/>
  <c r="BO80" i="2"/>
  <c r="BN80" i="2"/>
  <c r="BM80" i="2"/>
  <c r="BL80" i="2"/>
  <c r="BK80" i="2"/>
  <c r="BJ80" i="2"/>
  <c r="BI80" i="2"/>
  <c r="BH80" i="2"/>
  <c r="BG80" i="2"/>
  <c r="BF80" i="2"/>
  <c r="BE80" i="2"/>
  <c r="BD80" i="2"/>
  <c r="BC80" i="2"/>
  <c r="ER79" i="2"/>
  <c r="EQ79" i="2"/>
  <c r="EP79" i="2"/>
  <c r="EO79" i="2"/>
  <c r="EN79" i="2"/>
  <c r="EM79" i="2"/>
  <c r="EL79" i="2"/>
  <c r="EK79" i="2"/>
  <c r="EJ79" i="2"/>
  <c r="EI79" i="2"/>
  <c r="EH79" i="2"/>
  <c r="EG79" i="2"/>
  <c r="CX79" i="2"/>
  <c r="EF77" i="2"/>
  <c r="CW77" i="2"/>
  <c r="CV77" i="2"/>
  <c r="CU77" i="2"/>
  <c r="CT77" i="2"/>
  <c r="CS77" i="2"/>
  <c r="CR77" i="2"/>
  <c r="CQ77" i="2"/>
  <c r="CP77" i="2"/>
  <c r="CO77" i="2"/>
  <c r="CN77" i="2"/>
  <c r="CM77" i="2"/>
  <c r="CL77" i="2"/>
  <c r="CK77" i="2"/>
  <c r="CJ77" i="2"/>
  <c r="CI77" i="2"/>
  <c r="CH77" i="2"/>
  <c r="CG77" i="2"/>
  <c r="CF77" i="2"/>
  <c r="CE77" i="2"/>
  <c r="CD77" i="2"/>
  <c r="CC77" i="2"/>
  <c r="CB77" i="2"/>
  <c r="CA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CW76" i="2"/>
  <c r="CV76" i="2"/>
  <c r="CU76" i="2"/>
  <c r="CT76" i="2"/>
  <c r="CS76" i="2"/>
  <c r="CR76" i="2"/>
  <c r="CQ76" i="2"/>
  <c r="CP76" i="2"/>
  <c r="CO76" i="2"/>
  <c r="CN76" i="2"/>
  <c r="CM76" i="2"/>
  <c r="CL76" i="2"/>
  <c r="CK76" i="2"/>
  <c r="CJ76" i="2"/>
  <c r="CI76" i="2"/>
  <c r="CH76" i="2"/>
  <c r="CG76" i="2"/>
  <c r="CF76" i="2"/>
  <c r="CE76" i="2"/>
  <c r="CD76" i="2"/>
  <c r="CC76" i="2"/>
  <c r="CB76" i="2"/>
  <c r="CA76" i="2"/>
  <c r="BZ76" i="2"/>
  <c r="BY76" i="2"/>
  <c r="BX76" i="2"/>
  <c r="BW76" i="2"/>
  <c r="BV76" i="2"/>
  <c r="BU76" i="2"/>
  <c r="BT76" i="2"/>
  <c r="BS76" i="2"/>
  <c r="BR76" i="2"/>
  <c r="BQ76" i="2"/>
  <c r="BP76" i="2"/>
  <c r="BO76" i="2"/>
  <c r="BN76" i="2"/>
  <c r="BM76" i="2"/>
  <c r="BL76" i="2"/>
  <c r="BK76" i="2"/>
  <c r="BJ76" i="2"/>
  <c r="BI76" i="2"/>
  <c r="BH76" i="2"/>
  <c r="BG76" i="2"/>
  <c r="BF76" i="2"/>
  <c r="BE76" i="2"/>
  <c r="BD76" i="2"/>
  <c r="BC76" i="2"/>
  <c r="ER75" i="2"/>
  <c r="EQ75" i="2"/>
  <c r="EP75" i="2"/>
  <c r="EO75" i="2"/>
  <c r="EN75" i="2"/>
  <c r="EM75" i="2"/>
  <c r="EL75" i="2"/>
  <c r="EK75" i="2"/>
  <c r="EJ75" i="2"/>
  <c r="EI75" i="2"/>
  <c r="EH75" i="2"/>
  <c r="EG75" i="2"/>
  <c r="EG77" i="2" s="1"/>
  <c r="EW74" i="2"/>
  <c r="EV74" i="2"/>
  <c r="EU74" i="2"/>
  <c r="ET74" i="2"/>
  <c r="ES74" i="2"/>
  <c r="ER74" i="2"/>
  <c r="EQ74" i="2"/>
  <c r="EP74" i="2"/>
  <c r="EO74" i="2"/>
  <c r="EN74" i="2"/>
  <c r="EM74" i="2"/>
  <c r="EL74" i="2"/>
  <c r="EK74" i="2"/>
  <c r="EJ74" i="2"/>
  <c r="EI74" i="2"/>
  <c r="EH74" i="2"/>
  <c r="EG74" i="2"/>
  <c r="DQ74" i="2"/>
  <c r="DP74" i="2"/>
  <c r="DO74" i="2"/>
  <c r="DN74" i="2"/>
  <c r="DM74" i="2"/>
  <c r="DL74" i="2"/>
  <c r="DK74" i="2"/>
  <c r="DJ74" i="2"/>
  <c r="DI74" i="2"/>
  <c r="DH74" i="2"/>
  <c r="DG74" i="2"/>
  <c r="DF74" i="2"/>
  <c r="DE74" i="2"/>
  <c r="DD74" i="2"/>
  <c r="DC74" i="2"/>
  <c r="DB74" i="2"/>
  <c r="DA74" i="2"/>
  <c r="CZ74" i="2"/>
  <c r="CY74" i="2"/>
  <c r="CX74" i="2"/>
  <c r="CW74" i="2"/>
  <c r="CV74" i="2"/>
  <c r="CU74" i="2"/>
  <c r="CT74" i="2"/>
  <c r="CS74" i="2"/>
  <c r="CR74" i="2"/>
  <c r="CQ74" i="2"/>
  <c r="CP74" i="2"/>
  <c r="CO74" i="2"/>
  <c r="CN74" i="2"/>
  <c r="CM74" i="2"/>
  <c r="CL74" i="2"/>
  <c r="CK74" i="2"/>
  <c r="CJ74" i="2"/>
  <c r="CI74" i="2"/>
  <c r="CH74" i="2"/>
  <c r="CG74" i="2"/>
  <c r="CF74" i="2"/>
  <c r="CE74" i="2"/>
  <c r="CD74" i="2"/>
  <c r="CC74" i="2"/>
  <c r="CB74" i="2"/>
  <c r="CA74" i="2"/>
  <c r="BZ74" i="2"/>
  <c r="BY74" i="2"/>
  <c r="BX74" i="2"/>
  <c r="BW74" i="2"/>
  <c r="BV74" i="2"/>
  <c r="BU74" i="2"/>
  <c r="BT74" i="2"/>
  <c r="BS74" i="2"/>
  <c r="BR74" i="2"/>
  <c r="BQ74" i="2"/>
  <c r="BP74" i="2"/>
  <c r="BO74" i="2"/>
  <c r="BN74" i="2"/>
  <c r="BM74" i="2"/>
  <c r="BL74" i="2"/>
  <c r="BK74" i="2"/>
  <c r="BJ74" i="2"/>
  <c r="BI74" i="2"/>
  <c r="BH74" i="2"/>
  <c r="BG74" i="2"/>
  <c r="BF74" i="2"/>
  <c r="CC72" i="2"/>
  <c r="CB72" i="2"/>
  <c r="CA72" i="2"/>
  <c r="BZ72" i="2"/>
  <c r="BY72" i="2"/>
  <c r="BX72" i="2"/>
  <c r="BW72" i="2"/>
  <c r="BV72" i="2"/>
  <c r="BU72" i="2"/>
  <c r="BT72" i="2"/>
  <c r="BS72" i="2"/>
  <c r="BR72" i="2"/>
  <c r="BQ72" i="2"/>
  <c r="BP72" i="2"/>
  <c r="BO72" i="2"/>
  <c r="BN72" i="2"/>
  <c r="BM72" i="2"/>
  <c r="BL72" i="2"/>
  <c r="BK72" i="2"/>
  <c r="BJ72" i="2"/>
  <c r="BI72" i="2"/>
  <c r="BH72" i="2"/>
  <c r="BG72" i="2"/>
  <c r="BF72" i="2"/>
  <c r="BE72" i="2"/>
  <c r="BD72" i="2"/>
  <c r="BC72" i="2"/>
  <c r="BB72" i="2"/>
  <c r="BA72" i="2"/>
  <c r="AZ72" i="2"/>
  <c r="AY72" i="2"/>
  <c r="AX72" i="2"/>
  <c r="AW72" i="2"/>
  <c r="AV72" i="2"/>
  <c r="AU72" i="2"/>
  <c r="AT72" i="2"/>
  <c r="AS72" i="2"/>
  <c r="AR72" i="2"/>
  <c r="AQ72" i="2"/>
  <c r="AP72" i="2"/>
  <c r="AO72" i="2"/>
  <c r="AN72" i="2"/>
  <c r="AM72" i="2"/>
  <c r="AL72" i="2"/>
  <c r="AK72" i="2"/>
  <c r="AJ72" i="2"/>
  <c r="AI72" i="2"/>
  <c r="AH72" i="2"/>
  <c r="AG72" i="2"/>
  <c r="AF72" i="2"/>
  <c r="AE72" i="2"/>
  <c r="AD72" i="2"/>
  <c r="AC72" i="2"/>
  <c r="AB72" i="2"/>
  <c r="AA72" i="2"/>
  <c r="Z72" i="2"/>
  <c r="Y72" i="2"/>
  <c r="X72" i="2"/>
  <c r="W72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F72" i="2"/>
  <c r="E72" i="2"/>
  <c r="D72" i="2"/>
  <c r="C72" i="2"/>
  <c r="B72" i="2"/>
  <c r="CC67" i="2"/>
  <c r="CB67" i="2"/>
  <c r="CA67" i="2"/>
  <c r="BZ67" i="2"/>
  <c r="BY67" i="2"/>
  <c r="BX67" i="2"/>
  <c r="BW67" i="2"/>
  <c r="BV67" i="2"/>
  <c r="BU67" i="2"/>
  <c r="BT67" i="2"/>
  <c r="BS67" i="2"/>
  <c r="BR67" i="2"/>
  <c r="BQ67" i="2"/>
  <c r="BP67" i="2"/>
  <c r="BO67" i="2"/>
  <c r="BN67" i="2"/>
  <c r="BM67" i="2"/>
  <c r="BL67" i="2"/>
  <c r="BK67" i="2"/>
  <c r="BJ67" i="2"/>
  <c r="BI67" i="2"/>
  <c r="BH67" i="2"/>
  <c r="BG67" i="2"/>
  <c r="BF67" i="2"/>
  <c r="BE67" i="2"/>
  <c r="BD67" i="2"/>
  <c r="BC67" i="2"/>
  <c r="BB67" i="2"/>
  <c r="BA67" i="2"/>
  <c r="AZ67" i="2"/>
  <c r="AY67" i="2"/>
  <c r="AX67" i="2"/>
  <c r="AW67" i="2"/>
  <c r="AV67" i="2"/>
  <c r="AU67" i="2"/>
  <c r="AT67" i="2"/>
  <c r="AS67" i="2"/>
  <c r="AR67" i="2"/>
  <c r="AQ67" i="2"/>
  <c r="AP67" i="2"/>
  <c r="AO67" i="2"/>
  <c r="AN67" i="2"/>
  <c r="AM67" i="2"/>
  <c r="AL67" i="2"/>
  <c r="AK67" i="2"/>
  <c r="AJ67" i="2"/>
  <c r="AI67" i="2"/>
  <c r="AH67" i="2"/>
  <c r="AG67" i="2"/>
  <c r="AF67" i="2"/>
  <c r="AE67" i="2"/>
  <c r="AD67" i="2"/>
  <c r="AC67" i="2"/>
  <c r="AB67" i="2"/>
  <c r="AA67" i="2"/>
  <c r="Z67" i="2"/>
  <c r="Y67" i="2"/>
  <c r="X67" i="2"/>
  <c r="W67" i="2"/>
  <c r="V67" i="2"/>
  <c r="U67" i="2"/>
  <c r="T67" i="2"/>
  <c r="S67" i="2"/>
  <c r="R67" i="2"/>
  <c r="Q67" i="2"/>
  <c r="P67" i="2"/>
  <c r="O67" i="2"/>
  <c r="N67" i="2"/>
  <c r="M67" i="2"/>
  <c r="L67" i="2"/>
  <c r="K67" i="2"/>
  <c r="J67" i="2"/>
  <c r="I67" i="2"/>
  <c r="H67" i="2"/>
  <c r="G67" i="2"/>
  <c r="F67" i="2"/>
  <c r="E67" i="2"/>
  <c r="D67" i="2"/>
  <c r="C67" i="2"/>
  <c r="B67" i="2"/>
  <c r="DW66" i="2"/>
  <c r="DW67" i="2" s="1"/>
  <c r="CC64" i="2"/>
  <c r="CB64" i="2"/>
  <c r="CA64" i="2"/>
  <c r="BZ64" i="2"/>
  <c r="BY64" i="2"/>
  <c r="BX64" i="2"/>
  <c r="BW64" i="2"/>
  <c r="BV64" i="2"/>
  <c r="BU64" i="2"/>
  <c r="BT64" i="2"/>
  <c r="BS64" i="2"/>
  <c r="BR64" i="2"/>
  <c r="BQ64" i="2"/>
  <c r="BP64" i="2"/>
  <c r="BO64" i="2"/>
  <c r="BN64" i="2"/>
  <c r="BM64" i="2"/>
  <c r="BL64" i="2"/>
  <c r="BK64" i="2"/>
  <c r="BJ64" i="2"/>
  <c r="BI64" i="2"/>
  <c r="BH64" i="2"/>
  <c r="BG64" i="2"/>
  <c r="BF64" i="2"/>
  <c r="BE64" i="2"/>
  <c r="BD64" i="2"/>
  <c r="BC64" i="2"/>
  <c r="BB64" i="2"/>
  <c r="BA64" i="2"/>
  <c r="AZ64" i="2"/>
  <c r="AY64" i="2"/>
  <c r="AX64" i="2"/>
  <c r="AW64" i="2"/>
  <c r="AV64" i="2"/>
  <c r="AU64" i="2"/>
  <c r="AT64" i="2"/>
  <c r="AS64" i="2"/>
  <c r="AR64" i="2"/>
  <c r="AQ64" i="2"/>
  <c r="AP64" i="2"/>
  <c r="AO64" i="2"/>
  <c r="AN64" i="2"/>
  <c r="AM64" i="2"/>
  <c r="AL64" i="2"/>
  <c r="AK64" i="2"/>
  <c r="AJ64" i="2"/>
  <c r="AI64" i="2"/>
  <c r="AH64" i="2"/>
  <c r="AG64" i="2"/>
  <c r="AF64" i="2"/>
  <c r="AE64" i="2"/>
  <c r="AD64" i="2"/>
  <c r="AC64" i="2"/>
  <c r="AB64" i="2"/>
  <c r="AA64" i="2"/>
  <c r="Z64" i="2"/>
  <c r="Y64" i="2"/>
  <c r="X64" i="2"/>
  <c r="W64" i="2"/>
  <c r="V64" i="2"/>
  <c r="U64" i="2"/>
  <c r="T64" i="2"/>
  <c r="S64" i="2"/>
  <c r="R64" i="2"/>
  <c r="Q64" i="2"/>
  <c r="P64" i="2"/>
  <c r="O64" i="2"/>
  <c r="N64" i="2"/>
  <c r="M64" i="2"/>
  <c r="L64" i="2"/>
  <c r="K64" i="2"/>
  <c r="J64" i="2"/>
  <c r="I64" i="2"/>
  <c r="H64" i="2"/>
  <c r="G64" i="2"/>
  <c r="F64" i="2"/>
  <c r="E64" i="2"/>
  <c r="D64" i="2"/>
  <c r="C64" i="2"/>
  <c r="B64" i="2"/>
  <c r="I55" i="2"/>
  <c r="H55" i="2"/>
  <c r="G55" i="2"/>
  <c r="F55" i="2"/>
  <c r="E55" i="2"/>
  <c r="D55" i="2"/>
  <c r="C55" i="2"/>
  <c r="B55" i="2"/>
  <c r="H52" i="2"/>
  <c r="G52" i="2"/>
  <c r="F52" i="2"/>
  <c r="E52" i="2"/>
  <c r="D52" i="2"/>
  <c r="C52" i="2"/>
  <c r="B52" i="2"/>
  <c r="ER39" i="2"/>
  <c r="EQ39" i="2"/>
  <c r="EP39" i="2"/>
  <c r="EO39" i="2"/>
  <c r="EN39" i="2"/>
  <c r="EM39" i="2"/>
  <c r="EL39" i="2"/>
  <c r="EK39" i="2"/>
  <c r="EJ39" i="2"/>
  <c r="EI39" i="2"/>
  <c r="EH39" i="2"/>
  <c r="EG39" i="2"/>
  <c r="EF39" i="2"/>
  <c r="EE39" i="2"/>
  <c r="ED39" i="2"/>
  <c r="CX35" i="2"/>
  <c r="CY35" i="2" s="1"/>
  <c r="CW35" i="2"/>
  <c r="CQ35" i="2"/>
  <c r="CF35" i="2"/>
  <c r="BC35" i="2"/>
  <c r="AP35" i="2"/>
  <c r="AO35" i="2"/>
  <c r="AN35" i="2"/>
  <c r="AL35" i="2"/>
  <c r="AK35" i="2"/>
  <c r="AJ35" i="2"/>
  <c r="AH35" i="2"/>
  <c r="AG35" i="2"/>
  <c r="AE35" i="2"/>
  <c r="AD35" i="2"/>
  <c r="AC35" i="2"/>
  <c r="AB35" i="2"/>
  <c r="AA35" i="2"/>
  <c r="Z35" i="2"/>
  <c r="Y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D35" i="2"/>
  <c r="C35" i="2"/>
  <c r="B35" i="2"/>
  <c r="ER34" i="2"/>
  <c r="EQ34" i="2"/>
  <c r="EP34" i="2"/>
  <c r="EO34" i="2"/>
  <c r="EN34" i="2"/>
  <c r="EM34" i="2"/>
  <c r="EL34" i="2"/>
  <c r="EK34" i="2"/>
  <c r="EJ34" i="2"/>
  <c r="EI34" i="2"/>
  <c r="EH34" i="2"/>
  <c r="EG34" i="2"/>
  <c r="EF34" i="2"/>
  <c r="EE34" i="2"/>
  <c r="ED34" i="2"/>
  <c r="CX30" i="2"/>
  <c r="CW30" i="2"/>
  <c r="CV30" i="2"/>
  <c r="CU30" i="2"/>
  <c r="CT30" i="2"/>
  <c r="CS30" i="2"/>
  <c r="CR30" i="2"/>
  <c r="CQ30" i="2"/>
  <c r="CP30" i="2"/>
  <c r="CO30" i="2"/>
  <c r="CN30" i="2"/>
  <c r="CM30" i="2"/>
  <c r="CL30" i="2"/>
  <c r="CK30" i="2"/>
  <c r="CJ30" i="2"/>
  <c r="CI30" i="2"/>
  <c r="CH30" i="2"/>
  <c r="CF30" i="2"/>
  <c r="CD30" i="2"/>
  <c r="CB30" i="2"/>
  <c r="CA30" i="2"/>
  <c r="BZ30" i="2"/>
  <c r="BY30" i="2"/>
  <c r="BX30" i="2"/>
  <c r="BW30" i="2"/>
  <c r="BV30" i="2"/>
  <c r="BU30" i="2"/>
  <c r="BT30" i="2"/>
  <c r="BS30" i="2"/>
  <c r="BR30" i="2"/>
  <c r="BQ30" i="2"/>
  <c r="BP30" i="2"/>
  <c r="BO30" i="2"/>
  <c r="BK30" i="2"/>
  <c r="BD30" i="2"/>
  <c r="BC30" i="2"/>
  <c r="BB30" i="2"/>
  <c r="AZ30" i="2"/>
  <c r="AY30" i="2"/>
  <c r="AV30" i="2"/>
  <c r="AU30" i="2"/>
  <c r="AT30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AD30" i="2"/>
  <c r="AB30" i="2"/>
  <c r="AA30" i="2"/>
  <c r="Z30" i="2"/>
  <c r="X30" i="2"/>
  <c r="W30" i="2"/>
  <c r="V30" i="2"/>
  <c r="U30" i="2"/>
  <c r="T30" i="2"/>
  <c r="S30" i="2"/>
  <c r="R30" i="2"/>
  <c r="Q30" i="2"/>
  <c r="P30" i="2"/>
  <c r="O30" i="2"/>
  <c r="N30" i="2"/>
  <c r="M30" i="2"/>
  <c r="L30" i="2"/>
  <c r="K30" i="2"/>
  <c r="J30" i="2"/>
  <c r="I30" i="2"/>
  <c r="H30" i="2"/>
  <c r="G30" i="2"/>
  <c r="F30" i="2"/>
  <c r="E30" i="2"/>
  <c r="D30" i="2"/>
  <c r="C30" i="2"/>
  <c r="B30" i="2"/>
  <c r="CX29" i="2"/>
  <c r="CY29" i="2" s="1"/>
  <c r="CZ29" i="2" s="1"/>
  <c r="DA29" i="2" s="1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CJ29" i="2"/>
  <c r="CI29" i="2"/>
  <c r="CH29" i="2"/>
  <c r="CG29" i="2"/>
  <c r="CF29" i="2"/>
  <c r="CE29" i="2"/>
  <c r="CD29" i="2"/>
  <c r="CC29" i="2"/>
  <c r="CB29" i="2"/>
  <c r="CA29" i="2"/>
  <c r="BZ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BG29" i="2"/>
  <c r="BF29" i="2"/>
  <c r="BE29" i="2"/>
  <c r="BD29" i="2"/>
  <c r="BC29" i="2"/>
  <c r="BB29" i="2"/>
  <c r="BA29" i="2"/>
  <c r="AZ29" i="2"/>
  <c r="AY29" i="2"/>
  <c r="AX29" i="2"/>
  <c r="AW29" i="2"/>
  <c r="AV29" i="2"/>
  <c r="AU29" i="2"/>
  <c r="AT29" i="2"/>
  <c r="AS29" i="2"/>
  <c r="AR29" i="2"/>
  <c r="AQ29" i="2"/>
  <c r="AP29" i="2"/>
  <c r="AO29" i="2"/>
  <c r="AN29" i="2"/>
  <c r="AM29" i="2"/>
  <c r="AL29" i="2"/>
  <c r="ER20" i="2"/>
  <c r="EQ20" i="2"/>
  <c r="EP20" i="2"/>
  <c r="EO20" i="2"/>
  <c r="EN20" i="2"/>
  <c r="EM20" i="2"/>
  <c r="EL20" i="2"/>
  <c r="EK20" i="2"/>
  <c r="EJ20" i="2"/>
  <c r="EI20" i="2"/>
  <c r="EH20" i="2"/>
  <c r="EG20" i="2"/>
  <c r="EF20" i="2"/>
  <c r="EE20" i="2"/>
  <c r="ED20" i="2"/>
  <c r="CY20" i="2"/>
  <c r="CX11" i="2"/>
  <c r="CY11" i="2" s="1"/>
  <c r="CZ11" i="2" s="1"/>
  <c r="CW11" i="2"/>
  <c r="CV11" i="2"/>
  <c r="CU11" i="2"/>
  <c r="CT11" i="2"/>
  <c r="CS11" i="2"/>
  <c r="CR11" i="2"/>
  <c r="CQ11" i="2"/>
  <c r="CP11" i="2"/>
  <c r="CO11" i="2"/>
  <c r="CN11" i="2"/>
  <c r="CM11" i="2"/>
  <c r="CL11" i="2"/>
  <c r="CK11" i="2"/>
  <c r="CJ11" i="2"/>
  <c r="CI11" i="2"/>
  <c r="CH11" i="2"/>
  <c r="CG11" i="2"/>
  <c r="CF11" i="2"/>
  <c r="CD11" i="2"/>
  <c r="CC11" i="2"/>
  <c r="CB11" i="2"/>
  <c r="BZ11" i="2"/>
  <c r="BY11" i="2"/>
  <c r="BX11" i="2"/>
  <c r="BW11" i="2"/>
  <c r="BV11" i="2"/>
  <c r="BU11" i="2"/>
  <c r="BT11" i="2"/>
  <c r="BS11" i="2"/>
  <c r="BR11" i="2"/>
  <c r="BQ11" i="2"/>
  <c r="BP11" i="2"/>
  <c r="BO11" i="2"/>
  <c r="BN11" i="2"/>
  <c r="BM11" i="2"/>
  <c r="BL11" i="2"/>
  <c r="BK11" i="2"/>
  <c r="BJ11" i="2"/>
  <c r="BI11" i="2"/>
  <c r="BH11" i="2"/>
  <c r="BG11" i="2"/>
  <c r="BF11" i="2"/>
  <c r="BE11" i="2"/>
  <c r="BD11" i="2"/>
  <c r="BB11" i="2"/>
  <c r="AX11" i="2"/>
  <c r="AW11" i="2"/>
  <c r="AT11" i="2"/>
  <c r="AS11" i="2"/>
  <c r="AR11" i="2"/>
  <c r="AP11" i="2"/>
  <c r="AN11" i="2"/>
  <c r="AM11" i="2"/>
  <c r="AL11" i="2"/>
  <c r="AK11" i="2"/>
  <c r="AJ11" i="2"/>
  <c r="AI11" i="2"/>
  <c r="AH11" i="2"/>
  <c r="AF11" i="2"/>
  <c r="AE11" i="2"/>
  <c r="R11" i="2"/>
  <c r="N11" i="2"/>
  <c r="J11" i="2"/>
  <c r="I11" i="2"/>
  <c r="H11" i="2"/>
  <c r="F11" i="2"/>
  <c r="E11" i="2"/>
  <c r="D11" i="2"/>
  <c r="C11" i="2"/>
  <c r="B11" i="2"/>
  <c r="CB8" i="2"/>
  <c r="AF8" i="2"/>
  <c r="J8" i="2"/>
  <c r="CX5" i="2"/>
  <c r="CW5" i="2"/>
  <c r="CV5" i="2"/>
  <c r="CU5" i="2"/>
  <c r="CT5" i="2"/>
  <c r="CS5" i="2"/>
  <c r="CR5" i="2"/>
  <c r="CQ5" i="2"/>
  <c r="CP5" i="2"/>
  <c r="CO5" i="2"/>
  <c r="CN5" i="2"/>
  <c r="CM5" i="2"/>
  <c r="CM196" i="2" s="1"/>
  <c r="CL5" i="2"/>
  <c r="CK5" i="2"/>
  <c r="CJ5" i="2"/>
  <c r="CI5" i="2"/>
  <c r="CH5" i="2"/>
  <c r="CG5" i="2"/>
  <c r="CG234" i="2" s="1"/>
  <c r="CF5" i="2"/>
  <c r="CE5" i="2"/>
  <c r="CD5" i="2"/>
  <c r="CC5" i="2"/>
  <c r="CC238" i="2" s="1"/>
  <c r="CB5" i="2"/>
  <c r="CB238" i="2" s="1"/>
  <c r="CA5" i="2"/>
  <c r="BZ5" i="2"/>
  <c r="BY5" i="2"/>
  <c r="BX5" i="2"/>
  <c r="BW5" i="2"/>
  <c r="BV5" i="2"/>
  <c r="BU5" i="2"/>
  <c r="BT5" i="2"/>
  <c r="BS5" i="2"/>
  <c r="BR5" i="2"/>
  <c r="BQ5" i="2"/>
  <c r="BP5" i="2"/>
  <c r="BO5" i="2"/>
  <c r="BN5" i="2"/>
  <c r="BM5" i="2"/>
  <c r="BL5" i="2"/>
  <c r="BK5" i="2"/>
  <c r="BJ5" i="2"/>
  <c r="BE5" i="2"/>
  <c r="BD5" i="2"/>
  <c r="BC5" i="2"/>
  <c r="BB5" i="2"/>
  <c r="BA5" i="2"/>
  <c r="AZ5" i="2"/>
  <c r="AY5" i="2"/>
  <c r="AX5" i="2"/>
  <c r="AW5" i="2"/>
  <c r="AV5" i="2"/>
  <c r="AU5" i="2"/>
  <c r="AT5" i="2"/>
  <c r="AS5" i="2"/>
  <c r="AR5" i="2"/>
  <c r="AQ5" i="2"/>
  <c r="AP5" i="2"/>
  <c r="AO5" i="2"/>
  <c r="AN5" i="2"/>
  <c r="AM5" i="2"/>
  <c r="AL5" i="2"/>
  <c r="AK5" i="2"/>
  <c r="AJ5" i="2"/>
  <c r="AI5" i="2"/>
  <c r="AH5" i="2"/>
  <c r="AG5" i="2"/>
  <c r="AF5" i="2"/>
  <c r="AE5" i="2"/>
  <c r="AD5" i="2"/>
  <c r="AC5" i="2"/>
  <c r="AB5" i="2"/>
  <c r="AA5" i="2"/>
  <c r="Z5" i="2"/>
  <c r="Y5" i="2"/>
  <c r="X5" i="2"/>
  <c r="W5" i="2"/>
  <c r="V5" i="2"/>
  <c r="U5" i="2"/>
  <c r="T5" i="2"/>
  <c r="S5" i="2"/>
  <c r="R5" i="2"/>
  <c r="Q5" i="2"/>
  <c r="P5" i="2"/>
  <c r="O5" i="2"/>
  <c r="N5" i="2"/>
  <c r="M5" i="2"/>
  <c r="L5" i="2"/>
  <c r="K5" i="2"/>
  <c r="J5" i="2"/>
  <c r="H5" i="2"/>
  <c r="G5" i="2"/>
  <c r="F5" i="2"/>
  <c r="E5" i="2"/>
  <c r="D5" i="2"/>
  <c r="C5" i="2"/>
  <c r="B5" i="2"/>
  <c r="BZ1" i="2"/>
  <c r="BY1" i="2"/>
  <c r="BX1" i="2"/>
  <c r="BW1" i="2"/>
  <c r="BV1" i="2"/>
  <c r="DV62" i="2" l="1"/>
  <c r="BA146" i="3"/>
  <c r="BV8" i="2"/>
  <c r="BV84" i="3"/>
  <c r="CJ8" i="2"/>
  <c r="CN10" i="2" s="1"/>
  <c r="O11" i="2"/>
  <c r="O14" i="2" s="1"/>
  <c r="BA30" i="2"/>
  <c r="AI8" i="2"/>
  <c r="AI9" i="2" s="1"/>
  <c r="CE8" i="2"/>
  <c r="C8" i="2"/>
  <c r="BP8" i="2"/>
  <c r="CV8" i="2"/>
  <c r="CV15" i="2" s="1"/>
  <c r="BN35" i="2"/>
  <c r="BR37" i="2" s="1"/>
  <c r="BT35" i="2"/>
  <c r="BX37" i="2" s="1"/>
  <c r="AS235" i="3"/>
  <c r="CM35" i="2"/>
  <c r="AS205" i="3"/>
  <c r="CQ8" i="2"/>
  <c r="CQ15" i="2" s="1"/>
  <c r="AW30" i="2"/>
  <c r="AW33" i="2" s="1"/>
  <c r="BU35" i="2"/>
  <c r="BU36" i="2" s="1"/>
  <c r="CL35" i="2"/>
  <c r="CL38" i="2" s="1"/>
  <c r="AS8" i="2"/>
  <c r="AW10" i="2" s="1"/>
  <c r="BM30" i="2"/>
  <c r="BQ32" i="2" s="1"/>
  <c r="CR8" i="2"/>
  <c r="BC11" i="2"/>
  <c r="BG13" i="2" s="1"/>
  <c r="Y30" i="2"/>
  <c r="Y21" i="2" s="1"/>
  <c r="Y24" i="2" s="1"/>
  <c r="CE134" i="3"/>
  <c r="AX205" i="3"/>
  <c r="AK206" i="3"/>
  <c r="AN206" i="3" s="1"/>
  <c r="L47" i="5"/>
  <c r="X47" i="5"/>
  <c r="AV47" i="5"/>
  <c r="BB47" i="5"/>
  <c r="O8" i="6"/>
  <c r="CF8" i="2"/>
  <c r="CF10" i="2" s="1"/>
  <c r="CA35" i="2"/>
  <c r="CA21" i="2" s="1"/>
  <c r="AA8" i="6"/>
  <c r="CS35" i="2"/>
  <c r="CS36" i="2" s="1"/>
  <c r="CP28" i="3"/>
  <c r="BJ84" i="3"/>
  <c r="AF8" i="6"/>
  <c r="AT8" i="2"/>
  <c r="BN30" i="2"/>
  <c r="BO31" i="2" s="1"/>
  <c r="BR8" i="2"/>
  <c r="BV10" i="2" s="1"/>
  <c r="BO35" i="2"/>
  <c r="BO36" i="2" s="1"/>
  <c r="CG35" i="2"/>
  <c r="CG21" i="2" s="1"/>
  <c r="CB74" i="3"/>
  <c r="CC74" i="3" s="1"/>
  <c r="X19" i="6"/>
  <c r="AY11" i="2"/>
  <c r="AY14" i="2" s="1"/>
  <c r="P134" i="3"/>
  <c r="N8" i="6"/>
  <c r="Z14" i="6"/>
  <c r="C18" i="6"/>
  <c r="K18" i="6"/>
  <c r="BX7" i="6"/>
  <c r="BX13" i="6"/>
  <c r="AD14" i="6"/>
  <c r="BY13" i="6"/>
  <c r="K14" i="6"/>
  <c r="K8" i="6"/>
  <c r="U18" i="6"/>
  <c r="L8" i="6"/>
  <c r="T14" i="6"/>
  <c r="BV7" i="6"/>
  <c r="R8" i="6"/>
  <c r="J19" i="6"/>
  <c r="V18" i="6"/>
  <c r="AB18" i="6"/>
  <c r="BY17" i="6"/>
  <c r="BY14" i="6" s="1"/>
  <c r="BW7" i="6"/>
  <c r="AB8" i="6"/>
  <c r="W14" i="6"/>
  <c r="AC18" i="6"/>
  <c r="V8" i="6"/>
  <c r="AC8" i="6"/>
  <c r="BV13" i="6"/>
  <c r="X14" i="6"/>
  <c r="Q14" i="6"/>
  <c r="J8" i="6"/>
  <c r="X8" i="6"/>
  <c r="BW17" i="6"/>
  <c r="BW8" i="6" s="1"/>
  <c r="BH47" i="5"/>
  <c r="AC48" i="5"/>
  <c r="AI48" i="5"/>
  <c r="AO48" i="5"/>
  <c r="BM48" i="5"/>
  <c r="CW7" i="5"/>
  <c r="DC7" i="5"/>
  <c r="AJ50" i="5"/>
  <c r="AQ73" i="5"/>
  <c r="AK10" i="5"/>
  <c r="AB9" i="5"/>
  <c r="AM11" i="5"/>
  <c r="AM54" i="5" s="1"/>
  <c r="DA37" i="5"/>
  <c r="AN42" i="5"/>
  <c r="AJ77" i="5"/>
  <c r="AK77" i="5" s="1"/>
  <c r="AM42" i="5"/>
  <c r="AA9" i="5"/>
  <c r="R47" i="5"/>
  <c r="AN47" i="5"/>
  <c r="AD43" i="5"/>
  <c r="AJ43" i="5"/>
  <c r="AP43" i="5"/>
  <c r="AZ47" i="5"/>
  <c r="BB20" i="5"/>
  <c r="V48" i="5"/>
  <c r="AT48" i="5"/>
  <c r="BF48" i="5"/>
  <c r="BR47" i="5"/>
  <c r="BS48" i="5"/>
  <c r="AC42" i="5"/>
  <c r="AX44" i="5"/>
  <c r="AF65" i="5"/>
  <c r="CS7" i="5"/>
  <c r="BI19" i="5"/>
  <c r="N48" i="5"/>
  <c r="Z48" i="5"/>
  <c r="AL48" i="5"/>
  <c r="BJ48" i="5"/>
  <c r="AG10" i="5"/>
  <c r="BH18" i="5"/>
  <c r="AR42" i="5"/>
  <c r="AD65" i="5"/>
  <c r="BW35" i="5"/>
  <c r="BW37" i="5" s="1"/>
  <c r="DC37" i="5"/>
  <c r="DI37" i="5"/>
  <c r="BA42" i="5"/>
  <c r="C47" i="5"/>
  <c r="I47" i="5"/>
  <c r="O47" i="5"/>
  <c r="U47" i="5"/>
  <c r="AA47" i="5"/>
  <c r="AM47" i="5"/>
  <c r="AS47" i="5"/>
  <c r="AY47" i="5"/>
  <c r="BE47" i="5"/>
  <c r="BK47" i="5"/>
  <c r="AI47" i="5"/>
  <c r="DD7" i="5"/>
  <c r="BV37" i="5"/>
  <c r="H48" i="5"/>
  <c r="T48" i="5"/>
  <c r="BP48" i="5"/>
  <c r="AY44" i="5"/>
  <c r="BS47" i="5"/>
  <c r="AU1" i="5"/>
  <c r="F47" i="5"/>
  <c r="AD47" i="5"/>
  <c r="AP47" i="5"/>
  <c r="BN47" i="5"/>
  <c r="AZ44" i="5"/>
  <c r="BC20" i="5"/>
  <c r="BC40" i="5"/>
  <c r="AD27" i="5"/>
  <c r="AD28" i="5" s="1"/>
  <c r="AV43" i="5"/>
  <c r="AA48" i="5"/>
  <c r="CX7" i="5"/>
  <c r="AE9" i="5"/>
  <c r="AK9" i="5"/>
  <c r="BB18" i="5"/>
  <c r="AE27" i="5"/>
  <c r="AE24" i="5" s="1"/>
  <c r="AQ42" i="5"/>
  <c r="CZ46" i="5"/>
  <c r="CY46" i="5"/>
  <c r="V47" i="5"/>
  <c r="BF47" i="5"/>
  <c r="J48" i="5"/>
  <c r="AH48" i="5"/>
  <c r="AP73" i="5"/>
  <c r="AK80" i="5"/>
  <c r="AK81" i="5" s="1"/>
  <c r="DB37" i="5"/>
  <c r="AF9" i="5"/>
  <c r="AJ27" i="5"/>
  <c r="AJ69" i="5" s="1"/>
  <c r="DF46" i="5"/>
  <c r="W47" i="5"/>
  <c r="BG47" i="5"/>
  <c r="AM8" i="5"/>
  <c r="AM9" i="5" s="1"/>
  <c r="AK27" i="5"/>
  <c r="AK69" i="5" s="1"/>
  <c r="AB47" i="5"/>
  <c r="AT47" i="5"/>
  <c r="BL47" i="5"/>
  <c r="O48" i="5"/>
  <c r="AM48" i="5"/>
  <c r="BK48" i="5"/>
  <c r="AE49" i="5"/>
  <c r="AF50" i="5" s="1"/>
  <c r="AF10" i="5"/>
  <c r="AL27" i="5"/>
  <c r="AL24" i="5" s="1"/>
  <c r="CW37" i="5"/>
  <c r="Y48" i="5"/>
  <c r="AE48" i="5"/>
  <c r="AK48" i="5"/>
  <c r="AQ48" i="5"/>
  <c r="AW48" i="5"/>
  <c r="BI48" i="5"/>
  <c r="BO48" i="5"/>
  <c r="BU48" i="5"/>
  <c r="J47" i="5"/>
  <c r="AU47" i="5"/>
  <c r="BR48" i="5"/>
  <c r="AK49" i="5"/>
  <c r="AL50" i="5" s="1"/>
  <c r="CX46" i="5"/>
  <c r="AY48" i="5"/>
  <c r="BB8" i="5"/>
  <c r="BB49" i="5" s="1"/>
  <c r="BB53" i="5" s="1"/>
  <c r="BH19" i="5"/>
  <c r="Z27" i="5"/>
  <c r="H47" i="5"/>
  <c r="N47" i="5"/>
  <c r="T47" i="5"/>
  <c r="AL47" i="5"/>
  <c r="AR47" i="5"/>
  <c r="AX47" i="5"/>
  <c r="BD47" i="5"/>
  <c r="CT46" i="5"/>
  <c r="K47" i="5"/>
  <c r="AH47" i="5"/>
  <c r="AX48" i="5"/>
  <c r="F12" i="4"/>
  <c r="L12" i="4"/>
  <c r="R12" i="4"/>
  <c r="X12" i="4"/>
  <c r="AD12" i="4"/>
  <c r="AJ12" i="4"/>
  <c r="AP12" i="4"/>
  <c r="AV12" i="4"/>
  <c r="BB12" i="4"/>
  <c r="BH12" i="4"/>
  <c r="BN12" i="4"/>
  <c r="BT12" i="4"/>
  <c r="Z11" i="4"/>
  <c r="BK37" i="4"/>
  <c r="BZ12" i="4"/>
  <c r="CF12" i="4"/>
  <c r="CL12" i="4"/>
  <c r="H12" i="4"/>
  <c r="AL12" i="4"/>
  <c r="BP12" i="4"/>
  <c r="BJ11" i="4"/>
  <c r="BV11" i="4"/>
  <c r="N11" i="4"/>
  <c r="BF12" i="4"/>
  <c r="C11" i="4"/>
  <c r="AB12" i="4"/>
  <c r="AF12" i="4"/>
  <c r="BJ12" i="4"/>
  <c r="CN12" i="4"/>
  <c r="DK44" i="4"/>
  <c r="BG12" i="4"/>
  <c r="BY12" i="4"/>
  <c r="CK12" i="4"/>
  <c r="CZ10" i="4"/>
  <c r="BR40" i="4"/>
  <c r="BS40" i="4" s="1"/>
  <c r="CQ10" i="4"/>
  <c r="DD10" i="4"/>
  <c r="Z12" i="4"/>
  <c r="AL11" i="4"/>
  <c r="AR12" i="4"/>
  <c r="AX11" i="4"/>
  <c r="BD12" i="4"/>
  <c r="BV12" i="4"/>
  <c r="CH12" i="4"/>
  <c r="CH11" i="4"/>
  <c r="CJ12" i="4"/>
  <c r="BJ25" i="4"/>
  <c r="I12" i="4"/>
  <c r="O12" i="4"/>
  <c r="U12" i="4"/>
  <c r="AA12" i="4"/>
  <c r="AG12" i="4"/>
  <c r="AM12" i="4"/>
  <c r="AS12" i="4"/>
  <c r="AY12" i="4"/>
  <c r="BE12" i="4"/>
  <c r="BK12" i="4"/>
  <c r="BQ12" i="4"/>
  <c r="BW12" i="4"/>
  <c r="CC12" i="4"/>
  <c r="CI12" i="4"/>
  <c r="CO12" i="4"/>
  <c r="AE18" i="4"/>
  <c r="AQ18" i="4"/>
  <c r="D11" i="4"/>
  <c r="J12" i="4"/>
  <c r="P12" i="4"/>
  <c r="V11" i="4"/>
  <c r="AH11" i="4"/>
  <c r="AN12" i="4"/>
  <c r="AT12" i="4"/>
  <c r="AZ12" i="4"/>
  <c r="BL11" i="4"/>
  <c r="BR12" i="4"/>
  <c r="BX12" i="4"/>
  <c r="CD12" i="4"/>
  <c r="AZ11" i="4"/>
  <c r="BM35" i="4"/>
  <c r="BN35" i="4" s="1"/>
  <c r="BO35" i="4" s="1"/>
  <c r="CG89" i="4"/>
  <c r="CG90" i="4" s="1"/>
  <c r="E11" i="4"/>
  <c r="K11" i="4"/>
  <c r="Q11" i="4"/>
  <c r="W11" i="4"/>
  <c r="AC11" i="4"/>
  <c r="AI11" i="4"/>
  <c r="AO11" i="4"/>
  <c r="AU11" i="4"/>
  <c r="BA11" i="4"/>
  <c r="BG11" i="4"/>
  <c r="BM11" i="4"/>
  <c r="BS11" i="4"/>
  <c r="BY11" i="4"/>
  <c r="CE11" i="4"/>
  <c r="CK11" i="4"/>
  <c r="O11" i="4"/>
  <c r="AB11" i="4"/>
  <c r="AS11" i="4"/>
  <c r="BF11" i="4"/>
  <c r="CI11" i="4"/>
  <c r="V12" i="4"/>
  <c r="AO12" i="4"/>
  <c r="BS12" i="4"/>
  <c r="CB12" i="4"/>
  <c r="BL31" i="4"/>
  <c r="BL36" i="4" s="1"/>
  <c r="BL37" i="4" s="1"/>
  <c r="BX72" i="4"/>
  <c r="AM11" i="4"/>
  <c r="BE11" i="4"/>
  <c r="AX12" i="4"/>
  <c r="P11" i="4"/>
  <c r="AG11" i="4"/>
  <c r="AT11" i="4"/>
  <c r="BW11" i="4"/>
  <c r="CJ11" i="4"/>
  <c r="N12" i="4"/>
  <c r="W12" i="4"/>
  <c r="AH12" i="4"/>
  <c r="BA12" i="4"/>
  <c r="J11" i="4"/>
  <c r="BQ11" i="4"/>
  <c r="AN11" i="4"/>
  <c r="T12" i="4"/>
  <c r="CU10" i="4"/>
  <c r="CU18" i="4" s="1"/>
  <c r="DA10" i="4"/>
  <c r="DM10" i="4"/>
  <c r="CR10" i="4"/>
  <c r="U11" i="4"/>
  <c r="BK11" i="4"/>
  <c r="BX11" i="4"/>
  <c r="CO11" i="4"/>
  <c r="AI12" i="4"/>
  <c r="BL12" i="4"/>
  <c r="Z18" i="4"/>
  <c r="AL18" i="4"/>
  <c r="AX18" i="4"/>
  <c r="CD11" i="4"/>
  <c r="AA11" i="4"/>
  <c r="BR11" i="4"/>
  <c r="BY71" i="4"/>
  <c r="BY72" i="4" s="1"/>
  <c r="CV10" i="4"/>
  <c r="CS10" i="4"/>
  <c r="I11" i="4"/>
  <c r="AY11" i="4"/>
  <c r="CC11" i="4"/>
  <c r="Q12" i="4"/>
  <c r="DH58" i="4"/>
  <c r="DI67" i="4"/>
  <c r="BA10" i="3"/>
  <c r="AA8" i="2" s="1"/>
  <c r="AE10" i="2" s="1"/>
  <c r="AA11" i="2"/>
  <c r="AA14" i="2" s="1"/>
  <c r="X35" i="2"/>
  <c r="X21" i="2" s="1"/>
  <c r="X24" i="2" s="1"/>
  <c r="AK13" i="3"/>
  <c r="AK22" i="3" s="1"/>
  <c r="BD18" i="3"/>
  <c r="BF8" i="2"/>
  <c r="U26" i="3"/>
  <c r="D8" i="2"/>
  <c r="CK8" i="2"/>
  <c r="CK15" i="2" s="1"/>
  <c r="CW8" i="2"/>
  <c r="CW15" i="2" s="1"/>
  <c r="S10" i="3"/>
  <c r="S71" i="3" s="1"/>
  <c r="BD19" i="3"/>
  <c r="BD20" i="3" s="1"/>
  <c r="CC19" i="3"/>
  <c r="CC20" i="3" s="1"/>
  <c r="EP39" i="3"/>
  <c r="BI41" i="3"/>
  <c r="X181" i="3"/>
  <c r="X185" i="3" s="1"/>
  <c r="AR35" i="2"/>
  <c r="AV37" i="2" s="1"/>
  <c r="Z18" i="3"/>
  <c r="DN28" i="3"/>
  <c r="CW30" i="3"/>
  <c r="AV168" i="3"/>
  <c r="AV167" i="3" s="1"/>
  <c r="AX35" i="2"/>
  <c r="AX38" i="2" s="1"/>
  <c r="AC86" i="3"/>
  <c r="BJ35" i="2"/>
  <c r="BZ133" i="3"/>
  <c r="CA133" i="3" s="1"/>
  <c r="CB133" i="3" s="1"/>
  <c r="CC133" i="3" s="1"/>
  <c r="AW34" i="3"/>
  <c r="EN146" i="3"/>
  <c r="AM8" i="2"/>
  <c r="AM15" i="2" s="1"/>
  <c r="BK8" i="2"/>
  <c r="BK15" i="2" s="1"/>
  <c r="CL8" i="2"/>
  <c r="CL10" i="2" s="1"/>
  <c r="CX8" i="2"/>
  <c r="CX15" i="2" s="1"/>
  <c r="V11" i="2"/>
  <c r="Z13" i="2" s="1"/>
  <c r="AC30" i="2"/>
  <c r="AD31" i="2" s="1"/>
  <c r="BD35" i="2"/>
  <c r="BD21" i="2" s="1"/>
  <c r="BP35" i="2"/>
  <c r="BP38" i="2" s="1"/>
  <c r="R8" i="2"/>
  <c r="R15" i="2" s="1"/>
  <c r="BL8" i="2"/>
  <c r="BL15" i="2" s="1"/>
  <c r="CD8" i="2"/>
  <c r="CH10" i="2" s="1"/>
  <c r="U9" i="3"/>
  <c r="CM11" i="3"/>
  <c r="K20" i="3"/>
  <c r="DM28" i="3"/>
  <c r="CM34" i="3"/>
  <c r="P122" i="3"/>
  <c r="DG93" i="3"/>
  <c r="DM96" i="3"/>
  <c r="DN96" i="3" s="1"/>
  <c r="DO96" i="3" s="1"/>
  <c r="DO106" i="3" s="1"/>
  <c r="BI126" i="3"/>
  <c r="F8" i="2"/>
  <c r="BT8" i="2"/>
  <c r="CC30" i="2"/>
  <c r="CC33" i="2" s="1"/>
  <c r="AZ35" i="2"/>
  <c r="AZ21" i="2" s="1"/>
  <c r="AZ25" i="2" s="1"/>
  <c r="AZ28" i="2" s="1"/>
  <c r="BQ35" i="2"/>
  <c r="BQ21" i="2" s="1"/>
  <c r="BQ24" i="2" s="1"/>
  <c r="CC35" i="2"/>
  <c r="CC38" i="2" s="1"/>
  <c r="CO35" i="2"/>
  <c r="P9" i="3"/>
  <c r="AT9" i="3"/>
  <c r="BX9" i="3"/>
  <c r="DQ9" i="3"/>
  <c r="DI18" i="3"/>
  <c r="CU28" i="3"/>
  <c r="DT28" i="3"/>
  <c r="EI28" i="3"/>
  <c r="T27" i="3"/>
  <c r="U27" i="3" s="1"/>
  <c r="AY28" i="3"/>
  <c r="BI39" i="3"/>
  <c r="CH39" i="3"/>
  <c r="DV42" i="3"/>
  <c r="CC63" i="3"/>
  <c r="EM64" i="3"/>
  <c r="AE72" i="3"/>
  <c r="AT72" i="3"/>
  <c r="CI88" i="3"/>
  <c r="CJ88" i="3" s="1"/>
  <c r="CJ93" i="3" s="1"/>
  <c r="BM114" i="3"/>
  <c r="BN114" i="3" s="1"/>
  <c r="FM134" i="3"/>
  <c r="BT134" i="3"/>
  <c r="AY35" i="2"/>
  <c r="AY21" i="2" s="1"/>
  <c r="AY24" i="2" s="1"/>
  <c r="BL30" i="2"/>
  <c r="AS35" i="2"/>
  <c r="AS21" i="2" s="1"/>
  <c r="BK35" i="2"/>
  <c r="BK21" i="2" s="1"/>
  <c r="BK24" i="2" s="1"/>
  <c r="CP35" i="2"/>
  <c r="J15" i="3"/>
  <c r="K18" i="3"/>
  <c r="AO18" i="3"/>
  <c r="Z20" i="3"/>
  <c r="CH28" i="3"/>
  <c r="CO28" i="3"/>
  <c r="DS28" i="3"/>
  <c r="DZ28" i="3"/>
  <c r="AT28" i="3"/>
  <c r="AY42" i="3"/>
  <c r="DT62" i="2"/>
  <c r="DU62" i="2"/>
  <c r="CG133" i="3"/>
  <c r="CH133" i="3" s="1"/>
  <c r="CD146" i="3"/>
  <c r="Y253" i="3"/>
  <c r="DP20" i="3"/>
  <c r="CX28" i="3"/>
  <c r="EL28" i="3"/>
  <c r="AG27" i="3"/>
  <c r="BX28" i="3"/>
  <c r="DW62" i="2"/>
  <c r="BB84" i="3"/>
  <c r="DC93" i="3"/>
  <c r="DC100" i="3" s="1"/>
  <c r="DC104" i="3" s="1"/>
  <c r="CU35" i="2"/>
  <c r="CU37" i="2" s="1"/>
  <c r="AT35" i="2"/>
  <c r="AT38" i="2" s="1"/>
  <c r="BI5" i="2"/>
  <c r="BI15" i="2" s="1"/>
  <c r="N8" i="2"/>
  <c r="N10" i="2" s="1"/>
  <c r="BE8" i="2"/>
  <c r="BE9" i="2" s="1"/>
  <c r="BQ8" i="2"/>
  <c r="BQ15" i="2" s="1"/>
  <c r="S11" i="2"/>
  <c r="S14" i="2" s="1"/>
  <c r="CE11" i="2"/>
  <c r="CE12" i="2" s="1"/>
  <c r="AW35" i="2"/>
  <c r="AW36" i="2" s="1"/>
  <c r="BE35" i="2"/>
  <c r="BE38" i="2" s="1"/>
  <c r="CI35" i="2"/>
  <c r="CI21" i="2" s="1"/>
  <c r="BI9" i="3"/>
  <c r="CM9" i="3"/>
  <c r="DB9" i="3"/>
  <c r="EF9" i="3"/>
  <c r="AA13" i="3"/>
  <c r="CQ20" i="3"/>
  <c r="DL20" i="3"/>
  <c r="EE28" i="3"/>
  <c r="CR34" i="3"/>
  <c r="DX62" i="2"/>
  <c r="BW82" i="3"/>
  <c r="BX82" i="3" s="1"/>
  <c r="CV114" i="3"/>
  <c r="CW114" i="3" s="1"/>
  <c r="BM125" i="3"/>
  <c r="BN125" i="3" s="1"/>
  <c r="EM146" i="3"/>
  <c r="Z122" i="3"/>
  <c r="CF132" i="3"/>
  <c r="CF134" i="3" s="1"/>
  <c r="CW140" i="3"/>
  <c r="BM8" i="2"/>
  <c r="BM10" i="2" s="1"/>
  <c r="CA18" i="3"/>
  <c r="AY97" i="3"/>
  <c r="AX118" i="3"/>
  <c r="AY118" i="3" s="1"/>
  <c r="AV133" i="3"/>
  <c r="AV134" i="3" s="1"/>
  <c r="AP185" i="3"/>
  <c r="AP172" i="3" s="1"/>
  <c r="BC209" i="3"/>
  <c r="BG8" i="2"/>
  <c r="CS8" i="2"/>
  <c r="CT9" i="2" s="1"/>
  <c r="W11" i="2"/>
  <c r="W13" i="2" s="1"/>
  <c r="AU11" i="2"/>
  <c r="AU12" i="2" s="1"/>
  <c r="CD35" i="2"/>
  <c r="CH37" i="2" s="1"/>
  <c r="CK35" i="2"/>
  <c r="CK38" i="2" s="1"/>
  <c r="CO13" i="3"/>
  <c r="CO14" i="3" s="1"/>
  <c r="AD9" i="3"/>
  <c r="CJ10" i="3"/>
  <c r="BC8" i="2" s="1"/>
  <c r="BC10" i="2" s="1"/>
  <c r="DJ18" i="3"/>
  <c r="CS28" i="3"/>
  <c r="EN28" i="3"/>
  <c r="EK27" i="3"/>
  <c r="EF34" i="3"/>
  <c r="DL39" i="3"/>
  <c r="EA39" i="3"/>
  <c r="BW318" i="3"/>
  <c r="AK86" i="3"/>
  <c r="BQ84" i="3"/>
  <c r="AN100" i="3"/>
  <c r="AO100" i="3" s="1"/>
  <c r="CH121" i="3"/>
  <c r="AJ124" i="3"/>
  <c r="DD134" i="3"/>
  <c r="AR142" i="3"/>
  <c r="AS142" i="3" s="1"/>
  <c r="DI146" i="3"/>
  <c r="AB252" i="3"/>
  <c r="AN220" i="3"/>
  <c r="AA253" i="3"/>
  <c r="X255" i="3"/>
  <c r="X216" i="3" s="1"/>
  <c r="X214" i="3" s="1"/>
  <c r="DG17" i="3"/>
  <c r="DG18" i="3" s="1"/>
  <c r="CH27" i="3"/>
  <c r="I5" i="2"/>
  <c r="I14" i="2" s="1"/>
  <c r="BH8" i="2"/>
  <c r="BI9" i="2" s="1"/>
  <c r="CM8" i="2"/>
  <c r="CN9" i="2" s="1"/>
  <c r="AX30" i="2"/>
  <c r="BB32" i="2" s="1"/>
  <c r="CE35" i="2"/>
  <c r="CE21" i="2" s="1"/>
  <c r="CE24" i="2" s="1"/>
  <c r="CK114" i="3"/>
  <c r="CL114" i="3" s="1"/>
  <c r="DK13" i="3"/>
  <c r="DK22" i="3" s="1"/>
  <c r="DK56" i="3" s="1"/>
  <c r="DK107" i="3" s="1"/>
  <c r="CM20" i="3"/>
  <c r="DC28" i="3"/>
  <c r="DG28" i="3" s="1"/>
  <c r="EO28" i="3"/>
  <c r="CW27" i="3"/>
  <c r="BI34" i="3"/>
  <c r="EP34" i="3"/>
  <c r="AQ100" i="3"/>
  <c r="AQ104" i="3" s="1"/>
  <c r="CC123" i="3"/>
  <c r="V146" i="3"/>
  <c r="EP144" i="3"/>
  <c r="AP168" i="3"/>
  <c r="AP241" i="3" s="1"/>
  <c r="AK228" i="3"/>
  <c r="DC18" i="3"/>
  <c r="D22" i="3"/>
  <c r="D56" i="3" s="1"/>
  <c r="CJ35" i="2"/>
  <c r="CJ38" i="2" s="1"/>
  <c r="AJ20" i="3"/>
  <c r="W22" i="3"/>
  <c r="W23" i="3" s="1"/>
  <c r="AF71" i="3"/>
  <c r="BB8" i="2"/>
  <c r="BB15" i="2" s="1"/>
  <c r="AQ11" i="2"/>
  <c r="AR12" i="2" s="1"/>
  <c r="EC13" i="3"/>
  <c r="EC22" i="3" s="1"/>
  <c r="EC56" i="3" s="1"/>
  <c r="EC107" i="3" s="1"/>
  <c r="DH22" i="3"/>
  <c r="DH56" i="3" s="1"/>
  <c r="DH107" i="3" s="1"/>
  <c r="AY19" i="3"/>
  <c r="AY20" i="3" s="1"/>
  <c r="BX20" i="3"/>
  <c r="DQ20" i="3"/>
  <c r="CN28" i="3"/>
  <c r="DW28" i="3"/>
  <c r="EP27" i="3"/>
  <c r="DG39" i="3"/>
  <c r="CH41" i="3"/>
  <c r="BX63" i="3"/>
  <c r="BC82" i="3"/>
  <c r="BE82" i="3" s="1"/>
  <c r="BE84" i="3" s="1"/>
  <c r="BT82" i="3"/>
  <c r="BT84" i="3" s="1"/>
  <c r="AP100" i="3"/>
  <c r="AP104" i="3" s="1"/>
  <c r="EK118" i="3"/>
  <c r="BM122" i="3"/>
  <c r="BN122" i="3" s="1"/>
  <c r="U134" i="3"/>
  <c r="BC235" i="3"/>
  <c r="AG253" i="3"/>
  <c r="AN228" i="3"/>
  <c r="F18" i="3"/>
  <c r="CR27" i="3"/>
  <c r="BT88" i="3"/>
  <c r="BT93" i="3" s="1"/>
  <c r="EP118" i="3"/>
  <c r="AX8" i="2"/>
  <c r="AY9" i="2" s="1"/>
  <c r="AN8" i="2"/>
  <c r="AN15" i="2" s="1"/>
  <c r="AN40" i="2" s="1"/>
  <c r="BY8" i="2"/>
  <c r="BY35" i="2"/>
  <c r="BZ36" i="2" s="1"/>
  <c r="BH5" i="2"/>
  <c r="BH38" i="2" s="1"/>
  <c r="I8" i="2"/>
  <c r="J9" i="2" s="1"/>
  <c r="BZ8" i="2"/>
  <c r="BZ10" i="2" s="1"/>
  <c r="BS35" i="2"/>
  <c r="BS38" i="2" s="1"/>
  <c r="CV35" i="2"/>
  <c r="CV38" i="2" s="1"/>
  <c r="EA9" i="3"/>
  <c r="BR11" i="3"/>
  <c r="BS11" i="3" s="1"/>
  <c r="J14" i="3"/>
  <c r="DB17" i="3"/>
  <c r="CR19" i="3"/>
  <c r="DB20" i="3"/>
  <c r="EA20" i="3"/>
  <c r="DU28" i="3"/>
  <c r="EC28" i="3"/>
  <c r="EJ28" i="3"/>
  <c r="V27" i="3"/>
  <c r="DB27" i="3"/>
  <c r="BY42" i="3"/>
  <c r="BY39" i="3" s="1"/>
  <c r="CC39" i="3" s="1"/>
  <c r="EA42" i="3"/>
  <c r="BG84" i="3"/>
  <c r="BG86" i="3" s="1"/>
  <c r="AY83" i="3"/>
  <c r="U93" i="3"/>
  <c r="BM121" i="3"/>
  <c r="BN121" i="3" s="1"/>
  <c r="BN124" i="3"/>
  <c r="P141" i="3"/>
  <c r="AS209" i="3"/>
  <c r="AN213" i="3"/>
  <c r="AG254" i="3"/>
  <c r="BB220" i="3"/>
  <c r="BB229" i="3" s="1"/>
  <c r="BB228" i="3" s="1"/>
  <c r="AQ13" i="3"/>
  <c r="AQ71" i="3"/>
  <c r="S8" i="2"/>
  <c r="S15" i="2" s="1"/>
  <c r="O100" i="3"/>
  <c r="P93" i="3"/>
  <c r="BO8" i="2"/>
  <c r="BS10" i="2" s="1"/>
  <c r="BU8" i="2"/>
  <c r="AM35" i="2"/>
  <c r="AM38" i="2" s="1"/>
  <c r="K9" i="3"/>
  <c r="BS9" i="3"/>
  <c r="AI9" i="3"/>
  <c r="R10" i="3"/>
  <c r="BU10" i="3"/>
  <c r="AQ8" i="2" s="1"/>
  <c r="CB13" i="3"/>
  <c r="CB14" i="3" s="1"/>
  <c r="CB71" i="3"/>
  <c r="AH11" i="3"/>
  <c r="AI11" i="3" s="1"/>
  <c r="AJ11" i="3" s="1"/>
  <c r="X13" i="3"/>
  <c r="X14" i="3" s="1"/>
  <c r="BW13" i="3"/>
  <c r="CT13" i="3"/>
  <c r="CT22" i="3" s="1"/>
  <c r="DM13" i="3"/>
  <c r="DM14" i="3" s="1"/>
  <c r="EE13" i="3"/>
  <c r="EE22" i="3" s="1"/>
  <c r="EE23" i="3" s="1"/>
  <c r="E15" i="3"/>
  <c r="P18" i="3"/>
  <c r="AT18" i="3"/>
  <c r="BS17" i="3"/>
  <c r="BS18" i="3" s="1"/>
  <c r="CH17" i="3"/>
  <c r="CH18" i="3" s="1"/>
  <c r="AD18" i="3"/>
  <c r="EP20" i="3"/>
  <c r="CX20" i="3"/>
  <c r="DG26" i="3"/>
  <c r="EH28" i="3"/>
  <c r="AC27" i="3"/>
  <c r="DG27" i="3"/>
  <c r="U28" i="3"/>
  <c r="BD28" i="3"/>
  <c r="DB30" i="3"/>
  <c r="Z34" i="3"/>
  <c r="EK39" i="3"/>
  <c r="AY41" i="3"/>
  <c r="DB41" i="3"/>
  <c r="CX42" i="3"/>
  <c r="EV64" i="3"/>
  <c r="EW64" i="3" s="1"/>
  <c r="EX64" i="3" s="1"/>
  <c r="EY64" i="3" s="1"/>
  <c r="FA64" i="3" s="1"/>
  <c r="FB64" i="3" s="1"/>
  <c r="FC64" i="3" s="1"/>
  <c r="FD64" i="3" s="1"/>
  <c r="DA71" i="3"/>
  <c r="Z72" i="3"/>
  <c r="Y74" i="3"/>
  <c r="Y86" i="3" s="1"/>
  <c r="Z86" i="3" s="1"/>
  <c r="DM82" i="3"/>
  <c r="DN82" i="3" s="1"/>
  <c r="DO82" i="3" s="1"/>
  <c r="DP82" i="3" s="1"/>
  <c r="DQ82" i="3" s="1"/>
  <c r="DL82" i="3"/>
  <c r="BX83" i="3"/>
  <c r="BC93" i="3"/>
  <c r="BD93" i="3" s="1"/>
  <c r="BE88" i="3"/>
  <c r="AC115" i="3"/>
  <c r="AE115" i="3" s="1"/>
  <c r="BB122" i="3"/>
  <c r="BC122" i="3" s="1"/>
  <c r="BD122" i="3" s="1"/>
  <c r="BB123" i="3"/>
  <c r="BC123" i="3" s="1"/>
  <c r="BQ126" i="3"/>
  <c r="BR126" i="3" s="1"/>
  <c r="BS126" i="3" s="1"/>
  <c r="AP8" i="2"/>
  <c r="CO8" i="3"/>
  <c r="BN10" i="3"/>
  <c r="Y13" i="3"/>
  <c r="CU13" i="3"/>
  <c r="CU22" i="3" s="1"/>
  <c r="EI13" i="3"/>
  <c r="EI14" i="3" s="1"/>
  <c r="CP18" i="3"/>
  <c r="DO18" i="3"/>
  <c r="ED18" i="3"/>
  <c r="CW26" i="3"/>
  <c r="DB39" i="3"/>
  <c r="EF39" i="3"/>
  <c r="DG42" i="3"/>
  <c r="AU74" i="3"/>
  <c r="AU86" i="3" s="1"/>
  <c r="AV63" i="3"/>
  <c r="AV74" i="3" s="1"/>
  <c r="AV86" i="3" s="1"/>
  <c r="BP71" i="3"/>
  <c r="DH71" i="3"/>
  <c r="EV72" i="3"/>
  <c r="EW72" i="3" s="1"/>
  <c r="EX72" i="3" s="1"/>
  <c r="EY72" i="3" s="1"/>
  <c r="EU72" i="3"/>
  <c r="AI74" i="3"/>
  <c r="AJ74" i="3" s="1"/>
  <c r="AG86" i="3"/>
  <c r="BD83" i="3"/>
  <c r="X116" i="3"/>
  <c r="Y116" i="3" s="1"/>
  <c r="N117" i="3"/>
  <c r="O117" i="3" s="1"/>
  <c r="EY134" i="3"/>
  <c r="EZ132" i="3"/>
  <c r="DU142" i="3"/>
  <c r="DU146" i="3" s="1"/>
  <c r="AB253" i="3"/>
  <c r="AB254" i="3"/>
  <c r="AB168" i="3"/>
  <c r="AB167" i="3" s="1"/>
  <c r="AO9" i="3"/>
  <c r="BT13" i="3"/>
  <c r="BT22" i="3" s="1"/>
  <c r="F20" i="3"/>
  <c r="BF5" i="2"/>
  <c r="BJ7" i="2" s="1"/>
  <c r="W8" i="2"/>
  <c r="AY9" i="3"/>
  <c r="CC9" i="3"/>
  <c r="CY13" i="3"/>
  <c r="CY14" i="3" s="1"/>
  <c r="DS13" i="3"/>
  <c r="DS22" i="3" s="1"/>
  <c r="DS56" i="3" s="1"/>
  <c r="DS107" i="3" s="1"/>
  <c r="EQ13" i="3"/>
  <c r="EQ22" i="3" s="1"/>
  <c r="DD18" i="3"/>
  <c r="AO20" i="3"/>
  <c r="BI20" i="3"/>
  <c r="CL20" i="3"/>
  <c r="DT22" i="3"/>
  <c r="DT56" i="3" s="1"/>
  <c r="DT107" i="3" s="1"/>
  <c r="AE26" i="3"/>
  <c r="W27" i="3"/>
  <c r="DT71" i="3"/>
  <c r="DG100" i="3"/>
  <c r="DF104" i="3"/>
  <c r="DG104" i="3" s="1"/>
  <c r="T123" i="3"/>
  <c r="U123" i="3" s="1"/>
  <c r="AM140" i="3"/>
  <c r="AM146" i="3" s="1"/>
  <c r="EK144" i="3"/>
  <c r="EG146" i="3"/>
  <c r="EK146" i="3" s="1"/>
  <c r="CS13" i="3"/>
  <c r="CS14" i="3" s="1"/>
  <c r="AB27" i="3"/>
  <c r="AH77" i="3"/>
  <c r="AH76" i="3" s="1"/>
  <c r="AF76" i="3"/>
  <c r="E8" i="2"/>
  <c r="BJ8" i="2"/>
  <c r="AJ8" i="2"/>
  <c r="BA35" i="2"/>
  <c r="BA21" i="2" s="1"/>
  <c r="BJ30" i="2"/>
  <c r="BJ33" i="2" s="1"/>
  <c r="Z9" i="3"/>
  <c r="BD9" i="3"/>
  <c r="CH9" i="3"/>
  <c r="CQ9" i="3"/>
  <c r="BJ13" i="3"/>
  <c r="BJ71" i="3"/>
  <c r="CW10" i="3"/>
  <c r="DU13" i="3"/>
  <c r="DU22" i="3" s="1"/>
  <c r="DU71" i="3"/>
  <c r="CA11" i="3"/>
  <c r="N13" i="3"/>
  <c r="N15" i="3" s="1"/>
  <c r="BK13" i="3"/>
  <c r="BK22" i="3" s="1"/>
  <c r="CI13" i="3"/>
  <c r="CI14" i="3" s="1"/>
  <c r="CZ13" i="3"/>
  <c r="CZ14" i="3" s="1"/>
  <c r="DY13" i="3"/>
  <c r="DY14" i="3" s="1"/>
  <c r="DT14" i="3"/>
  <c r="AD20" i="3"/>
  <c r="E22" i="3"/>
  <c r="E32" i="3" s="1"/>
  <c r="Z26" i="3"/>
  <c r="CL28" i="3"/>
  <c r="CM28" i="3" s="1"/>
  <c r="DQ26" i="3"/>
  <c r="ED28" i="3"/>
  <c r="DV27" i="3"/>
  <c r="DY28" i="3"/>
  <c r="EK34" i="3"/>
  <c r="Z39" i="3"/>
  <c r="BN39" i="3"/>
  <c r="BE152" i="3"/>
  <c r="BD62" i="3"/>
  <c r="DM63" i="3"/>
  <c r="DL63" i="3"/>
  <c r="AI84" i="3"/>
  <c r="AJ84" i="3" s="1"/>
  <c r="AJ83" i="3"/>
  <c r="P114" i="3"/>
  <c r="CW117" i="3"/>
  <c r="BZ42" i="3"/>
  <c r="BZ315" i="3"/>
  <c r="CA315" i="3" s="1"/>
  <c r="CB315" i="3" s="1"/>
  <c r="AU35" i="2"/>
  <c r="AV36" i="2" s="1"/>
  <c r="BV35" i="2"/>
  <c r="BV37" i="2" s="1"/>
  <c r="CT35" i="2"/>
  <c r="CT37" i="2" s="1"/>
  <c r="CO8" i="2"/>
  <c r="CO9" i="2" s="1"/>
  <c r="CU8" i="2"/>
  <c r="CU15" i="2" s="1"/>
  <c r="K11" i="2"/>
  <c r="BE30" i="2"/>
  <c r="BE33" i="2" s="1"/>
  <c r="BN9" i="3"/>
  <c r="AG10" i="3"/>
  <c r="AU10" i="3"/>
  <c r="V8" i="2" s="1"/>
  <c r="BZ10" i="3"/>
  <c r="CR10" i="3"/>
  <c r="EL13" i="3"/>
  <c r="EL71" i="3"/>
  <c r="O13" i="3"/>
  <c r="O22" i="3" s="1"/>
  <c r="BQ13" i="3"/>
  <c r="BQ15" i="3" s="1"/>
  <c r="EB13" i="3"/>
  <c r="EB22" i="3" s="1"/>
  <c r="EB56" i="3" s="1"/>
  <c r="EB107" i="3" s="1"/>
  <c r="EF17" i="3"/>
  <c r="EF18" i="3" s="1"/>
  <c r="U20" i="3"/>
  <c r="BS20" i="3"/>
  <c r="CH19" i="3"/>
  <c r="CH20" i="3" s="1"/>
  <c r="DA28" i="3"/>
  <c r="DP28" i="3"/>
  <c r="EA26" i="3"/>
  <c r="AA27" i="3"/>
  <c r="CC28" i="3"/>
  <c r="DV34" i="3"/>
  <c r="CM39" i="3"/>
  <c r="AS42" i="3"/>
  <c r="AT42" i="3" s="1"/>
  <c r="BX62" i="3"/>
  <c r="BW74" i="3"/>
  <c r="BX74" i="3" s="1"/>
  <c r="BM74" i="3"/>
  <c r="BN74" i="3" s="1"/>
  <c r="BN63" i="3"/>
  <c r="AN74" i="3"/>
  <c r="AO74" i="3" s="1"/>
  <c r="AO72" i="3"/>
  <c r="EV91" i="3"/>
  <c r="EW91" i="3" s="1"/>
  <c r="EU91" i="3"/>
  <c r="AC117" i="3"/>
  <c r="AE117" i="3" s="1"/>
  <c r="S124" i="3"/>
  <c r="T124" i="3" s="1"/>
  <c r="T140" i="3"/>
  <c r="U140" i="3" s="1"/>
  <c r="AR144" i="3"/>
  <c r="AA252" i="3"/>
  <c r="AA185" i="3"/>
  <c r="AQ185" i="3"/>
  <c r="AQ168" i="3"/>
  <c r="AQ187" i="3"/>
  <c r="AQ174" i="3" s="1"/>
  <c r="AQ248" i="3" s="1"/>
  <c r="AI252" i="3"/>
  <c r="AW86" i="3"/>
  <c r="DJ84" i="3"/>
  <c r="AQ86" i="3"/>
  <c r="DH93" i="3"/>
  <c r="DH100" i="3" s="1"/>
  <c r="DH104" i="3" s="1"/>
  <c r="Y100" i="3"/>
  <c r="DQ118" i="3"/>
  <c r="EF118" i="3"/>
  <c r="DD126" i="3"/>
  <c r="DE126" i="3" s="1"/>
  <c r="DF126" i="3" s="1"/>
  <c r="DM134" i="3"/>
  <c r="DQ133" i="3"/>
  <c r="DC134" i="3"/>
  <c r="AK185" i="3"/>
  <c r="AK187" i="3"/>
  <c r="AR185" i="3"/>
  <c r="CA84" i="3"/>
  <c r="CA86" i="3" s="1"/>
  <c r="CX100" i="3"/>
  <c r="CX104" i="3" s="1"/>
  <c r="BB114" i="3"/>
  <c r="BB11" i="3" s="1"/>
  <c r="AW115" i="3"/>
  <c r="AX115" i="3" s="1"/>
  <c r="AY115" i="3" s="1"/>
  <c r="BM115" i="3"/>
  <c r="BN115" i="3" s="1"/>
  <c r="CM117" i="3"/>
  <c r="AM122" i="3"/>
  <c r="AN122" i="3" s="1"/>
  <c r="AO122" i="3" s="1"/>
  <c r="DJ122" i="3"/>
  <c r="DL122" i="3" s="1"/>
  <c r="AN126" i="3"/>
  <c r="AO126" i="3" s="1"/>
  <c r="DL126" i="3"/>
  <c r="BC132" i="3"/>
  <c r="DE132" i="3"/>
  <c r="DE134" i="3" s="1"/>
  <c r="FN133" i="3"/>
  <c r="FO133" i="3" s="1"/>
  <c r="AS141" i="3"/>
  <c r="AT141" i="3" s="1"/>
  <c r="EA146" i="3"/>
  <c r="AK234" i="3"/>
  <c r="AR74" i="3"/>
  <c r="AR86" i="3" s="1"/>
  <c r="EH64" i="3"/>
  <c r="AN82" i="3"/>
  <c r="AN84" i="3" s="1"/>
  <c r="CB82" i="3"/>
  <c r="CC82" i="3" s="1"/>
  <c r="AL86" i="3"/>
  <c r="AM100" i="3"/>
  <c r="AM104" i="3" s="1"/>
  <c r="CY100" i="3"/>
  <c r="CY104" i="3" s="1"/>
  <c r="CZ114" i="3"/>
  <c r="DA114" i="3" s="1"/>
  <c r="BC121" i="3"/>
  <c r="BD121" i="3" s="1"/>
  <c r="BX124" i="3"/>
  <c r="AI127" i="3"/>
  <c r="AJ127" i="3" s="1"/>
  <c r="EP134" i="3"/>
  <c r="FE142" i="3"/>
  <c r="CX146" i="3"/>
  <c r="CY144" i="3"/>
  <c r="CZ144" i="3" s="1"/>
  <c r="DA144" i="3" s="1"/>
  <c r="AS218" i="3"/>
  <c r="AS219" i="3"/>
  <c r="CZ100" i="3"/>
  <c r="CZ104" i="3" s="1"/>
  <c r="AC208" i="3"/>
  <c r="AD206" i="3"/>
  <c r="AD252" i="3" s="1"/>
  <c r="Z40" i="3"/>
  <c r="DW64" i="3"/>
  <c r="AO93" i="3"/>
  <c r="BR93" i="3"/>
  <c r="BS93" i="3" s="1"/>
  <c r="CJ118" i="3"/>
  <c r="CK118" i="3" s="1"/>
  <c r="CL118" i="3" s="1"/>
  <c r="AM121" i="3"/>
  <c r="AX122" i="3"/>
  <c r="AY122" i="3" s="1"/>
  <c r="AI123" i="3"/>
  <c r="AJ123" i="3" s="1"/>
  <c r="AE124" i="3"/>
  <c r="AS125" i="3"/>
  <c r="AT125" i="3" s="1"/>
  <c r="P126" i="3"/>
  <c r="CH126" i="3"/>
  <c r="EX134" i="3"/>
  <c r="FN132" i="3"/>
  <c r="EO141" i="3"/>
  <c r="EO146" i="3" s="1"/>
  <c r="AK210" i="3"/>
  <c r="AL209" i="3"/>
  <c r="EA118" i="3"/>
  <c r="BI124" i="3"/>
  <c r="EP133" i="3"/>
  <c r="DH134" i="3"/>
  <c r="BF146" i="3"/>
  <c r="CC144" i="3"/>
  <c r="DL144" i="3"/>
  <c r="DK146" i="3"/>
  <c r="AA168" i="3"/>
  <c r="AX209" i="3"/>
  <c r="AK223" i="3"/>
  <c r="Y242" i="3"/>
  <c r="AH253" i="3"/>
  <c r="Y255" i="3"/>
  <c r="Y216" i="3" s="1"/>
  <c r="Y168" i="3" s="1"/>
  <c r="Y251" i="3" s="1"/>
  <c r="BR134" i="3"/>
  <c r="AZ134" i="3"/>
  <c r="FL134" i="3"/>
  <c r="DT146" i="3"/>
  <c r="AF242" i="3"/>
  <c r="AF255" i="3"/>
  <c r="AL134" i="3"/>
  <c r="W133" i="3"/>
  <c r="X133" i="3" s="1"/>
  <c r="X134" i="3" s="1"/>
  <c r="BA133" i="3"/>
  <c r="BA134" i="3" s="1"/>
  <c r="EW134" i="3"/>
  <c r="BN144" i="3"/>
  <c r="DD144" i="3"/>
  <c r="AG242" i="3"/>
  <c r="BJ308" i="3"/>
  <c r="AM132" i="3"/>
  <c r="CY133" i="3"/>
  <c r="CZ133" i="3" s="1"/>
  <c r="DA133" i="3" s="1"/>
  <c r="DA134" i="3" s="1"/>
  <c r="BC198" i="3"/>
  <c r="AS228" i="3"/>
  <c r="AX235" i="3"/>
  <c r="AZ308" i="3"/>
  <c r="CV145" i="2"/>
  <c r="BX21" i="2"/>
  <c r="BX24" i="2" s="1"/>
  <c r="EI143" i="2"/>
  <c r="CQ21" i="2"/>
  <c r="CQ25" i="2" s="1"/>
  <c r="CW21" i="2"/>
  <c r="EK81" i="2"/>
  <c r="BL37" i="2"/>
  <c r="J14" i="2"/>
  <c r="BP78" i="2"/>
  <c r="BV106" i="2"/>
  <c r="D6" i="2"/>
  <c r="BR38" i="2"/>
  <c r="CP15" i="2"/>
  <c r="CP18" i="2" s="1"/>
  <c r="BN21" i="2"/>
  <c r="BN24" i="2" s="1"/>
  <c r="CL21" i="2"/>
  <c r="CL24" i="2" s="1"/>
  <c r="D21" i="2"/>
  <c r="D24" i="2" s="1"/>
  <c r="V21" i="2"/>
  <c r="V24" i="2" s="1"/>
  <c r="AH21" i="2"/>
  <c r="AH24" i="2" s="1"/>
  <c r="G21" i="2"/>
  <c r="M21" i="2"/>
  <c r="M24" i="2" s="1"/>
  <c r="S21" i="2"/>
  <c r="S24" i="2" s="1"/>
  <c r="AE21" i="2"/>
  <c r="AK21" i="2"/>
  <c r="AQ21" i="2"/>
  <c r="AQ25" i="2" s="1"/>
  <c r="BC21" i="2"/>
  <c r="BC24" i="2" s="1"/>
  <c r="F36" i="2"/>
  <c r="L36" i="2"/>
  <c r="R36" i="2"/>
  <c r="AD36" i="2"/>
  <c r="AJ36" i="2"/>
  <c r="K12" i="2"/>
  <c r="BF12" i="2"/>
  <c r="BR21" i="2"/>
  <c r="DV68" i="2" s="1"/>
  <c r="CP21" i="2"/>
  <c r="F54" i="2"/>
  <c r="BB65" i="2"/>
  <c r="BH65" i="2"/>
  <c r="BN65" i="2"/>
  <c r="BT65" i="2"/>
  <c r="BZ65" i="2"/>
  <c r="CB21" i="2"/>
  <c r="CB24" i="2" s="1"/>
  <c r="AA6" i="2"/>
  <c r="AM6" i="2"/>
  <c r="AY6" i="2"/>
  <c r="BQ6" i="2"/>
  <c r="CN15" i="2"/>
  <c r="CN19" i="2" s="1"/>
  <c r="CU6" i="2"/>
  <c r="BS13" i="2"/>
  <c r="CG12" i="2"/>
  <c r="CM12" i="2"/>
  <c r="CS12" i="2"/>
  <c r="C36" i="2"/>
  <c r="CE149" i="2"/>
  <c r="CU21" i="2"/>
  <c r="F21" i="2"/>
  <c r="F24" i="2" s="1"/>
  <c r="J37" i="2"/>
  <c r="P37" i="2"/>
  <c r="AN37" i="2"/>
  <c r="CD149" i="2"/>
  <c r="BX110" i="2"/>
  <c r="BX94" i="2"/>
  <c r="G7" i="2"/>
  <c r="S7" i="2"/>
  <c r="Y7" i="2"/>
  <c r="AE7" i="2"/>
  <c r="BU7" i="2"/>
  <c r="BI90" i="2"/>
  <c r="BG65" i="2"/>
  <c r="BM65" i="2"/>
  <c r="BS65" i="2"/>
  <c r="BY65" i="2"/>
  <c r="H69" i="2"/>
  <c r="T69" i="2"/>
  <c r="AF69" i="2"/>
  <c r="AR69" i="2"/>
  <c r="AX69" i="2"/>
  <c r="BD69" i="2"/>
  <c r="BP69" i="2"/>
  <c r="CB69" i="2"/>
  <c r="J32" i="2"/>
  <c r="AN32" i="2"/>
  <c r="BF21" i="2"/>
  <c r="BF25" i="2" s="1"/>
  <c r="BL32" i="2"/>
  <c r="I36" i="2"/>
  <c r="O36" i="2"/>
  <c r="AG36" i="2"/>
  <c r="CR36" i="2"/>
  <c r="CX36" i="2"/>
  <c r="BK7" i="2"/>
  <c r="BQ7" i="2"/>
  <c r="AN12" i="2"/>
  <c r="AC68" i="2"/>
  <c r="AI68" i="2"/>
  <c r="AO68" i="2"/>
  <c r="AU68" i="2"/>
  <c r="BA68" i="2"/>
  <c r="BG68" i="2"/>
  <c r="BM68" i="2"/>
  <c r="BS68" i="2"/>
  <c r="BY68" i="2"/>
  <c r="BS246" i="2"/>
  <c r="BY122" i="2"/>
  <c r="AI12" i="2"/>
  <c r="CC12" i="2"/>
  <c r="CI12" i="2"/>
  <c r="ER30" i="2"/>
  <c r="AJ21" i="2"/>
  <c r="AJ24" i="2" s="1"/>
  <c r="BW78" i="2"/>
  <c r="AK7" i="2"/>
  <c r="BC7" i="2"/>
  <c r="BO7" i="2"/>
  <c r="CA7" i="2"/>
  <c r="I21" i="2"/>
  <c r="O32" i="2"/>
  <c r="U21" i="2"/>
  <c r="U24" i="2" s="1"/>
  <c r="AY32" i="2"/>
  <c r="BQ90" i="2"/>
  <c r="BV90" i="2"/>
  <c r="BW31" i="2"/>
  <c r="AB21" i="2"/>
  <c r="Q38" i="2"/>
  <c r="AI38" i="2"/>
  <c r="AU7" i="2"/>
  <c r="CE7" i="2"/>
  <c r="CQ7" i="2"/>
  <c r="BM13" i="2"/>
  <c r="BY13" i="2"/>
  <c r="K7" i="2"/>
  <c r="W7" i="2"/>
  <c r="BA38" i="2"/>
  <c r="BR246" i="2"/>
  <c r="BR247" i="2" s="1"/>
  <c r="BR82" i="2"/>
  <c r="BR90" i="2"/>
  <c r="BX122" i="2"/>
  <c r="BX78" i="2"/>
  <c r="BX98" i="2"/>
  <c r="CP149" i="2"/>
  <c r="BR262" i="2"/>
  <c r="BV263" i="2"/>
  <c r="AN68" i="2"/>
  <c r="BZ141" i="2"/>
  <c r="EL244" i="2"/>
  <c r="BK251" i="2"/>
  <c r="AL10" i="2"/>
  <c r="AS9" i="2"/>
  <c r="J13" i="2"/>
  <c r="CP12" i="2"/>
  <c r="BC65" i="2"/>
  <c r="CV148" i="2"/>
  <c r="CV149" i="2" s="1"/>
  <c r="BX15" i="2"/>
  <c r="BX18" i="2" s="1"/>
  <c r="AE12" i="2"/>
  <c r="AK14" i="2"/>
  <c r="BL13" i="2"/>
  <c r="EK11" i="2"/>
  <c r="BX13" i="2"/>
  <c r="CK13" i="2"/>
  <c r="CQ13" i="2"/>
  <c r="CW13" i="2"/>
  <c r="F32" i="2"/>
  <c r="L32" i="2"/>
  <c r="X32" i="2"/>
  <c r="AD32" i="2"/>
  <c r="AJ32" i="2"/>
  <c r="AT32" i="2"/>
  <c r="AV32" i="2"/>
  <c r="BT32" i="2"/>
  <c r="CF32" i="2"/>
  <c r="CV32" i="2"/>
  <c r="U36" i="2"/>
  <c r="BW142" i="2"/>
  <c r="CV141" i="2"/>
  <c r="BU225" i="2"/>
  <c r="D14" i="2"/>
  <c r="BY253" i="2"/>
  <c r="AL68" i="2"/>
  <c r="BS12" i="2"/>
  <c r="BV68" i="2"/>
  <c r="EH233" i="2"/>
  <c r="G6" i="2"/>
  <c r="S6" i="2"/>
  <c r="Y6" i="2"/>
  <c r="AE6" i="2"/>
  <c r="AQ6" i="2"/>
  <c r="BO6" i="2"/>
  <c r="CG6" i="2"/>
  <c r="CS6" i="2"/>
  <c r="CX7" i="2"/>
  <c r="CG7" i="2"/>
  <c r="CT10" i="2"/>
  <c r="BZ13" i="2"/>
  <c r="AP21" i="2"/>
  <c r="BT21" i="2"/>
  <c r="CF21" i="2"/>
  <c r="T31" i="2"/>
  <c r="AL31" i="2"/>
  <c r="BV31" i="2"/>
  <c r="CN31" i="2"/>
  <c r="BD31" i="2"/>
  <c r="E53" i="2"/>
  <c r="I68" i="2"/>
  <c r="O69" i="2"/>
  <c r="U69" i="2"/>
  <c r="AA69" i="2"/>
  <c r="AS69" i="2"/>
  <c r="AY69" i="2"/>
  <c r="BE69" i="2"/>
  <c r="BL68" i="2"/>
  <c r="CC68" i="2"/>
  <c r="CU142" i="2"/>
  <c r="N68" i="2"/>
  <c r="CQ141" i="2"/>
  <c r="BU141" i="2"/>
  <c r="AW15" i="2"/>
  <c r="AW18" i="2" s="1"/>
  <c r="C9" i="2"/>
  <c r="AI10" i="2"/>
  <c r="CO12" i="2"/>
  <c r="CU12" i="2"/>
  <c r="Q21" i="2"/>
  <c r="Q24" i="2" s="1"/>
  <c r="C33" i="2"/>
  <c r="U33" i="2"/>
  <c r="AM33" i="2"/>
  <c r="CN178" i="2"/>
  <c r="BJ252" i="2"/>
  <c r="BT269" i="2"/>
  <c r="BT272" i="2" s="1"/>
  <c r="BW286" i="2"/>
  <c r="CP32" i="2"/>
  <c r="CB10" i="2"/>
  <c r="AI13" i="2"/>
  <c r="CO13" i="2"/>
  <c r="P32" i="2"/>
  <c r="AZ32" i="2"/>
  <c r="BR32" i="2"/>
  <c r="CJ32" i="2"/>
  <c r="I69" i="2"/>
  <c r="BQ138" i="2"/>
  <c r="EK140" i="2"/>
  <c r="EK143" i="2" s="1"/>
  <c r="BY262" i="2"/>
  <c r="C53" i="2"/>
  <c r="BZ255" i="2"/>
  <c r="AW7" i="2"/>
  <c r="BK12" i="2"/>
  <c r="CD14" i="2"/>
  <c r="AI21" i="2"/>
  <c r="AI24" i="2" s="1"/>
  <c r="BK69" i="2"/>
  <c r="EL81" i="2"/>
  <c r="CA137" i="2"/>
  <c r="ER101" i="2"/>
  <c r="BR263" i="2"/>
  <c r="BR264" i="2"/>
  <c r="AI17" i="4"/>
  <c r="AO17" i="4"/>
  <c r="AU17" i="4"/>
  <c r="AA33" i="2"/>
  <c r="AA32" i="2"/>
  <c r="AG33" i="2"/>
  <c r="AG31" i="2"/>
  <c r="BQ33" i="2"/>
  <c r="BQ31" i="2"/>
  <c r="CI33" i="2"/>
  <c r="CI31" i="2"/>
  <c r="V37" i="2"/>
  <c r="Z69" i="2"/>
  <c r="Z68" i="2"/>
  <c r="U68" i="2"/>
  <c r="AE14" i="2"/>
  <c r="AS12" i="2"/>
  <c r="AY12" i="2"/>
  <c r="AH13" i="2"/>
  <c r="O21" i="2"/>
  <c r="C31" i="2"/>
  <c r="AP36" i="2"/>
  <c r="AO38" i="2"/>
  <c r="AA37" i="2"/>
  <c r="AZ37" i="2"/>
  <c r="CQ38" i="2"/>
  <c r="H54" i="2"/>
  <c r="C68" i="2"/>
  <c r="AG69" i="2"/>
  <c r="AG68" i="2"/>
  <c r="AM68" i="2"/>
  <c r="BQ69" i="2"/>
  <c r="BQ68" i="2"/>
  <c r="BW68" i="2"/>
  <c r="V68" i="2"/>
  <c r="AS68" i="2"/>
  <c r="N69" i="2"/>
  <c r="AM69" i="2"/>
  <c r="BZ90" i="2"/>
  <c r="BZ82" i="2"/>
  <c r="BY141" i="2"/>
  <c r="BX151" i="2"/>
  <c r="BW148" i="2"/>
  <c r="BW150" i="2" s="1"/>
  <c r="BZ262" i="2"/>
  <c r="BV266" i="2"/>
  <c r="CO33" i="2"/>
  <c r="BR141" i="2"/>
  <c r="BR142" i="2"/>
  <c r="BV142" i="2"/>
  <c r="AJ2" i="2"/>
  <c r="AE15" i="2"/>
  <c r="AE18" i="2" s="1"/>
  <c r="AK15" i="2"/>
  <c r="AK18" i="2" s="1"/>
  <c r="AQ7" i="2"/>
  <c r="AM12" i="2"/>
  <c r="BC12" i="2"/>
  <c r="BI12" i="2"/>
  <c r="BO12" i="2"/>
  <c r="BU12" i="2"/>
  <c r="CG14" i="2"/>
  <c r="CM14" i="2"/>
  <c r="CS14" i="2"/>
  <c r="BG12" i="2"/>
  <c r="CC13" i="2"/>
  <c r="P21" i="2"/>
  <c r="P24" i="2" s="1"/>
  <c r="W21" i="2"/>
  <c r="AD21" i="2"/>
  <c r="F31" i="2"/>
  <c r="L31" i="2"/>
  <c r="R31" i="2"/>
  <c r="X31" i="2"/>
  <c r="W33" i="2"/>
  <c r="AJ31" i="2"/>
  <c r="AP31" i="2"/>
  <c r="AV31" i="2"/>
  <c r="BB31" i="2"/>
  <c r="BH31" i="2"/>
  <c r="BT31" i="2"/>
  <c r="BZ31" i="2"/>
  <c r="BY33" i="2"/>
  <c r="CF31" i="2"/>
  <c r="CL31" i="2"/>
  <c r="CR31" i="2"/>
  <c r="CX31" i="2"/>
  <c r="U32" i="2"/>
  <c r="BW32" i="2"/>
  <c r="CI36" i="2"/>
  <c r="AG37" i="2"/>
  <c r="J68" i="2"/>
  <c r="P68" i="2"/>
  <c r="AT68" i="2"/>
  <c r="AZ68" i="2"/>
  <c r="D68" i="2"/>
  <c r="AA68" i="2"/>
  <c r="AX68" i="2"/>
  <c r="BR68" i="2"/>
  <c r="BV69" i="2"/>
  <c r="AS33" i="2"/>
  <c r="AS32" i="2"/>
  <c r="CO32" i="2"/>
  <c r="AL69" i="2"/>
  <c r="BR143" i="2"/>
  <c r="EB11" i="2"/>
  <c r="BC14" i="2"/>
  <c r="BO14" i="2"/>
  <c r="BU14" i="2"/>
  <c r="BL14" i="2"/>
  <c r="C21" i="2"/>
  <c r="C24" i="2" s="1"/>
  <c r="J21" i="2"/>
  <c r="AM21" i="2"/>
  <c r="AM24" i="2" s="1"/>
  <c r="DX30" i="2"/>
  <c r="ED30" i="2"/>
  <c r="BH32" i="2"/>
  <c r="BH21" i="2"/>
  <c r="EJ30" i="2"/>
  <c r="BZ32" i="2"/>
  <c r="BZ21" i="2"/>
  <c r="BZ25" i="2" s="1"/>
  <c r="BZ28" i="2" s="1"/>
  <c r="EP30" i="2"/>
  <c r="CR32" i="2"/>
  <c r="CR21" i="2"/>
  <c r="CX32" i="2"/>
  <c r="CY30" i="2"/>
  <c r="CY21" i="2" s="1"/>
  <c r="U31" i="2"/>
  <c r="V32" i="2"/>
  <c r="BX32" i="2"/>
  <c r="E33" i="2"/>
  <c r="DY35" i="2"/>
  <c r="CD21" i="2"/>
  <c r="I37" i="2"/>
  <c r="AH37" i="2"/>
  <c r="DU55" i="2"/>
  <c r="AB68" i="2"/>
  <c r="AY68" i="2"/>
  <c r="BW69" i="2"/>
  <c r="AG16" i="4"/>
  <c r="O33" i="2"/>
  <c r="O31" i="2"/>
  <c r="AY33" i="2"/>
  <c r="CQ33" i="2"/>
  <c r="BJ68" i="2"/>
  <c r="BJ69" i="2"/>
  <c r="CM7" i="2"/>
  <c r="B14" i="2"/>
  <c r="CU14" i="2"/>
  <c r="EH11" i="2"/>
  <c r="CQ12" i="2"/>
  <c r="K21" i="2"/>
  <c r="R21" i="2"/>
  <c r="AG21" i="2"/>
  <c r="AN21" i="2"/>
  <c r="AV21" i="2"/>
  <c r="AV25" i="2" s="1"/>
  <c r="CN21" i="2"/>
  <c r="CX21" i="2"/>
  <c r="CX25" i="2" s="1"/>
  <c r="CX28" i="2" s="1"/>
  <c r="AB32" i="2"/>
  <c r="CD32" i="2"/>
  <c r="AO33" i="2"/>
  <c r="B38" i="2"/>
  <c r="T21" i="2"/>
  <c r="DZ35" i="2"/>
  <c r="AL21" i="2"/>
  <c r="AL24" i="2" s="1"/>
  <c r="O37" i="2"/>
  <c r="E38" i="2"/>
  <c r="CC65" i="2"/>
  <c r="AH68" i="2"/>
  <c r="BE68" i="2"/>
  <c r="BX68" i="2"/>
  <c r="CC69" i="2"/>
  <c r="EL140" i="2"/>
  <c r="EL143" i="2" s="1"/>
  <c r="BS141" i="2"/>
  <c r="I32" i="2"/>
  <c r="BK33" i="2"/>
  <c r="BK32" i="2"/>
  <c r="BW33" i="2"/>
  <c r="BW21" i="2"/>
  <c r="CU33" i="2"/>
  <c r="CU32" i="2"/>
  <c r="AM32" i="2"/>
  <c r="BK68" i="2"/>
  <c r="BX141" i="2"/>
  <c r="BX143" i="2"/>
  <c r="J15" i="2"/>
  <c r="J18" i="2" s="1"/>
  <c r="P38" i="2"/>
  <c r="AH38" i="2"/>
  <c r="EC5" i="2"/>
  <c r="CS7" i="2"/>
  <c r="AL9" i="2"/>
  <c r="BS9" i="2"/>
  <c r="C14" i="2"/>
  <c r="S12" i="2"/>
  <c r="AK12" i="2"/>
  <c r="AW14" i="2"/>
  <c r="BQ13" i="2"/>
  <c r="BW14" i="2"/>
  <c r="CJ13" i="2"/>
  <c r="EQ11" i="2"/>
  <c r="CV13" i="2"/>
  <c r="CD12" i="2"/>
  <c r="CV14" i="2"/>
  <c r="E21" i="2"/>
  <c r="L21" i="2"/>
  <c r="AA21" i="2"/>
  <c r="AO21" i="2"/>
  <c r="AO25" i="2" s="1"/>
  <c r="AO28" i="2" s="1"/>
  <c r="BI21" i="2"/>
  <c r="B33" i="2"/>
  <c r="CH21" i="2"/>
  <c r="CH24" i="2" s="1"/>
  <c r="EE30" i="2"/>
  <c r="AM31" i="2"/>
  <c r="CO31" i="2"/>
  <c r="BF32" i="2"/>
  <c r="CI32" i="2"/>
  <c r="BG33" i="2"/>
  <c r="W38" i="2"/>
  <c r="O68" i="2"/>
  <c r="BF68" i="2"/>
  <c r="BW141" i="2"/>
  <c r="BW143" i="2"/>
  <c r="CL168" i="2"/>
  <c r="CL176" i="2" s="1"/>
  <c r="BX262" i="2"/>
  <c r="BX264" i="2"/>
  <c r="BW266" i="2"/>
  <c r="BV268" i="2"/>
  <c r="DV30" i="2"/>
  <c r="EB30" i="2"/>
  <c r="EH30" i="2"/>
  <c r="EN30" i="2"/>
  <c r="C38" i="2"/>
  <c r="O38" i="2"/>
  <c r="U38" i="2"/>
  <c r="AA38" i="2"/>
  <c r="AG38" i="2"/>
  <c r="CF37" i="2"/>
  <c r="CR37" i="2"/>
  <c r="AM36" i="2"/>
  <c r="U37" i="2"/>
  <c r="F53" i="2"/>
  <c r="DT55" i="2"/>
  <c r="G69" i="2"/>
  <c r="S69" i="2"/>
  <c r="AE69" i="2"/>
  <c r="AQ69" i="2"/>
  <c r="BC69" i="2"/>
  <c r="BO69" i="2"/>
  <c r="CA69" i="2"/>
  <c r="EI97" i="2"/>
  <c r="BW98" i="2"/>
  <c r="BU143" i="2"/>
  <c r="BV145" i="2"/>
  <c r="BW269" i="2"/>
  <c r="BW271" i="2" s="1"/>
  <c r="CA142" i="2"/>
  <c r="BP225" i="2"/>
  <c r="BV225" i="2"/>
  <c r="AH32" i="2"/>
  <c r="BW38" i="2"/>
  <c r="CU38" i="2"/>
  <c r="DT52" i="2"/>
  <c r="BF65" i="2"/>
  <c r="BL65" i="2"/>
  <c r="BR65" i="2"/>
  <c r="BX65" i="2"/>
  <c r="CI133" i="2"/>
  <c r="CO133" i="2"/>
  <c r="BV141" i="2"/>
  <c r="CG150" i="2"/>
  <c r="BE270" i="2"/>
  <c r="BO285" i="2"/>
  <c r="CA285" i="2"/>
  <c r="BX298" i="2"/>
  <c r="BZ78" i="2"/>
  <c r="EN77" i="2"/>
  <c r="BZ114" i="2"/>
  <c r="BZ121" i="2"/>
  <c r="BT78" i="2"/>
  <c r="BT82" i="2"/>
  <c r="BT86" i="2"/>
  <c r="BW102" i="2"/>
  <c r="BW110" i="2"/>
  <c r="EK105" i="2"/>
  <c r="BW106" i="2"/>
  <c r="EQ177" i="2"/>
  <c r="EH237" i="2"/>
  <c r="BV285" i="2"/>
  <c r="BR297" i="2"/>
  <c r="BW82" i="2"/>
  <c r="BX106" i="2"/>
  <c r="BM137" i="2"/>
  <c r="CO211" i="2"/>
  <c r="EI233" i="2"/>
  <c r="BL271" i="2"/>
  <c r="CI176" i="2"/>
  <c r="ER81" i="2"/>
  <c r="BR137" i="2"/>
  <c r="CK145" i="2"/>
  <c r="BS137" i="2"/>
  <c r="BL251" i="2"/>
  <c r="EE29" i="2"/>
  <c r="EQ29" i="2"/>
  <c r="BQ78" i="2"/>
  <c r="EH81" i="2"/>
  <c r="BX82" i="2"/>
  <c r="BY85" i="2"/>
  <c r="BW90" i="2"/>
  <c r="BQ94" i="2"/>
  <c r="CN133" i="2"/>
  <c r="BX138" i="2"/>
  <c r="BW138" i="2"/>
  <c r="CF179" i="2"/>
  <c r="EK244" i="2"/>
  <c r="BT246" i="2"/>
  <c r="BX248" i="2" s="1"/>
  <c r="BY249" i="2"/>
  <c r="BK252" i="2"/>
  <c r="BE251" i="2"/>
  <c r="AZ255" i="2"/>
  <c r="BI271" i="2"/>
  <c r="BX285" i="2"/>
  <c r="EL307" i="2"/>
  <c r="AK18" i="4"/>
  <c r="AW18" i="4"/>
  <c r="BR78" i="2"/>
  <c r="BX90" i="2"/>
  <c r="BR94" i="2"/>
  <c r="BQ98" i="2"/>
  <c r="BJ101" i="2"/>
  <c r="BQ102" i="2"/>
  <c r="BQ106" i="2"/>
  <c r="BQ110" i="2"/>
  <c r="CI174" i="2"/>
  <c r="BY226" i="2"/>
  <c r="BJ271" i="2"/>
  <c r="BH272" i="2"/>
  <c r="BW122" i="2"/>
  <c r="BQ84" i="2"/>
  <c r="ER97" i="2"/>
  <c r="BL137" i="2"/>
  <c r="BZ145" i="2"/>
  <c r="CN211" i="2"/>
  <c r="BQ82" i="2"/>
  <c r="BC84" i="2"/>
  <c r="BI84" i="2"/>
  <c r="BO84" i="2"/>
  <c r="BU84" i="2"/>
  <c r="EJ89" i="2"/>
  <c r="EH143" i="2"/>
  <c r="BW94" i="2"/>
  <c r="BR98" i="2"/>
  <c r="BE100" i="2"/>
  <c r="BK100" i="2"/>
  <c r="EM101" i="2"/>
  <c r="BR106" i="2"/>
  <c r="BR110" i="2"/>
  <c r="BR122" i="2"/>
  <c r="BR134" i="2"/>
  <c r="CJ133" i="2"/>
  <c r="CP134" i="2"/>
  <c r="EI142" i="2"/>
  <c r="CP146" i="2"/>
  <c r="CM150" i="2"/>
  <c r="CQ174" i="2"/>
  <c r="BT225" i="2"/>
  <c r="EG244" i="2"/>
  <c r="BA253" i="2"/>
  <c r="BK270" i="2"/>
  <c r="EK292" i="2"/>
  <c r="ER42" i="3"/>
  <c r="ER41" i="3" s="1"/>
  <c r="ER118" i="3" s="1"/>
  <c r="BY82" i="2"/>
  <c r="BJ84" i="2"/>
  <c r="EL89" i="2"/>
  <c r="BS94" i="2"/>
  <c r="EL101" i="2"/>
  <c r="BZ106" i="2"/>
  <c r="BL133" i="2"/>
  <c r="BS133" i="2"/>
  <c r="CQ133" i="2"/>
  <c r="CQ145" i="2"/>
  <c r="CJ174" i="2"/>
  <c r="CJ176" i="2"/>
  <c r="BY225" i="2"/>
  <c r="AX257" i="2"/>
  <c r="BR285" i="2"/>
  <c r="EL292" i="2"/>
  <c r="BP84" i="2"/>
  <c r="BY98" i="2"/>
  <c r="BF100" i="2"/>
  <c r="DC112" i="2"/>
  <c r="CA119" i="2"/>
  <c r="ER77" i="2"/>
  <c r="BS82" i="2"/>
  <c r="BD84" i="2"/>
  <c r="BU85" i="2"/>
  <c r="BU86" i="2"/>
  <c r="EL93" i="2"/>
  <c r="EJ97" i="2"/>
  <c r="EP97" i="2"/>
  <c r="BZ98" i="2"/>
  <c r="BZ104" i="2"/>
  <c r="BT106" i="2"/>
  <c r="DL111" i="2"/>
  <c r="DL112" i="2" s="1"/>
  <c r="CM119" i="2"/>
  <c r="BN133" i="2"/>
  <c r="CM133" i="2"/>
  <c r="EH142" i="2"/>
  <c r="BN145" i="2"/>
  <c r="CL145" i="2"/>
  <c r="CN175" i="2"/>
  <c r="CM177" i="2"/>
  <c r="CB269" i="2"/>
  <c r="DW68" i="2" s="1"/>
  <c r="DW69" i="2" s="1"/>
  <c r="BF270" i="2"/>
  <c r="BK272" i="2"/>
  <c r="BY285" i="2"/>
  <c r="EM77" i="2"/>
  <c r="BI85" i="2"/>
  <c r="BW85" i="2"/>
  <c r="CW90" i="2"/>
  <c r="EM91" i="2"/>
  <c r="EM93" i="2" s="1"/>
  <c r="EI93" i="2"/>
  <c r="BZ94" i="2"/>
  <c r="CW98" i="2"/>
  <c r="BM101" i="2"/>
  <c r="CA104" i="2"/>
  <c r="BR120" i="2"/>
  <c r="BY137" i="2"/>
  <c r="BO145" i="2"/>
  <c r="BC152" i="2"/>
  <c r="BC153" i="2" s="1"/>
  <c r="CI173" i="2"/>
  <c r="EQ175" i="2"/>
  <c r="EQ179" i="2"/>
  <c r="CP211" i="2"/>
  <c r="BQ225" i="2"/>
  <c r="AX238" i="2"/>
  <c r="BR286" i="2"/>
  <c r="BX286" i="2"/>
  <c r="BW285" i="2"/>
  <c r="EF29" i="2"/>
  <c r="EG29" i="2"/>
  <c r="EI29" i="2"/>
  <c r="EL29" i="2"/>
  <c r="EM29" i="2"/>
  <c r="EO29" i="2"/>
  <c r="EP81" i="2"/>
  <c r="BM84" i="2"/>
  <c r="CA89" i="2"/>
  <c r="BT90" i="2"/>
  <c r="BT98" i="2"/>
  <c r="BT102" i="2"/>
  <c r="BS120" i="2"/>
  <c r="BW146" i="2"/>
  <c r="CC146" i="2"/>
  <c r="CJ173" i="2"/>
  <c r="CQ177" i="2"/>
  <c r="BR225" i="2"/>
  <c r="BA255" i="2"/>
  <c r="CA269" i="2"/>
  <c r="BU286" i="2"/>
  <c r="CA286" i="2"/>
  <c r="EL310" i="2"/>
  <c r="BX86" i="2"/>
  <c r="BX84" i="2"/>
  <c r="BJ85" i="2"/>
  <c r="EO148" i="2"/>
  <c r="EO151" i="2" s="1"/>
  <c r="CI149" i="2"/>
  <c r="CH149" i="2"/>
  <c r="AA16" i="4"/>
  <c r="AA18" i="4"/>
  <c r="AG18" i="4"/>
  <c r="BK131" i="2"/>
  <c r="BK151" i="2" s="1"/>
  <c r="BK148" i="2" s="1"/>
  <c r="BG85" i="2"/>
  <c r="BH84" i="2"/>
  <c r="BS85" i="2"/>
  <c r="BS86" i="2"/>
  <c r="BK85" i="2"/>
  <c r="BN119" i="2"/>
  <c r="BU106" i="2"/>
  <c r="BU82" i="2"/>
  <c r="BU78" i="2"/>
  <c r="ED29" i="2"/>
  <c r="EJ29" i="2"/>
  <c r="EP29" i="2"/>
  <c r="EL97" i="2"/>
  <c r="BP246" i="2"/>
  <c r="BP254" i="2" s="1"/>
  <c r="BP226" i="2" s="1"/>
  <c r="BP102" i="2"/>
  <c r="BP106" i="2"/>
  <c r="BP82" i="2"/>
  <c r="BQ120" i="2"/>
  <c r="BP90" i="2"/>
  <c r="BV82" i="2"/>
  <c r="BV78" i="2"/>
  <c r="CB141" i="2"/>
  <c r="CB142" i="2"/>
  <c r="CR140" i="2"/>
  <c r="CR141" i="2" s="1"/>
  <c r="EG143" i="2"/>
  <c r="CC140" i="2"/>
  <c r="EM140" i="2" s="1"/>
  <c r="BW145" i="2"/>
  <c r="CT174" i="2"/>
  <c r="CT179" i="2"/>
  <c r="CT177" i="2"/>
  <c r="CT175" i="2"/>
  <c r="CT178" i="2"/>
  <c r="CV212" i="2"/>
  <c r="CR212" i="2"/>
  <c r="BF271" i="2"/>
  <c r="BB272" i="2"/>
  <c r="BM148" i="2"/>
  <c r="BQ150" i="2" s="1"/>
  <c r="BM119" i="2"/>
  <c r="BQ101" i="2"/>
  <c r="BC90" i="2"/>
  <c r="BC82" i="2"/>
  <c r="AM18" i="4"/>
  <c r="AM16" i="4"/>
  <c r="EQ97" i="2"/>
  <c r="BP145" i="2"/>
  <c r="BT146" i="2"/>
  <c r="ER29" i="2"/>
  <c r="EI99" i="2"/>
  <c r="EI119" i="2" s="1"/>
  <c r="CS140" i="2"/>
  <c r="CW142" i="2" s="1"/>
  <c r="CO168" i="2"/>
  <c r="CO176" i="2" s="1"/>
  <c r="CM174" i="2"/>
  <c r="CM176" i="2"/>
  <c r="CM178" i="2"/>
  <c r="CM175" i="2"/>
  <c r="BT224" i="2"/>
  <c r="BH270" i="2"/>
  <c r="EL279" i="2"/>
  <c r="BS297" i="2"/>
  <c r="BY297" i="2"/>
  <c r="BR86" i="2"/>
  <c r="BR84" i="2"/>
  <c r="BM100" i="2"/>
  <c r="BM85" i="2"/>
  <c r="EK97" i="2"/>
  <c r="BO86" i="2"/>
  <c r="BO102" i="2"/>
  <c r="BO78" i="2"/>
  <c r="BO106" i="2"/>
  <c r="BO82" i="2"/>
  <c r="EI83" i="2"/>
  <c r="BP85" i="2"/>
  <c r="CB119" i="2"/>
  <c r="CB136" i="2"/>
  <c r="CB138" i="2" s="1"/>
  <c r="CB89" i="2"/>
  <c r="CT89" i="2"/>
  <c r="CP88" i="2"/>
  <c r="BX253" i="2"/>
  <c r="BX234" i="2"/>
  <c r="BX238" i="2"/>
  <c r="BG119" i="2"/>
  <c r="BG86" i="2" s="1"/>
  <c r="CO146" i="2"/>
  <c r="CP145" i="2"/>
  <c r="AS18" i="4"/>
  <c r="AS16" i="4"/>
  <c r="BH100" i="2"/>
  <c r="EH29" i="2"/>
  <c r="EK29" i="2"/>
  <c r="EN29" i="2"/>
  <c r="BQ86" i="2"/>
  <c r="BQ85" i="2"/>
  <c r="BW86" i="2"/>
  <c r="BW84" i="2"/>
  <c r="BY84" i="2"/>
  <c r="CQ88" i="2"/>
  <c r="CW94" i="2"/>
  <c r="CW122" i="2"/>
  <c r="CW86" i="2"/>
  <c r="EK89" i="2"/>
  <c r="BF101" i="2"/>
  <c r="BF119" i="2"/>
  <c r="BF86" i="2" s="1"/>
  <c r="EH99" i="2"/>
  <c r="EH119" i="2" s="1"/>
  <c r="EH90" i="2" s="1"/>
  <c r="BL148" i="2"/>
  <c r="BP150" i="2" s="1"/>
  <c r="BL100" i="2"/>
  <c r="BL119" i="2"/>
  <c r="BP121" i="2" s="1"/>
  <c r="BP101" i="2"/>
  <c r="BG100" i="2"/>
  <c r="BG101" i="2"/>
  <c r="BB119" i="2"/>
  <c r="BB98" i="2" s="1"/>
  <c r="CE147" i="2"/>
  <c r="CE144" i="2" s="1"/>
  <c r="CI146" i="2" s="1"/>
  <c r="CD144" i="2"/>
  <c r="CN149" i="2"/>
  <c r="EH77" i="2"/>
  <c r="EQ81" i="2"/>
  <c r="BZ86" i="2"/>
  <c r="BO85" i="2"/>
  <c r="CS136" i="2"/>
  <c r="CS119" i="2"/>
  <c r="CS102" i="2" s="1"/>
  <c r="EJ93" i="2"/>
  <c r="EM97" i="2"/>
  <c r="BZ102" i="2"/>
  <c r="DO113" i="2"/>
  <c r="BQ134" i="2"/>
  <c r="BQ133" i="2"/>
  <c r="CO134" i="2"/>
  <c r="BS146" i="2"/>
  <c r="CR144" i="2"/>
  <c r="CR145" i="2" s="1"/>
  <c r="CS147" i="2"/>
  <c r="CS144" i="2" s="1"/>
  <c r="CW146" i="2" s="1"/>
  <c r="CN174" i="2"/>
  <c r="CN176" i="2"/>
  <c r="CN179" i="2"/>
  <c r="BO224" i="2"/>
  <c r="BU224" i="2"/>
  <c r="AX245" i="2"/>
  <c r="AX234" i="2"/>
  <c r="AX249" i="2"/>
  <c r="BY245" i="2"/>
  <c r="BY238" i="2"/>
  <c r="BL270" i="2"/>
  <c r="BT297" i="2"/>
  <c r="AL16" i="4"/>
  <c r="ER87" i="2"/>
  <c r="CT136" i="2"/>
  <c r="CS89" i="2"/>
  <c r="BY120" i="2"/>
  <c r="BY110" i="2"/>
  <c r="CA146" i="2"/>
  <c r="BV224" i="2"/>
  <c r="EI250" i="2"/>
  <c r="AY255" i="2"/>
  <c r="AY249" i="2"/>
  <c r="AY257" i="2"/>
  <c r="AY253" i="2"/>
  <c r="BP86" i="2"/>
  <c r="EL83" i="2"/>
  <c r="EJ83" i="2"/>
  <c r="BK101" i="2"/>
  <c r="CK133" i="2"/>
  <c r="CK134" i="2"/>
  <c r="EP148" i="2"/>
  <c r="EP151" i="2" s="1"/>
  <c r="CL150" i="2"/>
  <c r="CS211" i="2"/>
  <c r="CW15" i="4"/>
  <c r="CW17" i="4" s="1"/>
  <c r="AF17" i="4"/>
  <c r="AF18" i="4"/>
  <c r="AF16" i="4"/>
  <c r="CZ15" i="4"/>
  <c r="AR17" i="4"/>
  <c r="AR18" i="4"/>
  <c r="AR16" i="4"/>
  <c r="AX16" i="4"/>
  <c r="BM133" i="2"/>
  <c r="BT133" i="2"/>
  <c r="CL133" i="2"/>
  <c r="CU141" i="2"/>
  <c r="EL144" i="2"/>
  <c r="EL147" i="2" s="1"/>
  <c r="CP175" i="2"/>
  <c r="CT212" i="2"/>
  <c r="CA297" i="2"/>
  <c r="EL301" i="2"/>
  <c r="BW120" i="2"/>
  <c r="BP138" i="2"/>
  <c r="BV138" i="2"/>
  <c r="BW137" i="2"/>
  <c r="CW141" i="2"/>
  <c r="BY145" i="2"/>
  <c r="BS150" i="2"/>
  <c r="CO149" i="2"/>
  <c r="CP172" i="2"/>
  <c r="EP178" i="2"/>
  <c r="BX226" i="2"/>
  <c r="BA257" i="2"/>
  <c r="EL304" i="2"/>
  <c r="AQ16" i="4"/>
  <c r="BX121" i="2"/>
  <c r="BX120" i="2"/>
  <c r="BQ122" i="2"/>
  <c r="CN134" i="2"/>
  <c r="CP141" i="2"/>
  <c r="BT145" i="2"/>
  <c r="CQ173" i="2"/>
  <c r="EP175" i="2"/>
  <c r="EP177" i="2"/>
  <c r="EQ178" i="2"/>
  <c r="EP179" i="2"/>
  <c r="BW225" i="2"/>
  <c r="BS225" i="2"/>
  <c r="BA249" i="2"/>
  <c r="BU298" i="2"/>
  <c r="AE17" i="4"/>
  <c r="AK17" i="4"/>
  <c r="AQ17" i="4"/>
  <c r="AW17" i="4"/>
  <c r="DB29" i="2"/>
  <c r="ES11" i="3"/>
  <c r="ES114" i="3" s="1"/>
  <c r="CZ13" i="2"/>
  <c r="CZ12" i="2"/>
  <c r="DA11" i="2"/>
  <c r="ES11" i="2" s="1"/>
  <c r="L38" i="2"/>
  <c r="L33" i="2"/>
  <c r="AJ38" i="2"/>
  <c r="AJ14" i="2"/>
  <c r="AJ33" i="2"/>
  <c r="BZ234" i="2"/>
  <c r="BZ238" i="2"/>
  <c r="BZ33" i="2"/>
  <c r="BZ38" i="2"/>
  <c r="BZ14" i="2"/>
  <c r="CL196" i="2"/>
  <c r="CL199" i="2" s="1"/>
  <c r="CL33" i="2"/>
  <c r="CL14" i="2"/>
  <c r="DX5" i="2"/>
  <c r="X33" i="2"/>
  <c r="EG5" i="2"/>
  <c r="BB14" i="2"/>
  <c r="BB33" i="2"/>
  <c r="M6" i="2"/>
  <c r="AP10" i="2"/>
  <c r="BB15" i="4"/>
  <c r="CD136" i="2"/>
  <c r="CD89" i="2"/>
  <c r="CD88" i="2"/>
  <c r="EN101" i="2"/>
  <c r="BI122" i="2"/>
  <c r="BI98" i="2"/>
  <c r="BI94" i="2"/>
  <c r="BI246" i="2"/>
  <c r="BI254" i="2" s="1"/>
  <c r="BI253" i="2" s="1"/>
  <c r="BI82" i="2"/>
  <c r="BI86" i="2"/>
  <c r="BI78" i="2"/>
  <c r="BO134" i="2"/>
  <c r="BS134" i="2"/>
  <c r="BO138" i="2"/>
  <c r="BS138" i="2"/>
  <c r="BU138" i="2"/>
  <c r="BY138" i="2"/>
  <c r="BU137" i="2"/>
  <c r="BO137" i="2"/>
  <c r="BT150" i="2"/>
  <c r="BP149" i="2"/>
  <c r="BS271" i="2"/>
  <c r="BS272" i="2"/>
  <c r="BV297" i="2"/>
  <c r="BV298" i="2"/>
  <c r="AM71" i="3"/>
  <c r="AM13" i="3"/>
  <c r="P8" i="2"/>
  <c r="AK2" i="2"/>
  <c r="EB5" i="2"/>
  <c r="EN5" i="2"/>
  <c r="E6" i="2"/>
  <c r="Q6" i="2"/>
  <c r="AC6" i="2"/>
  <c r="AO6" i="2"/>
  <c r="BA6" i="2"/>
  <c r="BM6" i="2"/>
  <c r="BY6" i="2"/>
  <c r="CK6" i="2"/>
  <c r="CW6" i="2"/>
  <c r="Q7" i="2"/>
  <c r="AC7" i="2"/>
  <c r="AO7" i="2"/>
  <c r="BA7" i="2"/>
  <c r="BY7" i="2"/>
  <c r="CK7" i="2"/>
  <c r="CW7" i="2"/>
  <c r="EL11" i="2"/>
  <c r="C12" i="2"/>
  <c r="BW12" i="2"/>
  <c r="AN13" i="2"/>
  <c r="CP13" i="2"/>
  <c r="BM14" i="2"/>
  <c r="CW14" i="2"/>
  <c r="B21" i="2"/>
  <c r="H21" i="2"/>
  <c r="N21" i="2"/>
  <c r="Z21" i="2"/>
  <c r="AF21" i="2"/>
  <c r="AR21" i="2"/>
  <c r="G31" i="2"/>
  <c r="G32" i="2"/>
  <c r="K32" i="2"/>
  <c r="G33" i="2"/>
  <c r="DU30" i="2"/>
  <c r="M31" i="2"/>
  <c r="M32" i="2"/>
  <c r="M33" i="2"/>
  <c r="Q32" i="2"/>
  <c r="S31" i="2"/>
  <c r="S32" i="2"/>
  <c r="W32" i="2"/>
  <c r="S33" i="2"/>
  <c r="AE31" i="2"/>
  <c r="AE32" i="2"/>
  <c r="EA30" i="2"/>
  <c r="AE33" i="2"/>
  <c r="AI32" i="2"/>
  <c r="AK31" i="2"/>
  <c r="AO32" i="2"/>
  <c r="AK32" i="2"/>
  <c r="AK33" i="2"/>
  <c r="AQ31" i="2"/>
  <c r="AQ32" i="2"/>
  <c r="AU32" i="2"/>
  <c r="AQ33" i="2"/>
  <c r="AW31" i="2"/>
  <c r="AW32" i="2"/>
  <c r="BC31" i="2"/>
  <c r="BC32" i="2"/>
  <c r="BG32" i="2"/>
  <c r="BC33" i="2"/>
  <c r="BI31" i="2"/>
  <c r="BS32" i="2"/>
  <c r="BO32" i="2"/>
  <c r="BO33" i="2"/>
  <c r="BU31" i="2"/>
  <c r="BU32" i="2"/>
  <c r="BU33" i="2"/>
  <c r="BY32" i="2"/>
  <c r="CA31" i="2"/>
  <c r="CA32" i="2"/>
  <c r="CE32" i="2"/>
  <c r="CA33" i="2"/>
  <c r="CG31" i="2"/>
  <c r="CG33" i="2"/>
  <c r="CK32" i="2"/>
  <c r="CM31" i="2"/>
  <c r="CQ32" i="2"/>
  <c r="CM32" i="2"/>
  <c r="CM33" i="2"/>
  <c r="CS31" i="2"/>
  <c r="CS32" i="2"/>
  <c r="CW32" i="2"/>
  <c r="CS33" i="2"/>
  <c r="EK30" i="2"/>
  <c r="H31" i="2"/>
  <c r="AR31" i="2"/>
  <c r="CB31" i="2"/>
  <c r="CT31" i="2"/>
  <c r="J33" i="2"/>
  <c r="AB33" i="2"/>
  <c r="AT33" i="2"/>
  <c r="CD33" i="2"/>
  <c r="CV33" i="2"/>
  <c r="DV35" i="2"/>
  <c r="EB35" i="2"/>
  <c r="CM38" i="2"/>
  <c r="ER17" i="3"/>
  <c r="H36" i="2"/>
  <c r="Z36" i="2"/>
  <c r="J38" i="2"/>
  <c r="AB38" i="2"/>
  <c r="BL38" i="2"/>
  <c r="D53" i="2"/>
  <c r="BP15" i="4"/>
  <c r="CR136" i="2"/>
  <c r="CR88" i="2"/>
  <c r="BV15" i="4"/>
  <c r="CX89" i="2"/>
  <c r="CX136" i="2"/>
  <c r="CX88" i="2"/>
  <c r="EO101" i="2"/>
  <c r="EL109" i="2"/>
  <c r="CR119" i="2"/>
  <c r="BO133" i="2"/>
  <c r="BV135" i="2"/>
  <c r="BU132" i="2"/>
  <c r="BP137" i="2"/>
  <c r="BG271" i="2"/>
  <c r="BG272" i="2"/>
  <c r="BG270" i="2"/>
  <c r="BK271" i="2"/>
  <c r="BM271" i="2"/>
  <c r="BM272" i="2"/>
  <c r="BM270" i="2"/>
  <c r="BQ271" i="2"/>
  <c r="BX297" i="2"/>
  <c r="BW297" i="2"/>
  <c r="BW298" i="2"/>
  <c r="DX71" i="3"/>
  <c r="DX13" i="3"/>
  <c r="CI8" i="2"/>
  <c r="CJ9" i="2" s="1"/>
  <c r="CW34" i="3"/>
  <c r="AH125" i="3"/>
  <c r="B15" i="2"/>
  <c r="AH2" i="2"/>
  <c r="AR15" i="2"/>
  <c r="BD15" i="2"/>
  <c r="BV15" i="2"/>
  <c r="CH15" i="2"/>
  <c r="EO5" i="2"/>
  <c r="F6" i="2"/>
  <c r="R6" i="2"/>
  <c r="AD6" i="2"/>
  <c r="AP6" i="2"/>
  <c r="BB6" i="2"/>
  <c r="BN6" i="2"/>
  <c r="BZ6" i="2"/>
  <c r="CL6" i="2"/>
  <c r="CX6" i="2"/>
  <c r="F7" i="2"/>
  <c r="R7" i="2"/>
  <c r="AD7" i="2"/>
  <c r="AP7" i="2"/>
  <c r="BB7" i="2"/>
  <c r="BN7" i="2"/>
  <c r="BZ7" i="2"/>
  <c r="CL7" i="2"/>
  <c r="CH9" i="2"/>
  <c r="F13" i="2"/>
  <c r="CB13" i="2"/>
  <c r="CB14" i="2"/>
  <c r="CH13" i="2"/>
  <c r="CH12" i="2"/>
  <c r="CH14" i="2"/>
  <c r="EO11" i="2"/>
  <c r="CN13" i="2"/>
  <c r="CN12" i="2"/>
  <c r="CN14" i="2"/>
  <c r="CT13" i="2"/>
  <c r="CT12" i="2"/>
  <c r="CT14" i="2"/>
  <c r="D12" i="2"/>
  <c r="BL12" i="2"/>
  <c r="BX12" i="2"/>
  <c r="CJ12" i="2"/>
  <c r="CV12" i="2"/>
  <c r="BF13" i="2"/>
  <c r="BR13" i="2"/>
  <c r="CD13" i="2"/>
  <c r="AH14" i="2"/>
  <c r="BR14" i="2"/>
  <c r="CJ14" i="2"/>
  <c r="H32" i="2"/>
  <c r="H33" i="2"/>
  <c r="N32" i="2"/>
  <c r="N33" i="2"/>
  <c r="DW30" i="2"/>
  <c r="T32" i="2"/>
  <c r="T33" i="2"/>
  <c r="Z32" i="2"/>
  <c r="Z33" i="2"/>
  <c r="AF32" i="2"/>
  <c r="AF33" i="2"/>
  <c r="AL32" i="2"/>
  <c r="EC30" i="2"/>
  <c r="AL33" i="2"/>
  <c r="AR32" i="2"/>
  <c r="AR33" i="2"/>
  <c r="BD32" i="2"/>
  <c r="BD33" i="2"/>
  <c r="BP33" i="2"/>
  <c r="BV32" i="2"/>
  <c r="BV33" i="2"/>
  <c r="CB32" i="2"/>
  <c r="CB33" i="2"/>
  <c r="CH32" i="2"/>
  <c r="CH33" i="2"/>
  <c r="EO30" i="2"/>
  <c r="CN32" i="2"/>
  <c r="CN33" i="2"/>
  <c r="CT32" i="2"/>
  <c r="CT33" i="2"/>
  <c r="DT30" i="2"/>
  <c r="EL30" i="2"/>
  <c r="I31" i="2"/>
  <c r="AA31" i="2"/>
  <c r="AS31" i="2"/>
  <c r="CU31" i="2"/>
  <c r="K33" i="2"/>
  <c r="AU33" i="2"/>
  <c r="CE33" i="2"/>
  <c r="CW33" i="2"/>
  <c r="BI36" i="2"/>
  <c r="CB37" i="2"/>
  <c r="CB38" i="2"/>
  <c r="CH38" i="2"/>
  <c r="CN38" i="2"/>
  <c r="CZ35" i="2"/>
  <c r="DT35" i="2"/>
  <c r="AA36" i="2"/>
  <c r="K38" i="2"/>
  <c r="AC38" i="2"/>
  <c r="CE38" i="2"/>
  <c r="CW38" i="2"/>
  <c r="BJ15" i="4"/>
  <c r="CL136" i="2"/>
  <c r="CM137" i="2" s="1"/>
  <c r="CL119" i="2"/>
  <c r="CP89" i="2"/>
  <c r="CD119" i="2"/>
  <c r="EK279" i="2"/>
  <c r="EK276" i="2"/>
  <c r="EK277" i="2" s="1"/>
  <c r="EK93" i="2"/>
  <c r="BB122" i="2"/>
  <c r="BP133" i="2"/>
  <c r="EL136" i="2"/>
  <c r="BZ138" i="2"/>
  <c r="BZ137" i="2"/>
  <c r="CR148" i="2"/>
  <c r="CS151" i="2"/>
  <c r="CR176" i="2"/>
  <c r="CR175" i="2"/>
  <c r="CR178" i="2"/>
  <c r="CR172" i="2"/>
  <c r="CR173" i="2"/>
  <c r="CR177" i="2"/>
  <c r="CR179" i="2"/>
  <c r="ER177" i="2"/>
  <c r="ER178" i="2"/>
  <c r="ER172" i="2"/>
  <c r="ER179" i="2"/>
  <c r="ER173" i="2"/>
  <c r="CR174" i="2"/>
  <c r="BR269" i="2"/>
  <c r="BR268" i="2"/>
  <c r="BR266" i="2"/>
  <c r="BV267" i="2"/>
  <c r="BR267" i="2"/>
  <c r="BX269" i="2"/>
  <c r="BX268" i="2"/>
  <c r="BX267" i="2"/>
  <c r="BX266" i="2"/>
  <c r="EK289" i="2"/>
  <c r="BU71" i="3"/>
  <c r="CB22" i="3"/>
  <c r="DP71" i="3"/>
  <c r="DP13" i="3"/>
  <c r="DR15" i="3" s="1"/>
  <c r="CC8" i="2"/>
  <c r="DR28" i="3"/>
  <c r="DV26" i="3"/>
  <c r="EG28" i="3"/>
  <c r="EK26" i="3"/>
  <c r="BN34" i="3"/>
  <c r="CN42" i="3"/>
  <c r="CR41" i="3"/>
  <c r="CU42" i="3"/>
  <c r="C15" i="2"/>
  <c r="AS15" i="2"/>
  <c r="ED5" i="2"/>
  <c r="EP5" i="2"/>
  <c r="BC6" i="2"/>
  <c r="CA6" i="2"/>
  <c r="CM6" i="2"/>
  <c r="H13" i="2"/>
  <c r="H14" i="2"/>
  <c r="N13" i="2"/>
  <c r="N14" i="2"/>
  <c r="BD14" i="2"/>
  <c r="BJ13" i="2"/>
  <c r="BJ12" i="2"/>
  <c r="BJ14" i="2"/>
  <c r="EI11" i="2"/>
  <c r="BP13" i="2"/>
  <c r="BP12" i="2"/>
  <c r="BP14" i="2"/>
  <c r="BV13" i="2"/>
  <c r="BV12" i="2"/>
  <c r="BV14" i="2"/>
  <c r="CC14" i="2"/>
  <c r="CG13" i="2"/>
  <c r="CI14" i="2"/>
  <c r="CM13" i="2"/>
  <c r="CO14" i="2"/>
  <c r="CS13" i="2"/>
  <c r="E12" i="2"/>
  <c r="BM12" i="2"/>
  <c r="BY12" i="2"/>
  <c r="CK12" i="2"/>
  <c r="CW12" i="2"/>
  <c r="AT13" i="2"/>
  <c r="CU13" i="2"/>
  <c r="AI14" i="2"/>
  <c r="BS14" i="2"/>
  <c r="CK14" i="2"/>
  <c r="BU21" i="2"/>
  <c r="EQ30" i="2"/>
  <c r="N31" i="2"/>
  <c r="AF31" i="2"/>
  <c r="BP31" i="2"/>
  <c r="CH31" i="2"/>
  <c r="P33" i="2"/>
  <c r="AH33" i="2"/>
  <c r="AZ33" i="2"/>
  <c r="BR33" i="2"/>
  <c r="CJ33" i="2"/>
  <c r="F37" i="2"/>
  <c r="L37" i="2"/>
  <c r="DX35" i="2"/>
  <c r="X37" i="2"/>
  <c r="AD37" i="2"/>
  <c r="AJ37" i="2"/>
  <c r="BC38" i="2"/>
  <c r="N36" i="2"/>
  <c r="AF36" i="2"/>
  <c r="F69" i="2"/>
  <c r="F68" i="2"/>
  <c r="L69" i="2"/>
  <c r="L68" i="2"/>
  <c r="R69" i="2"/>
  <c r="R68" i="2"/>
  <c r="X69" i="2"/>
  <c r="X68" i="2"/>
  <c r="AD69" i="2"/>
  <c r="AD68" i="2"/>
  <c r="AJ69" i="2"/>
  <c r="AJ68" i="2"/>
  <c r="AP69" i="2"/>
  <c r="AP68" i="2"/>
  <c r="AV69" i="2"/>
  <c r="AV68" i="2"/>
  <c r="BB69" i="2"/>
  <c r="BB68" i="2"/>
  <c r="BH69" i="2"/>
  <c r="BH68" i="2"/>
  <c r="BN69" i="2"/>
  <c r="BN68" i="2"/>
  <c r="BT69" i="2"/>
  <c r="BT68" i="2"/>
  <c r="BZ69" i="2"/>
  <c r="BZ68" i="2"/>
  <c r="EG81" i="2"/>
  <c r="EM81" i="2"/>
  <c r="EH83" i="2"/>
  <c r="EP85" i="2"/>
  <c r="CE92" i="2"/>
  <c r="CF91" i="2"/>
  <c r="CE93" i="2"/>
  <c r="CE87" i="2"/>
  <c r="EL276" i="2"/>
  <c r="CD111" i="2"/>
  <c r="CC112" i="2"/>
  <c r="CC103" i="2"/>
  <c r="DP111" i="2"/>
  <c r="DO112" i="2"/>
  <c r="CR132" i="2"/>
  <c r="CS135" i="2"/>
  <c r="CT146" i="2"/>
  <c r="ER144" i="2"/>
  <c r="CD178" i="2"/>
  <c r="CD177" i="2"/>
  <c r="CD179" i="2"/>
  <c r="CD175" i="2"/>
  <c r="CD173" i="2"/>
  <c r="CD176" i="2"/>
  <c r="CD174" i="2"/>
  <c r="BB251" i="2"/>
  <c r="EG250" i="2"/>
  <c r="BB252" i="2"/>
  <c r="BH251" i="2"/>
  <c r="BH252" i="2"/>
  <c r="BN251" i="2"/>
  <c r="BN252" i="2"/>
  <c r="EJ250" i="2"/>
  <c r="BC251" i="2"/>
  <c r="K13" i="3"/>
  <c r="G22" i="3"/>
  <c r="G14" i="3"/>
  <c r="G15" i="3"/>
  <c r="DU5" i="2"/>
  <c r="F38" i="2"/>
  <c r="F33" i="2"/>
  <c r="F14" i="2"/>
  <c r="EA5" i="2"/>
  <c r="AG2" i="2"/>
  <c r="AD14" i="2"/>
  <c r="AD38" i="2"/>
  <c r="AD33" i="2"/>
  <c r="AV33" i="2"/>
  <c r="AV38" i="2"/>
  <c r="BT14" i="2"/>
  <c r="BT33" i="2"/>
  <c r="CR38" i="2"/>
  <c r="CR33" i="2"/>
  <c r="CR14" i="2"/>
  <c r="AW6" i="2"/>
  <c r="Z14" i="2"/>
  <c r="AM14" i="2"/>
  <c r="ER11" i="3"/>
  <c r="CY13" i="2"/>
  <c r="CY12" i="2"/>
  <c r="AM13" i="2"/>
  <c r="AT14" i="2"/>
  <c r="AK24" i="2"/>
  <c r="ES29" i="2"/>
  <c r="AE2" i="2"/>
  <c r="J7" i="2"/>
  <c r="P7" i="2"/>
  <c r="P6" i="2"/>
  <c r="V7" i="2"/>
  <c r="V6" i="2"/>
  <c r="DY5" i="2"/>
  <c r="AB7" i="2"/>
  <c r="AB6" i="2"/>
  <c r="AH7" i="2"/>
  <c r="AH6" i="2"/>
  <c r="AN7" i="2"/>
  <c r="AN6" i="2"/>
  <c r="AT7" i="2"/>
  <c r="AT6" i="2"/>
  <c r="EE5" i="2"/>
  <c r="AZ7" i="2"/>
  <c r="AZ6" i="2"/>
  <c r="BL7" i="2"/>
  <c r="BL6" i="2"/>
  <c r="DV66" i="2"/>
  <c r="DX66" i="2" s="1"/>
  <c r="BR7" i="2"/>
  <c r="BR6" i="2"/>
  <c r="EK5" i="2"/>
  <c r="BX258" i="2"/>
  <c r="BX7" i="2"/>
  <c r="BX6" i="2"/>
  <c r="CD238" i="2"/>
  <c r="CD234" i="2"/>
  <c r="CD7" i="2"/>
  <c r="CD6" i="2"/>
  <c r="CJ7" i="2"/>
  <c r="CJ6" i="2"/>
  <c r="CP7" i="2"/>
  <c r="CP6" i="2"/>
  <c r="EQ5" i="2"/>
  <c r="CV7" i="2"/>
  <c r="CV6" i="2"/>
  <c r="DV5" i="2"/>
  <c r="K6" i="2"/>
  <c r="W6" i="2"/>
  <c r="AI6" i="2"/>
  <c r="AU6" i="2"/>
  <c r="BS6" i="2"/>
  <c r="CE6" i="2"/>
  <c r="CQ6" i="2"/>
  <c r="AI7" i="2"/>
  <c r="BG7" i="2"/>
  <c r="BS7" i="2"/>
  <c r="AR13" i="2"/>
  <c r="AR14" i="2"/>
  <c r="AX13" i="2"/>
  <c r="AX12" i="2"/>
  <c r="AX14" i="2"/>
  <c r="BE14" i="2"/>
  <c r="BI13" i="2"/>
  <c r="BK14" i="2"/>
  <c r="BO13" i="2"/>
  <c r="BQ14" i="2"/>
  <c r="BU13" i="2"/>
  <c r="DT11" i="2"/>
  <c r="ER11" i="2"/>
  <c r="I12" i="2"/>
  <c r="BE12" i="2"/>
  <c r="BQ12" i="2"/>
  <c r="I13" i="2"/>
  <c r="BK13" i="2"/>
  <c r="BW13" i="2"/>
  <c r="AN14" i="2"/>
  <c r="BX14" i="2"/>
  <c r="CP14" i="2"/>
  <c r="AH15" i="2"/>
  <c r="Q33" i="2"/>
  <c r="AI33" i="2"/>
  <c r="BA33" i="2"/>
  <c r="BS33" i="2"/>
  <c r="CK33" i="2"/>
  <c r="G36" i="2"/>
  <c r="K37" i="2"/>
  <c r="DU35" i="2"/>
  <c r="G37" i="2"/>
  <c r="G38" i="2"/>
  <c r="M36" i="2"/>
  <c r="M37" i="2"/>
  <c r="M38" i="2"/>
  <c r="Q37" i="2"/>
  <c r="S36" i="2"/>
  <c r="S37" i="2"/>
  <c r="W37" i="2"/>
  <c r="S38" i="2"/>
  <c r="Y36" i="2"/>
  <c r="Y37" i="2"/>
  <c r="Y38" i="2"/>
  <c r="AC37" i="2"/>
  <c r="AE36" i="2"/>
  <c r="AI37" i="2"/>
  <c r="AE37" i="2"/>
  <c r="AE38" i="2"/>
  <c r="EA35" i="2"/>
  <c r="AK36" i="2"/>
  <c r="AK37" i="2"/>
  <c r="AO37" i="2"/>
  <c r="AK38" i="2"/>
  <c r="AQ36" i="2"/>
  <c r="AQ38" i="2"/>
  <c r="BD65" i="2"/>
  <c r="BJ65" i="2"/>
  <c r="BP65" i="2"/>
  <c r="BV65" i="2"/>
  <c r="CB65" i="2"/>
  <c r="G68" i="2"/>
  <c r="K69" i="2"/>
  <c r="M68" i="2"/>
  <c r="Q69" i="2"/>
  <c r="S68" i="2"/>
  <c r="W69" i="2"/>
  <c r="Y68" i="2"/>
  <c r="AC69" i="2"/>
  <c r="AE68" i="2"/>
  <c r="AI69" i="2"/>
  <c r="AK68" i="2"/>
  <c r="AO69" i="2"/>
  <c r="AQ68" i="2"/>
  <c r="AU69" i="2"/>
  <c r="AW68" i="2"/>
  <c r="BA69" i="2"/>
  <c r="BC68" i="2"/>
  <c r="BG69" i="2"/>
  <c r="BI68" i="2"/>
  <c r="BM69" i="2"/>
  <c r="BO68" i="2"/>
  <c r="BS69" i="2"/>
  <c r="BU68" i="2"/>
  <c r="BY69" i="2"/>
  <c r="CA68" i="2"/>
  <c r="H68" i="2"/>
  <c r="T68" i="2"/>
  <c r="AF68" i="2"/>
  <c r="AR68" i="2"/>
  <c r="BD68" i="2"/>
  <c r="BP68" i="2"/>
  <c r="CB68" i="2"/>
  <c r="EJ77" i="2"/>
  <c r="EP77" i="2"/>
  <c r="CX132" i="2"/>
  <c r="CY79" i="2"/>
  <c r="CX81" i="2"/>
  <c r="EN81" i="2"/>
  <c r="ER85" i="2"/>
  <c r="EQ85" i="2"/>
  <c r="CN87" i="2"/>
  <c r="CR89" i="2" s="1"/>
  <c r="CN140" i="2"/>
  <c r="EP140" i="2" s="1"/>
  <c r="EP91" i="2"/>
  <c r="EQ93" i="2" s="1"/>
  <c r="CO92" i="2"/>
  <c r="EG97" i="2"/>
  <c r="DD112" i="2"/>
  <c r="CA138" i="2"/>
  <c r="EK144" i="2"/>
  <c r="BR146" i="2"/>
  <c r="BR145" i="2"/>
  <c r="CM146" i="2"/>
  <c r="CM145" i="2"/>
  <c r="CQ146" i="2"/>
  <c r="CU146" i="2"/>
  <c r="CU145" i="2"/>
  <c r="BL145" i="2"/>
  <c r="CS168" i="2"/>
  <c r="CS173" i="2" s="1"/>
  <c r="AZ10" i="3"/>
  <c r="DN10" i="3"/>
  <c r="DQ11" i="3"/>
  <c r="CA11" i="2"/>
  <c r="CB12" i="2" s="1"/>
  <c r="BU18" i="3"/>
  <c r="BX17" i="3"/>
  <c r="BX18" i="3" s="1"/>
  <c r="CO18" i="3"/>
  <c r="BG35" i="2"/>
  <c r="CV18" i="3"/>
  <c r="BM35" i="2"/>
  <c r="R14" i="2"/>
  <c r="R38" i="2"/>
  <c r="R33" i="2"/>
  <c r="AP15" i="2"/>
  <c r="AP38" i="2"/>
  <c r="AP33" i="2"/>
  <c r="AP14" i="2"/>
  <c r="BN33" i="2"/>
  <c r="BN14" i="2"/>
  <c r="BN15" i="2"/>
  <c r="CF234" i="2"/>
  <c r="CF238" i="2"/>
  <c r="CF38" i="2"/>
  <c r="CF15" i="2"/>
  <c r="CF14" i="2"/>
  <c r="CF33" i="2"/>
  <c r="CX38" i="2"/>
  <c r="CX14" i="2"/>
  <c r="CX99" i="2"/>
  <c r="CX119" i="2" s="1"/>
  <c r="CX33" i="2"/>
  <c r="EJ5" i="2"/>
  <c r="AK6" i="2"/>
  <c r="BU6" i="2"/>
  <c r="AI2" i="2"/>
  <c r="I7" i="2"/>
  <c r="O7" i="2"/>
  <c r="U7" i="2"/>
  <c r="AA7" i="2"/>
  <c r="AG7" i="2"/>
  <c r="AF2" i="2"/>
  <c r="AM7" i="2"/>
  <c r="AL2" i="2"/>
  <c r="AS7" i="2"/>
  <c r="AY7" i="2"/>
  <c r="BE7" i="2"/>
  <c r="BW7" i="2"/>
  <c r="CC7" i="2"/>
  <c r="CE238" i="2"/>
  <c r="CE234" i="2"/>
  <c r="CI7" i="2"/>
  <c r="CO7" i="2"/>
  <c r="CU7" i="2"/>
  <c r="CQ24" i="2"/>
  <c r="DW5" i="2"/>
  <c r="EI5" i="2"/>
  <c r="L6" i="2"/>
  <c r="X6" i="2"/>
  <c r="AJ6" i="2"/>
  <c r="AV6" i="2"/>
  <c r="BH6" i="2"/>
  <c r="BT6" i="2"/>
  <c r="CF6" i="2"/>
  <c r="CR6" i="2"/>
  <c r="L7" i="2"/>
  <c r="X7" i="2"/>
  <c r="AJ7" i="2"/>
  <c r="AV7" i="2"/>
  <c r="BT7" i="2"/>
  <c r="CF7" i="2"/>
  <c r="CR7" i="2"/>
  <c r="AF9" i="2"/>
  <c r="BD9" i="2"/>
  <c r="P11" i="2"/>
  <c r="AF12" i="2"/>
  <c r="AF14" i="2"/>
  <c r="AL13" i="2"/>
  <c r="AL12" i="2"/>
  <c r="AL14" i="2"/>
  <c r="AS14" i="2"/>
  <c r="AW13" i="2"/>
  <c r="J12" i="2"/>
  <c r="AT12" i="2"/>
  <c r="BR12" i="2"/>
  <c r="E14" i="2"/>
  <c r="BG14" i="2"/>
  <c r="BY14" i="2"/>
  <c r="CQ14" i="2"/>
  <c r="BS15" i="2"/>
  <c r="D33" i="2"/>
  <c r="V33" i="2"/>
  <c r="AN33" i="2"/>
  <c r="BX33" i="2"/>
  <c r="CP33" i="2"/>
  <c r="H37" i="2"/>
  <c r="H38" i="2"/>
  <c r="N37" i="2"/>
  <c r="N38" i="2"/>
  <c r="DW35" i="2"/>
  <c r="T37" i="2"/>
  <c r="T38" i="2"/>
  <c r="Z37" i="2"/>
  <c r="Z38" i="2"/>
  <c r="AF37" i="2"/>
  <c r="AF38" i="2"/>
  <c r="AL37" i="2"/>
  <c r="AL38" i="2"/>
  <c r="EC35" i="2"/>
  <c r="T36" i="2"/>
  <c r="AL36" i="2"/>
  <c r="D38" i="2"/>
  <c r="V38" i="2"/>
  <c r="AN38" i="2"/>
  <c r="BX38" i="2"/>
  <c r="CP38" i="2"/>
  <c r="G54" i="2"/>
  <c r="BE65" i="2"/>
  <c r="BI65" i="2"/>
  <c r="BK65" i="2"/>
  <c r="BO65" i="2"/>
  <c r="BQ65" i="2"/>
  <c r="BU65" i="2"/>
  <c r="CA65" i="2"/>
  <c r="BW65" i="2"/>
  <c r="M69" i="2"/>
  <c r="Y69" i="2"/>
  <c r="AK69" i="2"/>
  <c r="AW69" i="2"/>
  <c r="BI69" i="2"/>
  <c r="BU69" i="2"/>
  <c r="EK77" i="2"/>
  <c r="EQ77" i="2"/>
  <c r="EL77" i="2"/>
  <c r="EG83" i="2"/>
  <c r="BH85" i="2"/>
  <c r="BN84" i="2"/>
  <c r="BN85" i="2"/>
  <c r="BR85" i="2"/>
  <c r="BT84" i="2"/>
  <c r="EK83" i="2"/>
  <c r="BT85" i="2"/>
  <c r="CA84" i="2"/>
  <c r="BZ84" i="2"/>
  <c r="EM83" i="2"/>
  <c r="BZ85" i="2"/>
  <c r="BX85" i="2"/>
  <c r="BA15" i="4"/>
  <c r="CC136" i="2"/>
  <c r="CC89" i="2"/>
  <c r="CC88" i="2"/>
  <c r="CY140" i="2"/>
  <c r="CZ91" i="2"/>
  <c r="CM103" i="2"/>
  <c r="CL104" i="2"/>
  <c r="DE111" i="2"/>
  <c r="EV111" i="2" s="1"/>
  <c r="EJ136" i="2"/>
  <c r="BN137" i="2"/>
  <c r="BR138" i="2"/>
  <c r="BT138" i="2"/>
  <c r="EK136" i="2"/>
  <c r="BT137" i="2"/>
  <c r="CM141" i="2"/>
  <c r="BM145" i="2"/>
  <c r="BS145" i="2"/>
  <c r="CN146" i="2"/>
  <c r="CO145" i="2"/>
  <c r="CN145" i="2"/>
  <c r="BV150" i="2"/>
  <c r="BV149" i="2"/>
  <c r="CC17" i="3"/>
  <c r="CC18" i="3" s="1"/>
  <c r="CI18" i="3"/>
  <c r="CM17" i="3"/>
  <c r="CM18" i="3" s="1"/>
  <c r="BB35" i="2"/>
  <c r="AY63" i="3"/>
  <c r="AX74" i="3"/>
  <c r="AY74" i="3" s="1"/>
  <c r="AZ63" i="3"/>
  <c r="P31" i="2"/>
  <c r="AH31" i="2"/>
  <c r="AZ31" i="2"/>
  <c r="BX31" i="2"/>
  <c r="CJ31" i="2"/>
  <c r="CV31" i="2"/>
  <c r="J36" i="2"/>
  <c r="AB36" i="2"/>
  <c r="BX36" i="2"/>
  <c r="EI81" i="2"/>
  <c r="EH89" i="2"/>
  <c r="EN97" i="2"/>
  <c r="BH101" i="2"/>
  <c r="DG113" i="2"/>
  <c r="DH111" i="2"/>
  <c r="BS102" i="2"/>
  <c r="BS78" i="2"/>
  <c r="BS121" i="2"/>
  <c r="BQ149" i="2"/>
  <c r="CE179" i="2"/>
  <c r="CE176" i="2"/>
  <c r="CE175" i="2"/>
  <c r="CE177" i="2"/>
  <c r="CE174" i="2"/>
  <c r="CE173" i="2"/>
  <c r="CE178" i="2"/>
  <c r="CU178" i="2"/>
  <c r="CU177" i="2"/>
  <c r="CU179" i="2"/>
  <c r="CU175" i="2"/>
  <c r="CU173" i="2"/>
  <c r="CU176" i="2"/>
  <c r="CQ211" i="2"/>
  <c r="CQ212" i="2"/>
  <c r="CR211" i="2"/>
  <c r="BR224" i="2"/>
  <c r="BS224" i="2"/>
  <c r="EK223" i="2"/>
  <c r="EL289" i="2"/>
  <c r="DI13" i="3"/>
  <c r="DL10" i="3"/>
  <c r="DI71" i="3"/>
  <c r="AP23" i="3"/>
  <c r="AP56" i="3"/>
  <c r="AP32" i="3"/>
  <c r="CO42" i="3"/>
  <c r="CV42" i="3"/>
  <c r="AJ42" i="3"/>
  <c r="ET57" i="3"/>
  <c r="EU57" i="3" s="1"/>
  <c r="BJ63" i="3"/>
  <c r="BI63" i="3"/>
  <c r="BH74" i="3"/>
  <c r="BI74" i="3" s="1"/>
  <c r="CG74" i="3"/>
  <c r="CH74" i="3" s="1"/>
  <c r="CI63" i="3"/>
  <c r="CH63" i="3"/>
  <c r="AB77" i="3"/>
  <c r="AS100" i="3"/>
  <c r="AT93" i="3"/>
  <c r="AV100" i="3"/>
  <c r="AV104" i="3" s="1"/>
  <c r="AW96" i="3"/>
  <c r="CA234" i="2"/>
  <c r="CA94" i="2"/>
  <c r="CA238" i="2"/>
  <c r="H6" i="2"/>
  <c r="N6" i="2"/>
  <c r="T6" i="2"/>
  <c r="Z6" i="2"/>
  <c r="AF6" i="2"/>
  <c r="AL6" i="2"/>
  <c r="AR6" i="2"/>
  <c r="AX6" i="2"/>
  <c r="BD6" i="2"/>
  <c r="BP6" i="2"/>
  <c r="BV6" i="2"/>
  <c r="CB6" i="2"/>
  <c r="CH6" i="2"/>
  <c r="CN6" i="2"/>
  <c r="CT6" i="2"/>
  <c r="H7" i="2"/>
  <c r="N7" i="2"/>
  <c r="T7" i="2"/>
  <c r="Z7" i="2"/>
  <c r="AF7" i="2"/>
  <c r="AL7" i="2"/>
  <c r="AR7" i="2"/>
  <c r="AX7" i="2"/>
  <c r="BD7" i="2"/>
  <c r="BP7" i="2"/>
  <c r="BV7" i="2"/>
  <c r="CB7" i="2"/>
  <c r="CH7" i="2"/>
  <c r="CN7" i="2"/>
  <c r="CT7" i="2"/>
  <c r="BW8" i="2"/>
  <c r="CP9" i="2"/>
  <c r="F12" i="2"/>
  <c r="AJ12" i="2"/>
  <c r="BH12" i="2"/>
  <c r="BN12" i="2"/>
  <c r="BT12" i="2"/>
  <c r="BZ12" i="2"/>
  <c r="CL12" i="2"/>
  <c r="CR12" i="2"/>
  <c r="CX12" i="2"/>
  <c r="R13" i="2"/>
  <c r="AD13" i="2"/>
  <c r="AJ13" i="2"/>
  <c r="AP13" i="2"/>
  <c r="BB13" i="2"/>
  <c r="BH13" i="2"/>
  <c r="BN13" i="2"/>
  <c r="BT13" i="2"/>
  <c r="CF13" i="2"/>
  <c r="CL13" i="2"/>
  <c r="CR13" i="2"/>
  <c r="CX13" i="2"/>
  <c r="CG15" i="2"/>
  <c r="E31" i="2"/>
  <c r="K31" i="2"/>
  <c r="Q31" i="2"/>
  <c r="W31" i="2"/>
  <c r="AI31" i="2"/>
  <c r="AO31" i="2"/>
  <c r="AU31" i="2"/>
  <c r="BA31" i="2"/>
  <c r="BG31" i="2"/>
  <c r="BS31" i="2"/>
  <c r="BY31" i="2"/>
  <c r="CE31" i="2"/>
  <c r="CK31" i="2"/>
  <c r="CQ31" i="2"/>
  <c r="CW31" i="2"/>
  <c r="R32" i="2"/>
  <c r="AP32" i="2"/>
  <c r="CL32" i="2"/>
  <c r="E36" i="2"/>
  <c r="K36" i="2"/>
  <c r="Q36" i="2"/>
  <c r="W36" i="2"/>
  <c r="AC36" i="2"/>
  <c r="AI36" i="2"/>
  <c r="AO36" i="2"/>
  <c r="R37" i="2"/>
  <c r="AP37" i="2"/>
  <c r="CL37" i="2"/>
  <c r="G53" i="2"/>
  <c r="E68" i="2"/>
  <c r="K68" i="2"/>
  <c r="Q68" i="2"/>
  <c r="W68" i="2"/>
  <c r="J69" i="2"/>
  <c r="P69" i="2"/>
  <c r="V69" i="2"/>
  <c r="AB69" i="2"/>
  <c r="AH69" i="2"/>
  <c r="AN69" i="2"/>
  <c r="AT69" i="2"/>
  <c r="AZ69" i="2"/>
  <c r="BF69" i="2"/>
  <c r="BL69" i="2"/>
  <c r="BR69" i="2"/>
  <c r="BX69" i="2"/>
  <c r="CX77" i="2"/>
  <c r="EO77" i="2"/>
  <c r="BE84" i="2"/>
  <c r="BL84" i="2"/>
  <c r="BS84" i="2"/>
  <c r="BL85" i="2"/>
  <c r="CA85" i="2"/>
  <c r="BV86" i="2"/>
  <c r="BM15" i="4"/>
  <c r="CO119" i="2"/>
  <c r="CO136" i="2"/>
  <c r="BS15" i="4"/>
  <c r="CU119" i="2"/>
  <c r="CU136" i="2"/>
  <c r="EI89" i="2"/>
  <c r="CU88" i="2"/>
  <c r="CU89" i="2"/>
  <c r="BS90" i="2"/>
  <c r="BY90" i="2"/>
  <c r="BC100" i="2"/>
  <c r="BI101" i="2"/>
  <c r="BI100" i="2"/>
  <c r="EK119" i="2"/>
  <c r="EK94" i="2" s="1"/>
  <c r="EQ101" i="2"/>
  <c r="BI102" i="2"/>
  <c r="BS110" i="2"/>
  <c r="DG112" i="2"/>
  <c r="BT122" i="2"/>
  <c r="BT120" i="2"/>
  <c r="BT110" i="2"/>
  <c r="BZ122" i="2"/>
  <c r="BZ120" i="2"/>
  <c r="BZ110" i="2"/>
  <c r="BT121" i="2"/>
  <c r="CM134" i="2"/>
  <c r="BQ137" i="2"/>
  <c r="BX137" i="2"/>
  <c r="BS143" i="2"/>
  <c r="BS142" i="2"/>
  <c r="BY143" i="2"/>
  <c r="BY142" i="2"/>
  <c r="CQ142" i="2"/>
  <c r="CX142" i="2"/>
  <c r="CA141" i="2"/>
  <c r="CT142" i="2"/>
  <c r="CD143" i="2"/>
  <c r="BX146" i="2"/>
  <c r="BU150" i="2"/>
  <c r="BD152" i="2"/>
  <c r="BF155" i="2"/>
  <c r="CF176" i="2"/>
  <c r="CF175" i="2"/>
  <c r="CF177" i="2"/>
  <c r="CF174" i="2"/>
  <c r="CF178" i="2"/>
  <c r="CF172" i="2"/>
  <c r="CM211" i="2"/>
  <c r="CP212" i="2"/>
  <c r="CB234" i="2"/>
  <c r="CG238" i="2"/>
  <c r="BZ257" i="2"/>
  <c r="BZ258" i="2"/>
  <c r="BS264" i="2"/>
  <c r="BS262" i="2"/>
  <c r="BW263" i="2"/>
  <c r="BY264" i="2"/>
  <c r="BY263" i="2"/>
  <c r="BS263" i="2"/>
  <c r="BQ285" i="2"/>
  <c r="BT286" i="2"/>
  <c r="BP285" i="2"/>
  <c r="BV286" i="2"/>
  <c r="EL284" i="2"/>
  <c r="EJ284" i="2"/>
  <c r="BO71" i="3"/>
  <c r="BO13" i="3"/>
  <c r="BP15" i="3" s="1"/>
  <c r="CE71" i="3"/>
  <c r="CE13" i="3"/>
  <c r="DC13" i="3"/>
  <c r="DG10" i="3"/>
  <c r="DJ71" i="3"/>
  <c r="DJ13" i="3"/>
  <c r="DR71" i="3"/>
  <c r="DV10" i="3"/>
  <c r="AE11" i="3"/>
  <c r="AS84" i="3"/>
  <c r="CL91" i="3"/>
  <c r="AR121" i="3"/>
  <c r="BV121" i="3"/>
  <c r="CN134" i="3"/>
  <c r="CO133" i="3"/>
  <c r="CP133" i="3" s="1"/>
  <c r="J31" i="2"/>
  <c r="AB31" i="2"/>
  <c r="AT31" i="2"/>
  <c r="CP31" i="2"/>
  <c r="P36" i="2"/>
  <c r="EH93" i="2"/>
  <c r="EG93" i="2"/>
  <c r="BN148" i="2"/>
  <c r="BO149" i="2" s="1"/>
  <c r="BN101" i="2"/>
  <c r="BO100" i="2"/>
  <c r="EP101" i="2"/>
  <c r="BR101" i="2"/>
  <c r="BC122" i="2"/>
  <c r="BC98" i="2"/>
  <c r="BC94" i="2"/>
  <c r="BC246" i="2"/>
  <c r="BC254" i="2" s="1"/>
  <c r="CW102" i="2"/>
  <c r="CW78" i="2"/>
  <c r="DZ5" i="2"/>
  <c r="EL5" i="2"/>
  <c r="C6" i="2"/>
  <c r="O6" i="2"/>
  <c r="AG6" i="2"/>
  <c r="AS6" i="2"/>
  <c r="BK6" i="2"/>
  <c r="BW6" i="2"/>
  <c r="CO6" i="2"/>
  <c r="EJ11" i="2"/>
  <c r="H15" i="2"/>
  <c r="AL15" i="2"/>
  <c r="BP15" i="2"/>
  <c r="CT15" i="2"/>
  <c r="H53" i="2"/>
  <c r="EI77" i="2"/>
  <c r="CW82" i="2"/>
  <c r="BF84" i="2"/>
  <c r="BF85" i="2"/>
  <c r="CB85" i="2"/>
  <c r="BN15" i="4"/>
  <c r="CP119" i="2"/>
  <c r="CP136" i="2"/>
  <c r="BT15" i="4"/>
  <c r="CV119" i="2"/>
  <c r="CV136" i="2"/>
  <c r="EQ87" i="2"/>
  <c r="CV88" i="2"/>
  <c r="CV89" i="2"/>
  <c r="ER93" i="2"/>
  <c r="EO97" i="2"/>
  <c r="BS98" i="2"/>
  <c r="BD100" i="2"/>
  <c r="BD119" i="2"/>
  <c r="BJ100" i="2"/>
  <c r="BJ119" i="2"/>
  <c r="EL119" i="2"/>
  <c r="EL94" i="2" s="1"/>
  <c r="BN100" i="2"/>
  <c r="BL101" i="2"/>
  <c r="EL105" i="2"/>
  <c r="CY112" i="2"/>
  <c r="CZ111" i="2"/>
  <c r="DC113" i="2"/>
  <c r="DK113" i="2"/>
  <c r="BO246" i="2"/>
  <c r="BO122" i="2"/>
  <c r="BO110" i="2"/>
  <c r="BO98" i="2"/>
  <c r="BO94" i="2"/>
  <c r="BU122" i="2"/>
  <c r="BU120" i="2"/>
  <c r="BU110" i="2"/>
  <c r="BU98" i="2"/>
  <c r="BU94" i="2"/>
  <c r="BU246" i="2"/>
  <c r="BU121" i="2"/>
  <c r="BS122" i="2"/>
  <c r="BP134" i="2"/>
  <c r="BT134" i="2"/>
  <c r="CL134" i="2"/>
  <c r="EO132" i="2"/>
  <c r="CH133" i="2"/>
  <c r="BV137" i="2"/>
  <c r="BT143" i="2"/>
  <c r="BT142" i="2"/>
  <c r="BX142" i="2"/>
  <c r="BZ143" i="2"/>
  <c r="BZ142" i="2"/>
  <c r="ER140" i="2"/>
  <c r="DB143" i="2"/>
  <c r="EN148" i="2"/>
  <c r="CJ150" i="2"/>
  <c r="CJ149" i="2"/>
  <c r="CP150" i="2"/>
  <c r="CU172" i="2"/>
  <c r="EL223" i="2"/>
  <c r="CC234" i="2"/>
  <c r="S13" i="3"/>
  <c r="AB10" i="3"/>
  <c r="BP22" i="3"/>
  <c r="BP14" i="3"/>
  <c r="DA14" i="3"/>
  <c r="DA22" i="3"/>
  <c r="AH121" i="3"/>
  <c r="AI121" i="3" s="1"/>
  <c r="AJ121" i="3" s="1"/>
  <c r="BV126" i="3"/>
  <c r="BW126" i="3" s="1"/>
  <c r="D31" i="2"/>
  <c r="V31" i="2"/>
  <c r="AN31" i="2"/>
  <c r="BR31" i="2"/>
  <c r="D36" i="2"/>
  <c r="V36" i="2"/>
  <c r="AH36" i="2"/>
  <c r="EO81" i="2"/>
  <c r="BK84" i="2"/>
  <c r="EH97" i="2"/>
  <c r="EG99" i="2"/>
  <c r="EJ99" i="2"/>
  <c r="BY102" i="2"/>
  <c r="BY78" i="2"/>
  <c r="CX141" i="2"/>
  <c r="CW212" i="2"/>
  <c r="CS212" i="2"/>
  <c r="CT211" i="2"/>
  <c r="BM224" i="2"/>
  <c r="BX224" i="2"/>
  <c r="BX225" i="2"/>
  <c r="BC252" i="2"/>
  <c r="BI251" i="2"/>
  <c r="BI252" i="2"/>
  <c r="BJ251" i="2"/>
  <c r="BD251" i="2"/>
  <c r="BV71" i="3"/>
  <c r="BV13" i="3"/>
  <c r="AL114" i="3"/>
  <c r="AN11" i="3"/>
  <c r="AO11" i="3" s="1"/>
  <c r="AL10" i="3"/>
  <c r="DR22" i="3"/>
  <c r="DR14" i="3"/>
  <c r="BG18" i="3"/>
  <c r="BG22" i="3"/>
  <c r="BI17" i="3"/>
  <c r="BI18" i="3" s="1"/>
  <c r="CH238" i="2"/>
  <c r="CH234" i="2"/>
  <c r="DT5" i="2"/>
  <c r="EF5" i="2"/>
  <c r="ER5" i="2"/>
  <c r="U6" i="2"/>
  <c r="BE6" i="2"/>
  <c r="CC6" i="2"/>
  <c r="CI6" i="2"/>
  <c r="EP11" i="2"/>
  <c r="AF15" i="2"/>
  <c r="CB15" i="2"/>
  <c r="CY34" i="2"/>
  <c r="CZ34" i="2" s="1"/>
  <c r="EM5" i="2"/>
  <c r="G11" i="2"/>
  <c r="CZ20" i="2"/>
  <c r="BC78" i="2"/>
  <c r="EJ81" i="2"/>
  <c r="EO85" i="2"/>
  <c r="BG84" i="2"/>
  <c r="BV84" i="2"/>
  <c r="BV85" i="2"/>
  <c r="CC85" i="2"/>
  <c r="BC86" i="2"/>
  <c r="BY86" i="2"/>
  <c r="BO15" i="4"/>
  <c r="CQ136" i="2"/>
  <c r="CQ89" i="2"/>
  <c r="BU15" i="4"/>
  <c r="CW136" i="2"/>
  <c r="CW89" i="2"/>
  <c r="CW88" i="2"/>
  <c r="BO90" i="2"/>
  <c r="BU90" i="2"/>
  <c r="CC119" i="2"/>
  <c r="EJ279" i="2"/>
  <c r="BY94" i="2"/>
  <c r="CX144" i="2"/>
  <c r="BE119" i="2"/>
  <c r="BO101" i="2"/>
  <c r="BK119" i="2"/>
  <c r="EE99" i="2"/>
  <c r="BC102" i="2"/>
  <c r="BU102" i="2"/>
  <c r="CK104" i="2"/>
  <c r="BS106" i="2"/>
  <c r="BY106" i="2"/>
  <c r="CO107" i="2"/>
  <c r="CB112" i="2"/>
  <c r="EM111" i="2"/>
  <c r="CB103" i="2"/>
  <c r="EF99" i="2"/>
  <c r="BH119" i="2"/>
  <c r="CQ119" i="2"/>
  <c r="BY121" i="2"/>
  <c r="CQ134" i="2"/>
  <c r="CP142" i="2"/>
  <c r="EJ143" i="2"/>
  <c r="EJ142" i="2"/>
  <c r="BT141" i="2"/>
  <c r="BQ146" i="2"/>
  <c r="BQ145" i="2"/>
  <c r="BX145" i="2"/>
  <c r="CK150" i="2"/>
  <c r="CK149" i="2"/>
  <c r="CQ150" i="2"/>
  <c r="CQ149" i="2"/>
  <c r="L71" i="3"/>
  <c r="L13" i="3"/>
  <c r="P10" i="3"/>
  <c r="V71" i="3"/>
  <c r="V13" i="3"/>
  <c r="W15" i="3" s="1"/>
  <c r="Z10" i="3"/>
  <c r="AC71" i="3"/>
  <c r="AC13" i="3"/>
  <c r="AF22" i="3"/>
  <c r="AF14" i="3"/>
  <c r="CR17" i="3"/>
  <c r="CN18" i="3"/>
  <c r="CU18" i="3"/>
  <c r="DB18" i="3"/>
  <c r="DH18" i="3"/>
  <c r="DL17" i="3"/>
  <c r="DL18" i="3" s="1"/>
  <c r="DU20" i="3"/>
  <c r="DT23" i="3"/>
  <c r="AF86" i="3"/>
  <c r="X117" i="3"/>
  <c r="Y117" i="3" s="1"/>
  <c r="BM126" i="3"/>
  <c r="BN126" i="3" s="1"/>
  <c r="L146" i="3"/>
  <c r="M140" i="3"/>
  <c r="AC140" i="3"/>
  <c r="AD140" i="3" s="1"/>
  <c r="AH141" i="3"/>
  <c r="AI141" i="3" s="1"/>
  <c r="CM141" i="3"/>
  <c r="BY224" i="2"/>
  <c r="EJ237" i="2"/>
  <c r="EI237" i="2"/>
  <c r="EH244" i="2"/>
  <c r="AZ249" i="2"/>
  <c r="AZ245" i="2"/>
  <c r="AZ253" i="2"/>
  <c r="CA257" i="2"/>
  <c r="CA258" i="2"/>
  <c r="CA255" i="2"/>
  <c r="BT264" i="2"/>
  <c r="BT263" i="2"/>
  <c r="BT262" i="2"/>
  <c r="BX263" i="2"/>
  <c r="BZ264" i="2"/>
  <c r="BZ263" i="2"/>
  <c r="BZ269" i="2"/>
  <c r="CN8" i="3"/>
  <c r="CN9" i="3"/>
  <c r="CR7" i="3"/>
  <c r="CN13" i="3"/>
  <c r="CS9" i="3"/>
  <c r="DG9" i="3"/>
  <c r="EK9" i="3"/>
  <c r="M71" i="3"/>
  <c r="M13" i="3"/>
  <c r="BJ22" i="3"/>
  <c r="BJ14" i="3"/>
  <c r="DD71" i="3"/>
  <c r="DD13" i="3"/>
  <c r="Q114" i="3"/>
  <c r="T11" i="3"/>
  <c r="Q10" i="3"/>
  <c r="H22" i="3"/>
  <c r="H15" i="3"/>
  <c r="H14" i="3"/>
  <c r="EJ13" i="3"/>
  <c r="AJ18" i="3"/>
  <c r="DG20" i="3"/>
  <c r="EF20" i="3"/>
  <c r="BB315" i="3"/>
  <c r="BC315" i="3" s="1"/>
  <c r="BB318" i="3"/>
  <c r="BB313" i="3"/>
  <c r="BC313" i="3" s="1"/>
  <c r="BB317" i="3"/>
  <c r="BC317" i="3" s="1"/>
  <c r="BD41" i="3"/>
  <c r="BJ318" i="3"/>
  <c r="BJ317" i="3"/>
  <c r="BN41" i="3"/>
  <c r="CB42" i="3"/>
  <c r="CC41" i="3"/>
  <c r="BJ42" i="3"/>
  <c r="EF42" i="3"/>
  <c r="BZ63" i="3"/>
  <c r="BZ74" i="3" s="1"/>
  <c r="BZ86" i="3" s="1"/>
  <c r="BY74" i="3"/>
  <c r="DA82" i="3"/>
  <c r="CZ84" i="3"/>
  <c r="T125" i="3"/>
  <c r="U125" i="3" s="1"/>
  <c r="S126" i="3"/>
  <c r="T126" i="3" s="1"/>
  <c r="U126" i="3" s="1"/>
  <c r="CA126" i="3"/>
  <c r="CB126" i="3" s="1"/>
  <c r="AP134" i="3"/>
  <c r="AQ133" i="3"/>
  <c r="AR133" i="3" s="1"/>
  <c r="AR134" i="3" s="1"/>
  <c r="AR248" i="3"/>
  <c r="AK235" i="3"/>
  <c r="AN236" i="3"/>
  <c r="AN235" i="3" s="1"/>
  <c r="BU149" i="2"/>
  <c r="EG233" i="2"/>
  <c r="AZ257" i="2"/>
  <c r="AP71" i="3"/>
  <c r="B22" i="3"/>
  <c r="B14" i="3"/>
  <c r="F13" i="3"/>
  <c r="F14" i="3" s="1"/>
  <c r="I15" i="3"/>
  <c r="I14" i="3"/>
  <c r="I22" i="3"/>
  <c r="BK18" i="3"/>
  <c r="BN17" i="3"/>
  <c r="BN18" i="3" s="1"/>
  <c r="EO18" i="3"/>
  <c r="EP17" i="3"/>
  <c r="EP18" i="3" s="1"/>
  <c r="CN20" i="3"/>
  <c r="X326" i="3"/>
  <c r="X27" i="3"/>
  <c r="X28" i="3" s="1"/>
  <c r="Z28" i="3" s="1"/>
  <c r="EF27" i="3"/>
  <c r="EQ28" i="3"/>
  <c r="ER27" i="3"/>
  <c r="BI28" i="3"/>
  <c r="EA34" i="3"/>
  <c r="DQ39" i="3"/>
  <c r="BC42" i="3"/>
  <c r="BD42" i="3" s="1"/>
  <c r="DL42" i="3"/>
  <c r="DR82" i="3"/>
  <c r="DS82" i="3" s="1"/>
  <c r="DT82" i="3" s="1"/>
  <c r="DU82" i="3" s="1"/>
  <c r="DJ133" i="3"/>
  <c r="DJ134" i="3" s="1"/>
  <c r="DI134" i="3"/>
  <c r="CL142" i="3"/>
  <c r="CM142" i="3" s="1"/>
  <c r="CN146" i="3"/>
  <c r="CO144" i="3"/>
  <c r="CP144" i="3" s="1"/>
  <c r="CQ144" i="3" s="1"/>
  <c r="CK13" i="3"/>
  <c r="CK71" i="3"/>
  <c r="DW71" i="3"/>
  <c r="DW13" i="3"/>
  <c r="EA10" i="3"/>
  <c r="ED71" i="3"/>
  <c r="ED13" i="3"/>
  <c r="C14" i="3"/>
  <c r="C22" i="3"/>
  <c r="D15" i="3"/>
  <c r="C15" i="3"/>
  <c r="BQ14" i="3"/>
  <c r="EQ14" i="3"/>
  <c r="AP14" i="3"/>
  <c r="DM18" i="3"/>
  <c r="DQ17" i="3"/>
  <c r="DQ18" i="3" s="1"/>
  <c r="EI18" i="3"/>
  <c r="EK17" i="3"/>
  <c r="EK18" i="3" s="1"/>
  <c r="AF326" i="3"/>
  <c r="AJ26" i="3"/>
  <c r="AF27" i="3"/>
  <c r="EU26" i="3"/>
  <c r="DI28" i="3"/>
  <c r="DL28" i="3" s="1"/>
  <c r="DL27" i="3"/>
  <c r="EA27" i="3"/>
  <c r="DX28" i="3"/>
  <c r="DB34" i="3"/>
  <c r="EG152" i="3"/>
  <c r="EK152" i="3" s="1"/>
  <c r="CQ71" i="3"/>
  <c r="EV83" i="3"/>
  <c r="EW83" i="3" s="1"/>
  <c r="EX83" i="3" s="1"/>
  <c r="EY83" i="3" s="1"/>
  <c r="EU83" i="3"/>
  <c r="DJ93" i="3"/>
  <c r="DJ100" i="3" s="1"/>
  <c r="DJ104" i="3" s="1"/>
  <c r="DK88" i="3"/>
  <c r="CZ122" i="3"/>
  <c r="S141" i="3"/>
  <c r="R146" i="3"/>
  <c r="DA142" i="3"/>
  <c r="DB142" i="3" s="1"/>
  <c r="EF146" i="3"/>
  <c r="AA153" i="3"/>
  <c r="AZ227" i="3"/>
  <c r="AZ223" i="3"/>
  <c r="AZ216" i="3"/>
  <c r="AZ340" i="3" s="1"/>
  <c r="EM13" i="3"/>
  <c r="EP10" i="3"/>
  <c r="N22" i="3"/>
  <c r="N14" i="3"/>
  <c r="EM28" i="3"/>
  <c r="EP26" i="3"/>
  <c r="EV26" i="3"/>
  <c r="P34" i="3"/>
  <c r="DQ34" i="3"/>
  <c r="CR39" i="3"/>
  <c r="CT42" i="3"/>
  <c r="DA42" i="3"/>
  <c r="DD81" i="3"/>
  <c r="BL84" i="3"/>
  <c r="BM82" i="3"/>
  <c r="BP86" i="3"/>
  <c r="EV98" i="3"/>
  <c r="EW98" i="3" s="1"/>
  <c r="EX98" i="3" s="1"/>
  <c r="EY98" i="3" s="1"/>
  <c r="EU98" i="3"/>
  <c r="Z115" i="3"/>
  <c r="CP117" i="3"/>
  <c r="S122" i="3"/>
  <c r="T122" i="3" s="1"/>
  <c r="BV122" i="3"/>
  <c r="DE122" i="3"/>
  <c r="CL125" i="3"/>
  <c r="CM125" i="3" s="1"/>
  <c r="DA140" i="3"/>
  <c r="DB140" i="3" s="1"/>
  <c r="BI141" i="3"/>
  <c r="BH146" i="3"/>
  <c r="AX142" i="3"/>
  <c r="AY142" i="3" s="1"/>
  <c r="BU49" i="4"/>
  <c r="CT7" i="5"/>
  <c r="CZ7" i="5"/>
  <c r="DF7" i="5"/>
  <c r="CT119" i="2"/>
  <c r="BV121" i="2"/>
  <c r="BR133" i="2"/>
  <c r="CP133" i="2"/>
  <c r="BU146" i="2"/>
  <c r="CA145" i="2"/>
  <c r="BY146" i="2"/>
  <c r="EK148" i="2"/>
  <c r="CU150" i="2"/>
  <c r="EO164" i="2"/>
  <c r="CH168" i="2"/>
  <c r="CK166" i="2"/>
  <c r="CK168" i="2" s="1"/>
  <c r="CK173" i="2" s="1"/>
  <c r="CI178" i="2"/>
  <c r="CI177" i="2"/>
  <c r="CV178" i="2"/>
  <c r="CV177" i="2"/>
  <c r="CV179" i="2"/>
  <c r="CV174" i="2"/>
  <c r="CV176" i="2"/>
  <c r="CI179" i="2"/>
  <c r="CU212" i="2"/>
  <c r="CV211" i="2"/>
  <c r="BN224" i="2"/>
  <c r="EI244" i="2"/>
  <c r="BV246" i="2"/>
  <c r="BU263" i="2"/>
  <c r="BU262" i="2"/>
  <c r="BS268" i="2"/>
  <c r="BS267" i="2"/>
  <c r="BY268" i="2"/>
  <c r="BY267" i="2"/>
  <c r="BY266" i="2"/>
  <c r="BU269" i="2"/>
  <c r="BN271" i="2"/>
  <c r="BS285" i="2"/>
  <c r="EK284" i="2"/>
  <c r="BY286" i="2"/>
  <c r="CO9" i="3"/>
  <c r="CO66" i="3"/>
  <c r="CT9" i="3"/>
  <c r="DL9" i="3"/>
  <c r="EP9" i="3"/>
  <c r="CP8" i="3"/>
  <c r="BY13" i="3"/>
  <c r="CX71" i="3"/>
  <c r="DB10" i="3"/>
  <c r="EG71" i="3"/>
  <c r="EG13" i="3"/>
  <c r="EK10" i="3"/>
  <c r="AQ114" i="3"/>
  <c r="AQ77" i="3"/>
  <c r="AQ76" i="3" s="1"/>
  <c r="AR76" i="3" s="1"/>
  <c r="AR77" i="3" s="1"/>
  <c r="CE114" i="3"/>
  <c r="CL13" i="3"/>
  <c r="EN13" i="3"/>
  <c r="BT14" i="3"/>
  <c r="EA17" i="3"/>
  <c r="EA18" i="3" s="1"/>
  <c r="DW18" i="3"/>
  <c r="CO20" i="3"/>
  <c r="EK20" i="3"/>
  <c r="BS28" i="3"/>
  <c r="DL34" i="3"/>
  <c r="BU318" i="3"/>
  <c r="BU317" i="3"/>
  <c r="BU315" i="3"/>
  <c r="BU313" i="3"/>
  <c r="BX41" i="3"/>
  <c r="CI42" i="3"/>
  <c r="CM41" i="3"/>
  <c r="CH42" i="3"/>
  <c r="T86" i="3"/>
  <c r="U86" i="3" s="1"/>
  <c r="U74" i="3"/>
  <c r="BO74" i="3"/>
  <c r="BV86" i="3"/>
  <c r="CY84" i="3"/>
  <c r="BQ124" i="3"/>
  <c r="BR124" i="3" s="1"/>
  <c r="AM125" i="3"/>
  <c r="AN125" i="3" s="1"/>
  <c r="AO125" i="3" s="1"/>
  <c r="CP142" i="3"/>
  <c r="FH142" i="3"/>
  <c r="BB217" i="3"/>
  <c r="CV18" i="4"/>
  <c r="CV17" i="4"/>
  <c r="AY15" i="4"/>
  <c r="BK15" i="4"/>
  <c r="BQ15" i="4"/>
  <c r="CA88" i="2"/>
  <c r="CM88" i="2"/>
  <c r="CS88" i="2"/>
  <c r="CC92" i="2"/>
  <c r="CC93" i="2"/>
  <c r="BR102" i="2"/>
  <c r="BX102" i="2"/>
  <c r="CN111" i="2"/>
  <c r="BQ254" i="2"/>
  <c r="BQ249" i="2" s="1"/>
  <c r="BW254" i="2"/>
  <c r="BW249" i="2" s="1"/>
  <c r="BW121" i="2"/>
  <c r="EJ132" i="2"/>
  <c r="EP132" i="2"/>
  <c r="BO146" i="2"/>
  <c r="BV146" i="2"/>
  <c r="CB146" i="2"/>
  <c r="CW145" i="2"/>
  <c r="EM144" i="2"/>
  <c r="CB145" i="2"/>
  <c r="CJ145" i="2"/>
  <c r="BZ146" i="2"/>
  <c r="CH150" i="2"/>
  <c r="CN150" i="2"/>
  <c r="BR149" i="2"/>
  <c r="CJ178" i="2"/>
  <c r="CJ177" i="2"/>
  <c r="CJ179" i="2"/>
  <c r="CP178" i="2"/>
  <c r="CP177" i="2"/>
  <c r="CP179" i="2"/>
  <c r="CI172" i="2"/>
  <c r="CQ172" i="2"/>
  <c r="CU211" i="2"/>
  <c r="EJ223" i="2"/>
  <c r="EJ233" i="2"/>
  <c r="EG237" i="2"/>
  <c r="EJ244" i="2"/>
  <c r="EH250" i="2"/>
  <c r="BF252" i="2"/>
  <c r="BL252" i="2"/>
  <c r="BF251" i="2"/>
  <c r="EF254" i="2"/>
  <c r="BX249" i="2"/>
  <c r="BX245" i="2"/>
  <c r="BX257" i="2"/>
  <c r="BY258" i="2"/>
  <c r="BV262" i="2"/>
  <c r="BU264" i="2"/>
  <c r="BT267" i="2"/>
  <c r="BT266" i="2"/>
  <c r="BZ267" i="2"/>
  <c r="BZ266" i="2"/>
  <c r="BW267" i="2"/>
  <c r="BT268" i="2"/>
  <c r="BC272" i="2"/>
  <c r="BC270" i="2"/>
  <c r="BI272" i="2"/>
  <c r="BI270" i="2"/>
  <c r="BO272" i="2"/>
  <c r="BO270" i="2"/>
  <c r="BV269" i="2"/>
  <c r="BN270" i="2"/>
  <c r="BO271" i="2"/>
  <c r="BT285" i="2"/>
  <c r="BZ285" i="2"/>
  <c r="BZ286" i="2"/>
  <c r="BZ298" i="2"/>
  <c r="BZ297" i="2"/>
  <c r="CA298" i="2"/>
  <c r="CP66" i="3"/>
  <c r="CU9" i="3"/>
  <c r="CP13" i="3"/>
  <c r="CQ8" i="3"/>
  <c r="DV9" i="3"/>
  <c r="AU71" i="3"/>
  <c r="AU13" i="3"/>
  <c r="AR11" i="3"/>
  <c r="AS11" i="3" s="1"/>
  <c r="CF11" i="3"/>
  <c r="DV11" i="3"/>
  <c r="AD13" i="3"/>
  <c r="AV13" i="3"/>
  <c r="DE13" i="3"/>
  <c r="EO13" i="3"/>
  <c r="U18" i="3"/>
  <c r="AY18" i="3"/>
  <c r="CP20" i="3"/>
  <c r="CW19" i="3"/>
  <c r="CW20" i="3" s="1"/>
  <c r="J56" i="3"/>
  <c r="J32" i="3"/>
  <c r="CR26" i="3"/>
  <c r="DB26" i="3"/>
  <c r="EB28" i="3"/>
  <c r="EF26" i="3"/>
  <c r="DQ27" i="3"/>
  <c r="DV39" i="3"/>
  <c r="BV317" i="3"/>
  <c r="BV315" i="3"/>
  <c r="BV313" i="3"/>
  <c r="BV318" i="3"/>
  <c r="AO42" i="3"/>
  <c r="EK42" i="3"/>
  <c r="FF57" i="3"/>
  <c r="BF153" i="3"/>
  <c r="BG152" i="3"/>
  <c r="BW153" i="3"/>
  <c r="BY152" i="3"/>
  <c r="CC152" i="3" s="1"/>
  <c r="AV77" i="3"/>
  <c r="AH86" i="3"/>
  <c r="AM86" i="3"/>
  <c r="BO88" i="3"/>
  <c r="BM93" i="3"/>
  <c r="BY88" i="3"/>
  <c r="BX88" i="3"/>
  <c r="DK106" i="3"/>
  <c r="DM91" i="3"/>
  <c r="DL91" i="3"/>
  <c r="DB92" i="3"/>
  <c r="DA93" i="3"/>
  <c r="EV92" i="3"/>
  <c r="EW92" i="3" s="1"/>
  <c r="EX92" i="3" s="1"/>
  <c r="EY92" i="3" s="1"/>
  <c r="CP115" i="3"/>
  <c r="CQ115" i="3" s="1"/>
  <c r="DE115" i="3"/>
  <c r="DF115" i="3" s="1"/>
  <c r="AX117" i="3"/>
  <c r="AY117" i="3" s="1"/>
  <c r="BX118" i="3"/>
  <c r="P123" i="3"/>
  <c r="BX123" i="3"/>
  <c r="CF123" i="3"/>
  <c r="CG123" i="3" s="1"/>
  <c r="DJ123" i="3"/>
  <c r="DL123" i="3" s="1"/>
  <c r="X125" i="3"/>
  <c r="Y125" i="3" s="1"/>
  <c r="CB125" i="3"/>
  <c r="CC125" i="3" s="1"/>
  <c r="DG125" i="3"/>
  <c r="Y132" i="3"/>
  <c r="AS132" i="3"/>
  <c r="AT132" i="3" s="1"/>
  <c r="BD132" i="3"/>
  <c r="DL132" i="3"/>
  <c r="FC133" i="3"/>
  <c r="FD133" i="3" s="1"/>
  <c r="CH152" i="3"/>
  <c r="AN234" i="3"/>
  <c r="V181" i="3"/>
  <c r="V255" i="3"/>
  <c r="V216" i="3" s="1"/>
  <c r="V253" i="3"/>
  <c r="AC242" i="3"/>
  <c r="AC168" i="3"/>
  <c r="AC254" i="3"/>
  <c r="AC255" i="3"/>
  <c r="AZ15" i="4"/>
  <c r="BR15" i="4"/>
  <c r="EM87" i="2"/>
  <c r="EM119" i="2" s="1"/>
  <c r="CB88" i="2"/>
  <c r="CT88" i="2"/>
  <c r="CD92" i="2"/>
  <c r="CD93" i="2"/>
  <c r="BP94" i="2"/>
  <c r="BV94" i="2"/>
  <c r="BP98" i="2"/>
  <c r="BV98" i="2"/>
  <c r="BP110" i="2"/>
  <c r="BV110" i="2"/>
  <c r="BP120" i="2"/>
  <c r="BV120" i="2"/>
  <c r="BP122" i="2"/>
  <c r="BV122" i="2"/>
  <c r="BP146" i="2"/>
  <c r="BU145" i="2"/>
  <c r="CC145" i="2"/>
  <c r="CI150" i="2"/>
  <c r="CO150" i="2"/>
  <c r="BS149" i="2"/>
  <c r="CQ179" i="2"/>
  <c r="CQ176" i="2"/>
  <c r="CQ175" i="2"/>
  <c r="CJ172" i="2"/>
  <c r="CV173" i="2"/>
  <c r="CP174" i="2"/>
  <c r="CV175" i="2"/>
  <c r="CP176" i="2"/>
  <c r="BP224" i="2"/>
  <c r="BG252" i="2"/>
  <c r="BG251" i="2"/>
  <c r="BM252" i="2"/>
  <c r="BM251" i="2"/>
  <c r="BY255" i="2"/>
  <c r="BY257" i="2"/>
  <c r="BW262" i="2"/>
  <c r="BV264" i="2"/>
  <c r="BU266" i="2"/>
  <c r="BS266" i="2"/>
  <c r="BU268" i="2"/>
  <c r="BD272" i="2"/>
  <c r="BD270" i="2"/>
  <c r="BJ272" i="2"/>
  <c r="BJ270" i="2"/>
  <c r="BP272" i="2"/>
  <c r="BP270" i="2"/>
  <c r="BY269" i="2"/>
  <c r="BQ270" i="2"/>
  <c r="BH271" i="2"/>
  <c r="BP271" i="2"/>
  <c r="BU285" i="2"/>
  <c r="BS286" i="2"/>
  <c r="BU297" i="2"/>
  <c r="BY298" i="2"/>
  <c r="CQ66" i="3"/>
  <c r="CQ13" i="3"/>
  <c r="CS8" i="3"/>
  <c r="BF71" i="3"/>
  <c r="BF13" i="3"/>
  <c r="BM71" i="3"/>
  <c r="BM13" i="3"/>
  <c r="DO71" i="3"/>
  <c r="DO13" i="3"/>
  <c r="EF10" i="3"/>
  <c r="BE10" i="3"/>
  <c r="BX11" i="3"/>
  <c r="CX13" i="3"/>
  <c r="DF13" i="3"/>
  <c r="EH13" i="3"/>
  <c r="CW17" i="3"/>
  <c r="CW18" i="3" s="1"/>
  <c r="DV17" i="3"/>
  <c r="DV18" i="3" s="1"/>
  <c r="AW18" i="3"/>
  <c r="CQ18" i="3"/>
  <c r="P20" i="3"/>
  <c r="AT20" i="3"/>
  <c r="DS20" i="3"/>
  <c r="DV19" i="3"/>
  <c r="DV20" i="3" s="1"/>
  <c r="CM27" i="3"/>
  <c r="AO28" i="3"/>
  <c r="BN28" i="3"/>
  <c r="CH34" i="3"/>
  <c r="DG34" i="3"/>
  <c r="CW39" i="3"/>
  <c r="BG317" i="3"/>
  <c r="BG318" i="3"/>
  <c r="CJ42" i="3"/>
  <c r="DQ42" i="3"/>
  <c r="EP42" i="3"/>
  <c r="AS152" i="3"/>
  <c r="AR153" i="3"/>
  <c r="W71" i="3"/>
  <c r="AD86" i="3"/>
  <c r="AE86" i="3" s="1"/>
  <c r="DK84" i="3"/>
  <c r="DM81" i="3"/>
  <c r="DL81" i="3"/>
  <c r="BR84" i="3"/>
  <c r="CB93" i="3"/>
  <c r="CD88" i="3"/>
  <c r="BW93" i="3"/>
  <c r="BE97" i="3"/>
  <c r="BF97" i="3" s="1"/>
  <c r="BG97" i="3" s="1"/>
  <c r="BH97" i="3" s="1"/>
  <c r="BD97" i="3"/>
  <c r="EV97" i="3"/>
  <c r="EW97" i="3" s="1"/>
  <c r="EX97" i="3" s="1"/>
  <c r="EY97" i="3" s="1"/>
  <c r="EU97" i="3"/>
  <c r="CU115" i="3"/>
  <c r="CV115" i="3" s="1"/>
  <c r="AP129" i="3"/>
  <c r="AS118" i="3"/>
  <c r="AT118" i="3" s="1"/>
  <c r="BI123" i="3"/>
  <c r="N124" i="3"/>
  <c r="O124" i="3" s="1"/>
  <c r="AT124" i="3"/>
  <c r="CL124" i="3"/>
  <c r="CM124" i="3" s="1"/>
  <c r="CK126" i="3"/>
  <c r="CL126" i="3" s="1"/>
  <c r="AC127" i="3"/>
  <c r="AE127" i="3" s="1"/>
  <c r="BH132" i="3"/>
  <c r="BI132" i="3" s="1"/>
  <c r="CK132" i="3"/>
  <c r="CW132" i="3"/>
  <c r="DQ132" i="3"/>
  <c r="DP134" i="3"/>
  <c r="EA133" i="3"/>
  <c r="DW134" i="3"/>
  <c r="EK133" i="3"/>
  <c r="EQ134" i="3"/>
  <c r="EU133" i="3"/>
  <c r="FH133" i="3"/>
  <c r="FI133" i="3" s="1"/>
  <c r="AX228" i="3"/>
  <c r="AX223" i="3"/>
  <c r="AX227" i="3"/>
  <c r="W216" i="3"/>
  <c r="W253" i="3"/>
  <c r="W181" i="3"/>
  <c r="X242" i="3"/>
  <c r="W242" i="3"/>
  <c r="AD253" i="3"/>
  <c r="AD242" i="3"/>
  <c r="AD255" i="3"/>
  <c r="AD254" i="3"/>
  <c r="BP303" i="3"/>
  <c r="BL305" i="3"/>
  <c r="BK308" i="3"/>
  <c r="AD18" i="4"/>
  <c r="AD16" i="4"/>
  <c r="CX15" i="4"/>
  <c r="AD17" i="4"/>
  <c r="AH17" i="4"/>
  <c r="AE16" i="4"/>
  <c r="AJ18" i="4"/>
  <c r="AJ16" i="4"/>
  <c r="AN17" i="4"/>
  <c r="AK16" i="4"/>
  <c r="AJ17" i="4"/>
  <c r="AP18" i="4"/>
  <c r="AP16" i="4"/>
  <c r="AP17" i="4"/>
  <c r="DA15" i="4"/>
  <c r="AT17" i="4"/>
  <c r="AV18" i="4"/>
  <c r="AV16" i="4"/>
  <c r="AW16" i="4"/>
  <c r="AV17" i="4"/>
  <c r="AL52" i="5"/>
  <c r="AL53" i="5"/>
  <c r="EJ144" i="2"/>
  <c r="EP144" i="2"/>
  <c r="BT149" i="2"/>
  <c r="CF149" i="2"/>
  <c r="CL149" i="2"/>
  <c r="CG168" i="2"/>
  <c r="EN168" i="2" s="1"/>
  <c r="CM172" i="2"/>
  <c r="EP172" i="2"/>
  <c r="CM173" i="2"/>
  <c r="BQ224" i="2"/>
  <c r="BW224" i="2"/>
  <c r="AD66" i="3"/>
  <c r="AD335" i="3"/>
  <c r="AD8" i="3"/>
  <c r="BL13" i="3"/>
  <c r="CD13" i="3"/>
  <c r="CV13" i="3"/>
  <c r="DZ13" i="3"/>
  <c r="BK318" i="3"/>
  <c r="BK317" i="3"/>
  <c r="CW41" i="3"/>
  <c r="BK42" i="3"/>
  <c r="BL153" i="3"/>
  <c r="BL74" i="3"/>
  <c r="BM152" i="3"/>
  <c r="EG153" i="3"/>
  <c r="EH152" i="3"/>
  <c r="BQ74" i="3"/>
  <c r="AX93" i="3"/>
  <c r="AZ91" i="3"/>
  <c r="AY91" i="3"/>
  <c r="DI100" i="3"/>
  <c r="DI104" i="3" s="1"/>
  <c r="DM95" i="3"/>
  <c r="DN95" i="3" s="1"/>
  <c r="DO95" i="3" s="1"/>
  <c r="DP95" i="3" s="1"/>
  <c r="DL95" i="3"/>
  <c r="DE114" i="3"/>
  <c r="DF114" i="3" s="1"/>
  <c r="CG117" i="3"/>
  <c r="CH117" i="3" s="1"/>
  <c r="S118" i="3"/>
  <c r="T118" i="3" s="1"/>
  <c r="DB118" i="3"/>
  <c r="U121" i="3"/>
  <c r="CC121" i="3"/>
  <c r="CK121" i="3"/>
  <c r="CL121" i="3" s="1"/>
  <c r="BQ125" i="3"/>
  <c r="BR125" i="3" s="1"/>
  <c r="CW125" i="3"/>
  <c r="DJ125" i="3"/>
  <c r="DL125" i="3" s="1"/>
  <c r="AI132" i="3"/>
  <c r="AW132" i="3"/>
  <c r="CA134" i="3"/>
  <c r="CR132" i="3"/>
  <c r="CZ132" i="3"/>
  <c r="AG146" i="3"/>
  <c r="AI140" i="3"/>
  <c r="AR140" i="3"/>
  <c r="AQ146" i="3"/>
  <c r="CQ140" i="3"/>
  <c r="AN141" i="3"/>
  <c r="AO141" i="3" s="1"/>
  <c r="AW141" i="3"/>
  <c r="AV146" i="3"/>
  <c r="CA141" i="3"/>
  <c r="BI142" i="3"/>
  <c r="EZ142" i="3"/>
  <c r="DM146" i="3"/>
  <c r="DQ144" i="3"/>
  <c r="BG146" i="3"/>
  <c r="BC153" i="3"/>
  <c r="Y185" i="3"/>
  <c r="Y180" i="3"/>
  <c r="AG185" i="3"/>
  <c r="AH181" i="3"/>
  <c r="AG252" i="3"/>
  <c r="AG168" i="3"/>
  <c r="AH254" i="3"/>
  <c r="AH227" i="3"/>
  <c r="BA227" i="3"/>
  <c r="BA223" i="3"/>
  <c r="BA216" i="3"/>
  <c r="BA340" i="3" s="1"/>
  <c r="CG149" i="2"/>
  <c r="CM149" i="2"/>
  <c r="CN172" i="2"/>
  <c r="CT172" i="2"/>
  <c r="EQ172" i="2"/>
  <c r="CN173" i="2"/>
  <c r="CT173" i="2"/>
  <c r="AE7" i="3"/>
  <c r="AF8" i="3"/>
  <c r="BE118" i="3"/>
  <c r="BL318" i="3"/>
  <c r="BL118" i="3"/>
  <c r="BL317" i="3"/>
  <c r="BM317" i="3" s="1"/>
  <c r="BY315" i="3"/>
  <c r="BY313" i="3"/>
  <c r="BY318" i="3"/>
  <c r="BE42" i="3"/>
  <c r="FN57" i="3"/>
  <c r="EI152" i="3"/>
  <c r="BR74" i="3"/>
  <c r="BS74" i="3" s="1"/>
  <c r="BT63" i="3"/>
  <c r="O86" i="3"/>
  <c r="P86" i="3" s="1"/>
  <c r="P74" i="3"/>
  <c r="BH93" i="3"/>
  <c r="BJ88" i="3"/>
  <c r="DI114" i="3"/>
  <c r="DJ114" i="3" s="1"/>
  <c r="U116" i="3"/>
  <c r="Z118" i="3"/>
  <c r="AG118" i="3"/>
  <c r="AH118" i="3" s="1"/>
  <c r="AX123" i="3"/>
  <c r="AY123" i="3" s="1"/>
  <c r="BC126" i="3"/>
  <c r="BD126" i="3" s="1"/>
  <c r="BP134" i="3"/>
  <c r="BX133" i="3"/>
  <c r="CS134" i="3"/>
  <c r="CT133" i="3"/>
  <c r="CU133" i="3" s="1"/>
  <c r="CV133" i="3" s="1"/>
  <c r="CV134" i="3" s="1"/>
  <c r="EF134" i="3"/>
  <c r="CH141" i="3"/>
  <c r="CP141" i="3"/>
  <c r="CQ141" i="3" s="1"/>
  <c r="BK142" i="3"/>
  <c r="BL142" i="3" s="1"/>
  <c r="BM142" i="3" s="1"/>
  <c r="BO142" i="3" s="1"/>
  <c r="BJ146" i="3"/>
  <c r="AM205" i="3"/>
  <c r="AM208" i="3"/>
  <c r="AM210" i="3"/>
  <c r="AM209" i="3" s="1"/>
  <c r="BH308" i="3"/>
  <c r="CX10" i="4"/>
  <c r="DJ10" i="4"/>
  <c r="CD67" i="4"/>
  <c r="AV318" i="3"/>
  <c r="AV313" i="3"/>
  <c r="AV317" i="3"/>
  <c r="BF318" i="3"/>
  <c r="BF317" i="3"/>
  <c r="BZ318" i="3"/>
  <c r="BZ313" i="3"/>
  <c r="CA313" i="3" s="1"/>
  <c r="BZ317" i="3"/>
  <c r="CA317" i="3" s="1"/>
  <c r="CS118" i="3"/>
  <c r="BF42" i="3"/>
  <c r="BQ153" i="3"/>
  <c r="DK74" i="3"/>
  <c r="DL74" i="3" s="1"/>
  <c r="BH84" i="3"/>
  <c r="BI82" i="3"/>
  <c r="AH100" i="3"/>
  <c r="AH104" i="3" s="1"/>
  <c r="AZ95" i="3"/>
  <c r="BA95" i="3" s="1"/>
  <c r="BB95" i="3" s="1"/>
  <c r="AY95" i="3"/>
  <c r="AW114" i="3"/>
  <c r="AW11" i="3" s="1"/>
  <c r="S117" i="3"/>
  <c r="T117" i="3" s="1"/>
  <c r="BK118" i="3"/>
  <c r="BG122" i="3"/>
  <c r="BH122" i="3" s="1"/>
  <c r="X123" i="3"/>
  <c r="Y123" i="3" s="1"/>
  <c r="BQ123" i="3"/>
  <c r="BR123" i="3" s="1"/>
  <c r="CB124" i="3"/>
  <c r="CC124" i="3" s="1"/>
  <c r="CW124" i="3"/>
  <c r="CV126" i="3"/>
  <c r="CW126" i="3" s="1"/>
  <c r="BQ134" i="3"/>
  <c r="EF133" i="3"/>
  <c r="DP142" i="3"/>
  <c r="DP146" i="3" s="1"/>
  <c r="AX219" i="3"/>
  <c r="AX218" i="3"/>
  <c r="BW317" i="3"/>
  <c r="DB10" i="4"/>
  <c r="DH10" i="4"/>
  <c r="CT10" i="4"/>
  <c r="DF10" i="4"/>
  <c r="DL10" i="4"/>
  <c r="CY10" i="4"/>
  <c r="DE10" i="4"/>
  <c r="DK10" i="4"/>
  <c r="BJ94" i="4"/>
  <c r="CW10" i="4"/>
  <c r="CW12" i="4" s="1"/>
  <c r="DC10" i="4"/>
  <c r="DD12" i="4" s="1"/>
  <c r="DI10" i="4"/>
  <c r="BS62" i="4"/>
  <c r="BS63" i="4" s="1"/>
  <c r="BT53" i="4"/>
  <c r="BS54" i="4"/>
  <c r="CS37" i="5"/>
  <c r="CY37" i="5"/>
  <c r="DE37" i="5"/>
  <c r="AD93" i="3"/>
  <c r="AE92" i="3"/>
  <c r="AE114" i="3"/>
  <c r="BG114" i="3"/>
  <c r="BH114" i="3" s="1"/>
  <c r="BH11" i="3" s="1"/>
  <c r="BI11" i="3" s="1"/>
  <c r="BX114" i="3"/>
  <c r="CC118" i="3"/>
  <c r="X124" i="3"/>
  <c r="Y124" i="3" s="1"/>
  <c r="AW125" i="3"/>
  <c r="AX125" i="3" s="1"/>
  <c r="AY125" i="3" s="1"/>
  <c r="FB134" i="3"/>
  <c r="FC132" i="3"/>
  <c r="AF134" i="3"/>
  <c r="AG133" i="3"/>
  <c r="AH133" i="3" s="1"/>
  <c r="AH134" i="3" s="1"/>
  <c r="AW144" i="3"/>
  <c r="AD156" i="3"/>
  <c r="I58" i="2" s="1"/>
  <c r="AC252" i="3"/>
  <c r="AL168" i="3"/>
  <c r="AK168" i="3" s="1"/>
  <c r="AL185" i="3"/>
  <c r="AS185" i="3"/>
  <c r="AX181" i="3"/>
  <c r="AU248" i="3"/>
  <c r="BC205" i="3"/>
  <c r="BC208" i="3"/>
  <c r="AF254" i="3"/>
  <c r="AM226" i="3"/>
  <c r="AL227" i="3"/>
  <c r="BA308" i="3"/>
  <c r="BP45" i="4"/>
  <c r="BQ44" i="4"/>
  <c r="AC24" i="5"/>
  <c r="T104" i="3"/>
  <c r="CP114" i="3"/>
  <c r="CQ114" i="3" s="1"/>
  <c r="CA115" i="3"/>
  <c r="CB115" i="3" s="1"/>
  <c r="DJ115" i="3"/>
  <c r="DL115" i="3" s="1"/>
  <c r="BX117" i="3"/>
  <c r="BC118" i="3"/>
  <c r="BD118" i="3" s="1"/>
  <c r="CG118" i="3"/>
  <c r="CH118" i="3" s="1"/>
  <c r="CR118" i="3"/>
  <c r="DG118" i="3"/>
  <c r="Y121" i="3"/>
  <c r="Z121" i="3" s="1"/>
  <c r="AW121" i="3"/>
  <c r="AX121" i="3" s="1"/>
  <c r="AY121" i="3" s="1"/>
  <c r="BG121" i="3"/>
  <c r="BH121" i="3" s="1"/>
  <c r="CP121" i="3"/>
  <c r="CQ121" i="3" s="1"/>
  <c r="CZ121" i="3"/>
  <c r="DA121" i="3" s="1"/>
  <c r="AH122" i="3"/>
  <c r="AI122" i="3" s="1"/>
  <c r="AR122" i="3"/>
  <c r="CA122" i="3"/>
  <c r="CB122" i="3" s="1"/>
  <c r="CK122" i="3"/>
  <c r="CL122" i="3" s="1"/>
  <c r="AC123" i="3"/>
  <c r="AE123" i="3" s="1"/>
  <c r="AO123" i="3"/>
  <c r="CK123" i="3"/>
  <c r="CL123" i="3" s="1"/>
  <c r="CU123" i="3"/>
  <c r="CV123" i="3" s="1"/>
  <c r="AM124" i="3"/>
  <c r="AY124" i="3"/>
  <c r="DA124" i="3"/>
  <c r="DB124" i="3" s="1"/>
  <c r="O125" i="3"/>
  <c r="P125" i="3" s="1"/>
  <c r="DA125" i="3"/>
  <c r="DB125" i="3" s="1"/>
  <c r="X126" i="3"/>
  <c r="Y126" i="3" s="1"/>
  <c r="AH126" i="3"/>
  <c r="AT126" i="3"/>
  <c r="BU134" i="3"/>
  <c r="BV132" i="3"/>
  <c r="ET132" i="3"/>
  <c r="ET134" i="3" s="1"/>
  <c r="FG134" i="3"/>
  <c r="BJ134" i="3"/>
  <c r="BK133" i="3"/>
  <c r="BM133" i="3" s="1"/>
  <c r="CI134" i="3"/>
  <c r="CJ133" i="3"/>
  <c r="CK133" i="3" s="1"/>
  <c r="CL133" i="3" s="1"/>
  <c r="DV133" i="3"/>
  <c r="DR134" i="3"/>
  <c r="DV134" i="3" s="1"/>
  <c r="EK134" i="3"/>
  <c r="ES134" i="3"/>
  <c r="AB146" i="3"/>
  <c r="AL146" i="3"/>
  <c r="Z141" i="3"/>
  <c r="BB141" i="3"/>
  <c r="BL141" i="3"/>
  <c r="CU141" i="3"/>
  <c r="CV141" i="3" s="1"/>
  <c r="CG142" i="3"/>
  <c r="CH142" i="3" s="1"/>
  <c r="FN142" i="3"/>
  <c r="FO142" i="3" s="1"/>
  <c r="BQ144" i="3"/>
  <c r="BR144" i="3" s="1"/>
  <c r="CT144" i="3"/>
  <c r="CU144" i="3" s="1"/>
  <c r="CV144" i="3" s="1"/>
  <c r="EF144" i="3"/>
  <c r="U152" i="3"/>
  <c r="AV241" i="3"/>
  <c r="AV251" i="3" s="1"/>
  <c r="AD185" i="3"/>
  <c r="AM168" i="3"/>
  <c r="AM185" i="3"/>
  <c r="AU168" i="3"/>
  <c r="AU173" i="3" s="1"/>
  <c r="AU185" i="3"/>
  <c r="AZ181" i="3"/>
  <c r="AU180" i="3"/>
  <c r="AL187" i="3"/>
  <c r="AL174" i="3" s="1"/>
  <c r="AK205" i="3"/>
  <c r="Y254" i="3"/>
  <c r="AN223" i="3"/>
  <c r="CE303" i="3"/>
  <c r="BW313" i="3"/>
  <c r="BQ54" i="4"/>
  <c r="DG54" i="4" s="1"/>
  <c r="BV58" i="4"/>
  <c r="AD52" i="5"/>
  <c r="AD51" i="5"/>
  <c r="AD53" i="5"/>
  <c r="DX152" i="3"/>
  <c r="EM153" i="3"/>
  <c r="AI100" i="3"/>
  <c r="AJ93" i="3"/>
  <c r="Z114" i="3"/>
  <c r="BG115" i="3"/>
  <c r="BH115" i="3" s="1"/>
  <c r="BR115" i="3"/>
  <c r="BS115" i="3" s="1"/>
  <c r="CH115" i="3"/>
  <c r="N116" i="3"/>
  <c r="O116" i="3" s="1"/>
  <c r="CC117" i="3"/>
  <c r="AL118" i="3"/>
  <c r="AM118" i="3" s="1"/>
  <c r="BP118" i="3"/>
  <c r="BQ118" i="3" s="1"/>
  <c r="BR118" i="3" s="1"/>
  <c r="DV118" i="3"/>
  <c r="P121" i="3"/>
  <c r="DG121" i="3"/>
  <c r="CR122" i="3"/>
  <c r="AS123" i="3"/>
  <c r="AT123" i="3" s="1"/>
  <c r="DB123" i="3"/>
  <c r="BC124" i="3"/>
  <c r="BD124" i="3" s="1"/>
  <c r="CF124" i="3"/>
  <c r="CG124" i="3" s="1"/>
  <c r="CR124" i="3"/>
  <c r="BB125" i="3"/>
  <c r="BC125" i="3" s="1"/>
  <c r="CG125" i="3"/>
  <c r="CH125" i="3" s="1"/>
  <c r="CR125" i="3"/>
  <c r="AX126" i="3"/>
  <c r="AY126" i="3" s="1"/>
  <c r="CZ126" i="3"/>
  <c r="DA126" i="3" s="1"/>
  <c r="AE132" i="3"/>
  <c r="BM132" i="3"/>
  <c r="CC132" i="3"/>
  <c r="FH132" i="3"/>
  <c r="AK134" i="3"/>
  <c r="AM133" i="3"/>
  <c r="AN133" i="3" s="1"/>
  <c r="BS133" i="3"/>
  <c r="BO134" i="3"/>
  <c r="AC139" i="3"/>
  <c r="CV139" i="3"/>
  <c r="DG140" i="3"/>
  <c r="BS141" i="3"/>
  <c r="BX141" i="3"/>
  <c r="EL146" i="3"/>
  <c r="BB142" i="3"/>
  <c r="DE142" i="3"/>
  <c r="CZ143" i="3"/>
  <c r="DJ143" i="3"/>
  <c r="DJ146" i="3" s="1"/>
  <c r="BX144" i="3"/>
  <c r="CI146" i="3"/>
  <c r="CJ144" i="3"/>
  <c r="CJ146" i="3" s="1"/>
  <c r="EA144" i="3"/>
  <c r="AW241" i="3"/>
  <c r="AW251" i="3" s="1"/>
  <c r="AW167" i="3"/>
  <c r="AW173" i="3"/>
  <c r="AF185" i="3"/>
  <c r="AN185" i="3"/>
  <c r="AN187" i="3"/>
  <c r="AV185" i="3"/>
  <c r="AV180" i="3"/>
  <c r="AV187" i="3"/>
  <c r="AV174" i="3" s="1"/>
  <c r="AM187" i="3"/>
  <c r="AM174" i="3" s="1"/>
  <c r="BA190" i="3"/>
  <c r="BA165" i="3" s="1"/>
  <c r="BB191" i="3"/>
  <c r="AL205" i="3"/>
  <c r="AK208" i="3"/>
  <c r="AH213" i="3"/>
  <c r="AI216" i="3"/>
  <c r="AA218" i="3"/>
  <c r="AB255" i="3"/>
  <c r="AB242" i="3"/>
  <c r="AI255" i="3"/>
  <c r="AI242" i="3"/>
  <c r="AI253" i="3"/>
  <c r="BG308" i="3"/>
  <c r="BB308" i="3"/>
  <c r="BR54" i="4"/>
  <c r="DV144" i="3"/>
  <c r="CC153" i="3"/>
  <c r="AR168" i="3"/>
  <c r="BC197" i="3"/>
  <c r="AS223" i="3"/>
  <c r="AK227" i="3"/>
  <c r="BC234" i="3"/>
  <c r="AA242" i="3"/>
  <c r="AH242" i="3"/>
  <c r="BW315" i="3"/>
  <c r="AG17" i="4"/>
  <c r="AM17" i="4"/>
  <c r="AS17" i="4"/>
  <c r="BK97" i="4"/>
  <c r="BK98" i="4" s="1"/>
  <c r="BK23" i="4"/>
  <c r="BK27" i="4"/>
  <c r="BU63" i="4"/>
  <c r="BV62" i="4"/>
  <c r="BD54" i="5"/>
  <c r="BD30" i="5"/>
  <c r="BD72" i="5" s="1"/>
  <c r="BD8" i="5"/>
  <c r="BE11" i="5"/>
  <c r="DE11" i="5" s="1"/>
  <c r="AO11" i="5"/>
  <c r="AP21" i="5"/>
  <c r="BD88" i="3"/>
  <c r="CH88" i="3"/>
  <c r="AB133" i="3"/>
  <c r="BF133" i="3"/>
  <c r="W140" i="3"/>
  <c r="CE144" i="3"/>
  <c r="CE146" i="3" s="1"/>
  <c r="AH206" i="3"/>
  <c r="AH208" i="3" s="1"/>
  <c r="F11" i="4"/>
  <c r="L11" i="4"/>
  <c r="R11" i="4"/>
  <c r="X11" i="4"/>
  <c r="AD11" i="4"/>
  <c r="AJ11" i="4"/>
  <c r="AP11" i="4"/>
  <c r="AV11" i="4"/>
  <c r="BB11" i="4"/>
  <c r="BH11" i="4"/>
  <c r="BN11" i="4"/>
  <c r="BT11" i="4"/>
  <c r="BZ11" i="4"/>
  <c r="CF11" i="4"/>
  <c r="CL11" i="4"/>
  <c r="K12" i="4"/>
  <c r="AC12" i="4"/>
  <c r="AU12" i="4"/>
  <c r="BM12" i="4"/>
  <c r="CE12" i="4"/>
  <c r="AB18" i="4"/>
  <c r="AB16" i="4"/>
  <c r="CY15" i="4"/>
  <c r="AH18" i="4"/>
  <c r="AH16" i="4"/>
  <c r="AN18" i="4"/>
  <c r="AN16" i="4"/>
  <c r="AT18" i="4"/>
  <c r="AT16" i="4"/>
  <c r="DB15" i="4"/>
  <c r="BL22" i="4"/>
  <c r="BN26" i="4"/>
  <c r="G11" i="4"/>
  <c r="G12" i="4"/>
  <c r="M11" i="4"/>
  <c r="M12" i="4"/>
  <c r="S11" i="4"/>
  <c r="S12" i="4"/>
  <c r="Y11" i="4"/>
  <c r="Y12" i="4"/>
  <c r="AE11" i="4"/>
  <c r="AE12" i="4"/>
  <c r="AK11" i="4"/>
  <c r="AK12" i="4"/>
  <c r="AQ11" i="4"/>
  <c r="AQ12" i="4"/>
  <c r="AW11" i="4"/>
  <c r="AW12" i="4"/>
  <c r="BC11" i="4"/>
  <c r="BC12" i="4"/>
  <c r="BI11" i="4"/>
  <c r="BI12" i="4"/>
  <c r="BO11" i="4"/>
  <c r="BO12" i="4"/>
  <c r="BU11" i="4"/>
  <c r="BU12" i="4"/>
  <c r="CA11" i="4"/>
  <c r="CA12" i="4"/>
  <c r="CG11" i="4"/>
  <c r="CG12" i="4"/>
  <c r="CM11" i="4"/>
  <c r="CM12" i="4"/>
  <c r="H11" i="4"/>
  <c r="T11" i="4"/>
  <c r="AF11" i="4"/>
  <c r="AR11" i="4"/>
  <c r="BD11" i="4"/>
  <c r="BP11" i="4"/>
  <c r="CB11" i="4"/>
  <c r="CN11" i="4"/>
  <c r="AC18" i="4"/>
  <c r="AC16" i="4"/>
  <c r="AI18" i="4"/>
  <c r="AI16" i="4"/>
  <c r="AO18" i="4"/>
  <c r="AO16" i="4"/>
  <c r="AU18" i="4"/>
  <c r="AU16" i="4"/>
  <c r="DJ76" i="4"/>
  <c r="CC76" i="4"/>
  <c r="CG91" i="4"/>
  <c r="DG10" i="4"/>
  <c r="AD44" i="5"/>
  <c r="AE43" i="5"/>
  <c r="CX41" i="5"/>
  <c r="CX38" i="5" s="1"/>
  <c r="AA42" i="5"/>
  <c r="AJ44" i="5"/>
  <c r="AG43" i="5"/>
  <c r="AH44" i="5"/>
  <c r="CY41" i="5"/>
  <c r="AG44" i="5"/>
  <c r="AG42" i="5"/>
  <c r="AP44" i="5"/>
  <c r="AM43" i="5"/>
  <c r="DA41" i="5"/>
  <c r="AQ43" i="5"/>
  <c r="AN44" i="5"/>
  <c r="AM44" i="5"/>
  <c r="AV44" i="5"/>
  <c r="AS43" i="5"/>
  <c r="AT44" i="5"/>
  <c r="AS44" i="5"/>
  <c r="AS42" i="5"/>
  <c r="AW43" i="5"/>
  <c r="AY43" i="5"/>
  <c r="AY42" i="5"/>
  <c r="AA64" i="5"/>
  <c r="CX72" i="5"/>
  <c r="CY72" i="5"/>
  <c r="DA72" i="5"/>
  <c r="AL17" i="4"/>
  <c r="AX17" i="4"/>
  <c r="AE44" i="5"/>
  <c r="AB42" i="5"/>
  <c r="AK44" i="5"/>
  <c r="AH43" i="5"/>
  <c r="CZ41" i="5"/>
  <c r="AH42" i="5"/>
  <c r="AQ44" i="5"/>
  <c r="AN43" i="5"/>
  <c r="AW44" i="5"/>
  <c r="AT43" i="5"/>
  <c r="AT42" i="5"/>
  <c r="AZ43" i="5"/>
  <c r="AZ42" i="5"/>
  <c r="DC41" i="5"/>
  <c r="CY7" i="5"/>
  <c r="DE7" i="5"/>
  <c r="AN22" i="5"/>
  <c r="AN11" i="5"/>
  <c r="DD41" i="5"/>
  <c r="AK43" i="5"/>
  <c r="CU7" i="5"/>
  <c r="DA7" i="5"/>
  <c r="DG7" i="5"/>
  <c r="Z52" i="5"/>
  <c r="AF53" i="5"/>
  <c r="AG9" i="5"/>
  <c r="AL10" i="5"/>
  <c r="AL54" i="5"/>
  <c r="BF19" i="5"/>
  <c r="BC18" i="5"/>
  <c r="BB19" i="5"/>
  <c r="CT37" i="5"/>
  <c r="CZ37" i="5"/>
  <c r="DF37" i="5"/>
  <c r="CU37" i="5"/>
  <c r="DG37" i="5"/>
  <c r="AC69" i="5"/>
  <c r="AF44" i="5"/>
  <c r="AI42" i="5"/>
  <c r="AR44" i="5"/>
  <c r="AO43" i="5"/>
  <c r="AU42" i="5"/>
  <c r="BA43" i="5"/>
  <c r="AO42" i="5"/>
  <c r="AU43" i="5"/>
  <c r="AL44" i="5"/>
  <c r="AA49" i="5"/>
  <c r="AA27" i="5"/>
  <c r="AA69" i="5" s="1"/>
  <c r="AG49" i="5"/>
  <c r="AG27" i="5"/>
  <c r="CX8" i="5"/>
  <c r="AH9" i="5"/>
  <c r="BK17" i="5"/>
  <c r="BJ19" i="5"/>
  <c r="CV37" i="5"/>
  <c r="DH37" i="5"/>
  <c r="AF52" i="5"/>
  <c r="AB49" i="5"/>
  <c r="AB27" i="5"/>
  <c r="AH49" i="5"/>
  <c r="AL51" i="5" s="1"/>
  <c r="AH27" i="5"/>
  <c r="CZ8" i="5"/>
  <c r="AH10" i="5"/>
  <c r="AL9" i="5"/>
  <c r="AE10" i="5"/>
  <c r="BC54" i="5"/>
  <c r="BC30" i="5"/>
  <c r="BC72" i="5" s="1"/>
  <c r="BC8" i="5"/>
  <c r="AF27" i="5"/>
  <c r="AI43" i="5"/>
  <c r="AI53" i="5"/>
  <c r="AI52" i="5"/>
  <c r="BA53" i="5"/>
  <c r="BA52" i="5"/>
  <c r="CY8" i="5"/>
  <c r="AC9" i="5"/>
  <c r="AI9" i="5"/>
  <c r="CX37" i="5"/>
  <c r="DD37" i="5"/>
  <c r="BB40" i="5"/>
  <c r="BB41" i="5"/>
  <c r="CW46" i="5"/>
  <c r="CX48" i="5" s="1"/>
  <c r="DC46" i="5"/>
  <c r="DI46" i="5"/>
  <c r="AJ47" i="5"/>
  <c r="BT47" i="5"/>
  <c r="P48" i="5"/>
  <c r="AB48" i="5"/>
  <c r="AN48" i="5"/>
  <c r="AZ48" i="5"/>
  <c r="BL48" i="5"/>
  <c r="BB54" i="5"/>
  <c r="CV7" i="5"/>
  <c r="DB7" i="5"/>
  <c r="DH7" i="5"/>
  <c r="AJ52" i="5"/>
  <c r="AJ51" i="5"/>
  <c r="AJ53" i="5"/>
  <c r="AD9" i="5"/>
  <c r="AJ9" i="5"/>
  <c r="AI10" i="5"/>
  <c r="AM22" i="5"/>
  <c r="BB30" i="5"/>
  <c r="BB72" i="5" s="1"/>
  <c r="BC41" i="5"/>
  <c r="BD38" i="5"/>
  <c r="K48" i="5"/>
  <c r="Q48" i="5"/>
  <c r="W48" i="5"/>
  <c r="AU48" i="5"/>
  <c r="BA48" i="5"/>
  <c r="BG48" i="5"/>
  <c r="CR46" i="5"/>
  <c r="DD46" i="5"/>
  <c r="D47" i="5"/>
  <c r="P47" i="5"/>
  <c r="AF48" i="5"/>
  <c r="AR48" i="5"/>
  <c r="BD48" i="5"/>
  <c r="AC49" i="5"/>
  <c r="AD50" i="5" s="1"/>
  <c r="CY54" i="5"/>
  <c r="DI7" i="5"/>
  <c r="AJ10" i="5"/>
  <c r="AI27" i="5"/>
  <c r="BA27" i="5"/>
  <c r="BA69" i="5" s="1"/>
  <c r="AC44" i="5"/>
  <c r="AO44" i="5"/>
  <c r="BA44" i="5"/>
  <c r="F48" i="5"/>
  <c r="L48" i="5"/>
  <c r="R48" i="5"/>
  <c r="CV46" i="5"/>
  <c r="X48" i="5"/>
  <c r="AD48" i="5"/>
  <c r="AJ48" i="5"/>
  <c r="AP48" i="5"/>
  <c r="DB46" i="5"/>
  <c r="AV48" i="5"/>
  <c r="BB48" i="5"/>
  <c r="BH48" i="5"/>
  <c r="BN48" i="5"/>
  <c r="DH46" i="5"/>
  <c r="BT48" i="5"/>
  <c r="CS46" i="5"/>
  <c r="DE46" i="5"/>
  <c r="E47" i="5"/>
  <c r="Q47" i="5"/>
  <c r="AC47" i="5"/>
  <c r="AO47" i="5"/>
  <c r="BA47" i="5"/>
  <c r="BM47" i="5"/>
  <c r="I48" i="5"/>
  <c r="U48" i="5"/>
  <c r="AG48" i="5"/>
  <c r="AS48" i="5"/>
  <c r="BE48" i="5"/>
  <c r="BQ48" i="5"/>
  <c r="AD42" i="5"/>
  <c r="AJ42" i="5"/>
  <c r="AP42" i="5"/>
  <c r="AV42" i="5"/>
  <c r="AF43" i="5"/>
  <c r="AL43" i="5"/>
  <c r="AR43" i="5"/>
  <c r="AX43" i="5"/>
  <c r="AI44" i="5"/>
  <c r="AU44" i="5"/>
  <c r="CU46" i="5"/>
  <c r="DA46" i="5"/>
  <c r="DG46" i="5"/>
  <c r="G47" i="5"/>
  <c r="M47" i="5"/>
  <c r="S47" i="5"/>
  <c r="Y47" i="5"/>
  <c r="AE47" i="5"/>
  <c r="AK47" i="5"/>
  <c r="AQ47" i="5"/>
  <c r="AW47" i="5"/>
  <c r="BC47" i="5"/>
  <c r="BI47" i="5"/>
  <c r="BO47" i="5"/>
  <c r="BU47" i="5"/>
  <c r="CZ72" i="5"/>
  <c r="AE42" i="5"/>
  <c r="AK42" i="5"/>
  <c r="AW42" i="5"/>
  <c r="Z47" i="5"/>
  <c r="AF47" i="5"/>
  <c r="BJ47" i="5"/>
  <c r="BP47" i="5"/>
  <c r="AJ64" i="5"/>
  <c r="DB41" i="5"/>
  <c r="AF42" i="5"/>
  <c r="AL42" i="5"/>
  <c r="AX42" i="5"/>
  <c r="AG47" i="5"/>
  <c r="BQ47" i="5"/>
  <c r="G48" i="5"/>
  <c r="M48" i="5"/>
  <c r="S48" i="5"/>
  <c r="BC48" i="5"/>
  <c r="CZ54" i="5"/>
  <c r="AO73" i="5"/>
  <c r="CX54" i="5"/>
  <c r="G19" i="6"/>
  <c r="G8" i="6"/>
  <c r="H18" i="6"/>
  <c r="G18" i="6"/>
  <c r="M18" i="6"/>
  <c r="M19" i="6"/>
  <c r="M8" i="6"/>
  <c r="M14" i="6"/>
  <c r="N18" i="6"/>
  <c r="S19" i="6"/>
  <c r="S8" i="6"/>
  <c r="S18" i="6"/>
  <c r="S14" i="6"/>
  <c r="W19" i="6"/>
  <c r="Y19" i="6"/>
  <c r="Y8" i="6"/>
  <c r="Y14" i="6"/>
  <c r="Y18" i="6"/>
  <c r="AE18" i="6"/>
  <c r="AF18" i="6"/>
  <c r="AE8" i="6"/>
  <c r="AE19" i="6"/>
  <c r="AE14" i="6"/>
  <c r="AG17" i="6"/>
  <c r="AG14" i="6" s="1"/>
  <c r="AG7" i="6"/>
  <c r="BZ5" i="6"/>
  <c r="AH5" i="6"/>
  <c r="BX17" i="6"/>
  <c r="BX8" i="6" s="1"/>
  <c r="BY7" i="6"/>
  <c r="BT17" i="6"/>
  <c r="BT8" i="6" s="1"/>
  <c r="BT7" i="6"/>
  <c r="BZ11" i="6"/>
  <c r="AH11" i="6"/>
  <c r="AG13" i="6"/>
  <c r="BU17" i="6"/>
  <c r="BU8" i="6" s="1"/>
  <c r="BU7" i="6"/>
  <c r="BW13" i="6"/>
  <c r="Q19" i="6"/>
  <c r="BW14" i="6"/>
  <c r="BV17" i="6"/>
  <c r="BV14" i="6" s="1"/>
  <c r="BS8" i="6"/>
  <c r="L19" i="6"/>
  <c r="I18" i="6"/>
  <c r="N19" i="6"/>
  <c r="T18" i="6"/>
  <c r="T19" i="6"/>
  <c r="Z19" i="6"/>
  <c r="AF19" i="6"/>
  <c r="D18" i="6"/>
  <c r="O18" i="6"/>
  <c r="Z18" i="6"/>
  <c r="H19" i="6"/>
  <c r="AD19" i="6"/>
  <c r="Q18" i="6"/>
  <c r="J14" i="6"/>
  <c r="P14" i="6"/>
  <c r="P18" i="6"/>
  <c r="V19" i="6"/>
  <c r="V14" i="6"/>
  <c r="AB14" i="6"/>
  <c r="AB19" i="6"/>
  <c r="P19" i="6"/>
  <c r="E18" i="6"/>
  <c r="K19" i="6"/>
  <c r="W18" i="6"/>
  <c r="AC19" i="6"/>
  <c r="J18" i="6"/>
  <c r="F18" i="6"/>
  <c r="L18" i="6"/>
  <c r="R18" i="6"/>
  <c r="X18" i="6"/>
  <c r="AD18" i="6"/>
  <c r="R19" i="6"/>
  <c r="I19" i="6"/>
  <c r="O19" i="6"/>
  <c r="U19" i="6"/>
  <c r="AA19" i="6"/>
  <c r="AA18" i="6"/>
  <c r="BS70" i="2" l="1"/>
  <c r="EF28" i="3"/>
  <c r="DS32" i="3"/>
  <c r="CA38" i="2"/>
  <c r="AZ38" i="2"/>
  <c r="AH23" i="2"/>
  <c r="CW9" i="2"/>
  <c r="FN134" i="3"/>
  <c r="X180" i="3"/>
  <c r="BQ22" i="3"/>
  <c r="EQ141" i="3"/>
  <c r="O12" i="2"/>
  <c r="AY36" i="2"/>
  <c r="AB37" i="2"/>
  <c r="BT10" i="2"/>
  <c r="BD36" i="2"/>
  <c r="CO15" i="2"/>
  <c r="CO17" i="2" s="1"/>
  <c r="DZ30" i="2"/>
  <c r="EA32" i="2" s="1"/>
  <c r="W10" i="2"/>
  <c r="CJ15" i="2"/>
  <c r="EQ8" i="2"/>
  <c r="O13" i="2"/>
  <c r="BA32" i="2"/>
  <c r="AP173" i="3"/>
  <c r="AI15" i="2"/>
  <c r="AI18" i="2" s="1"/>
  <c r="BU38" i="2"/>
  <c r="CI37" i="2"/>
  <c r="BL36" i="2"/>
  <c r="V10" i="2"/>
  <c r="BN38" i="2"/>
  <c r="BQ9" i="2"/>
  <c r="BT38" i="2"/>
  <c r="CC36" i="2"/>
  <c r="E56" i="3"/>
  <c r="Z31" i="2"/>
  <c r="Y33" i="2"/>
  <c r="K14" i="2"/>
  <c r="BE31" i="2"/>
  <c r="CJ37" i="2"/>
  <c r="CR28" i="3"/>
  <c r="BU37" i="2"/>
  <c r="AT70" i="2"/>
  <c r="CE37" i="2"/>
  <c r="CS9" i="2"/>
  <c r="CP10" i="2"/>
  <c r="AD168" i="3"/>
  <c r="AD251" i="3" s="1"/>
  <c r="AD256" i="3" s="1"/>
  <c r="EC14" i="3"/>
  <c r="W56" i="3"/>
  <c r="DS14" i="3"/>
  <c r="EB23" i="3"/>
  <c r="AR38" i="2"/>
  <c r="BC13" i="2"/>
  <c r="BO9" i="2"/>
  <c r="DY30" i="2"/>
  <c r="DY33" i="2" s="1"/>
  <c r="AY15" i="2"/>
  <c r="AY19" i="2" s="1"/>
  <c r="CW37" i="2"/>
  <c r="BO38" i="2"/>
  <c r="Y32" i="2"/>
  <c r="BI10" i="2"/>
  <c r="CV37" i="2"/>
  <c r="CJ21" i="2"/>
  <c r="CJ24" i="2" s="1"/>
  <c r="AQ173" i="3"/>
  <c r="EB8" i="2"/>
  <c r="BN31" i="2"/>
  <c r="CI22" i="3"/>
  <c r="CI32" i="3" s="1"/>
  <c r="CF36" i="2"/>
  <c r="CU14" i="3"/>
  <c r="W32" i="3"/>
  <c r="AR37" i="2"/>
  <c r="BD12" i="2"/>
  <c r="BP37" i="2"/>
  <c r="CS38" i="2"/>
  <c r="Y31" i="2"/>
  <c r="BC15" i="2"/>
  <c r="CI38" i="2"/>
  <c r="BT37" i="2"/>
  <c r="AY31" i="2"/>
  <c r="CD37" i="2"/>
  <c r="EG11" i="2"/>
  <c r="EG14" i="2" s="1"/>
  <c r="W9" i="2"/>
  <c r="BP10" i="2"/>
  <c r="BL70" i="2"/>
  <c r="CP37" i="2"/>
  <c r="CM36" i="2"/>
  <c r="CV10" i="2"/>
  <c r="CB36" i="2"/>
  <c r="I9" i="2"/>
  <c r="AK71" i="2"/>
  <c r="BD38" i="2"/>
  <c r="BH37" i="2"/>
  <c r="AT15" i="2"/>
  <c r="AT18" i="2" s="1"/>
  <c r="CK9" i="2"/>
  <c r="BB27" i="5"/>
  <c r="FO132" i="3"/>
  <c r="AK14" i="3"/>
  <c r="DP96" i="3"/>
  <c r="DP106" i="3" s="1"/>
  <c r="BR36" i="2"/>
  <c r="AC31" i="2"/>
  <c r="CJ10" i="2"/>
  <c r="BC25" i="2"/>
  <c r="BC28" i="2" s="1"/>
  <c r="BT254" i="2"/>
  <c r="BX256" i="2" s="1"/>
  <c r="BD37" i="2"/>
  <c r="EQ35" i="2"/>
  <c r="EQ38" i="2" s="1"/>
  <c r="CE15" i="2"/>
  <c r="I15" i="2"/>
  <c r="J16" i="2" s="1"/>
  <c r="BM33" i="2"/>
  <c r="CQ37" i="2"/>
  <c r="CA36" i="2"/>
  <c r="BM32" i="2"/>
  <c r="AA12" i="2"/>
  <c r="CR9" i="2"/>
  <c r="BM7" i="2"/>
  <c r="X38" i="2"/>
  <c r="S22" i="2"/>
  <c r="AM10" i="2"/>
  <c r="BA36" i="2"/>
  <c r="S23" i="2"/>
  <c r="CK10" i="2"/>
  <c r="X36" i="2"/>
  <c r="BG10" i="2"/>
  <c r="EE32" i="3"/>
  <c r="EE37" i="3" s="1"/>
  <c r="AT9" i="2"/>
  <c r="CA37" i="2"/>
  <c r="CM15" i="2"/>
  <c r="CG9" i="2"/>
  <c r="CO10" i="2"/>
  <c r="AW21" i="2"/>
  <c r="AW24" i="2" s="1"/>
  <c r="AV252" i="3"/>
  <c r="AX86" i="3"/>
  <c r="AY86" i="3" s="1"/>
  <c r="EE56" i="3"/>
  <c r="EE107" i="3" s="1"/>
  <c r="AJ27" i="3"/>
  <c r="DM22" i="3"/>
  <c r="DM24" i="3" s="1"/>
  <c r="AZ36" i="2"/>
  <c r="AT10" i="2"/>
  <c r="CF9" i="2"/>
  <c r="CY37" i="2"/>
  <c r="CM37" i="2"/>
  <c r="BI32" i="2"/>
  <c r="AC32" i="2"/>
  <c r="CR10" i="2"/>
  <c r="BQ38" i="2"/>
  <c r="AG32" i="2"/>
  <c r="CQ10" i="2"/>
  <c r="AC21" i="2"/>
  <c r="AC24" i="2" s="1"/>
  <c r="CS15" i="2"/>
  <c r="CS19" i="2" s="1"/>
  <c r="AK209" i="3"/>
  <c r="EP35" i="2"/>
  <c r="X168" i="3"/>
  <c r="X167" i="3" s="1"/>
  <c r="O14" i="3"/>
  <c r="CQ9" i="2"/>
  <c r="CR15" i="2"/>
  <c r="CV17" i="2" s="1"/>
  <c r="CI13" i="2"/>
  <c r="AX10" i="2"/>
  <c r="BB9" i="5"/>
  <c r="EE15" i="3"/>
  <c r="AN36" i="2"/>
  <c r="CQ36" i="2"/>
  <c r="CN36" i="2"/>
  <c r="AQ37" i="2"/>
  <c r="BR10" i="3"/>
  <c r="BR71" i="3" s="1"/>
  <c r="CM21" i="2"/>
  <c r="CQ23" i="2" s="1"/>
  <c r="AC33" i="2"/>
  <c r="AJ9" i="2"/>
  <c r="AM37" i="2"/>
  <c r="AT37" i="2"/>
  <c r="BM31" i="2"/>
  <c r="DB28" i="3"/>
  <c r="E9" i="2"/>
  <c r="AA10" i="2"/>
  <c r="CZ48" i="5"/>
  <c r="AQ134" i="3"/>
  <c r="CZ15" i="3"/>
  <c r="I10" i="2"/>
  <c r="AP71" i="2"/>
  <c r="Y214" i="3"/>
  <c r="CO22" i="3"/>
  <c r="H10" i="2"/>
  <c r="CY146" i="3"/>
  <c r="AI71" i="2"/>
  <c r="DH23" i="3"/>
  <c r="BO21" i="2"/>
  <c r="BO24" i="2" s="1"/>
  <c r="AX9" i="2"/>
  <c r="CG38" i="2"/>
  <c r="CW28" i="3"/>
  <c r="S9" i="2"/>
  <c r="BK36" i="2"/>
  <c r="DB133" i="3"/>
  <c r="CM114" i="3"/>
  <c r="EP28" i="3"/>
  <c r="EC23" i="3"/>
  <c r="BA13" i="3"/>
  <c r="BA22" i="3" s="1"/>
  <c r="EM30" i="2"/>
  <c r="EM33" i="2" s="1"/>
  <c r="CE36" i="2"/>
  <c r="BR9" i="2"/>
  <c r="CJ36" i="2"/>
  <c r="BP71" i="2"/>
  <c r="AU37" i="2"/>
  <c r="V14" i="2"/>
  <c r="D15" i="2"/>
  <c r="D18" i="2" s="1"/>
  <c r="CS21" i="2"/>
  <c r="CD38" i="2"/>
  <c r="CG37" i="2"/>
  <c r="CG32" i="2"/>
  <c r="CX10" i="2"/>
  <c r="CL15" i="2"/>
  <c r="CL19" i="2" s="1"/>
  <c r="BX25" i="2"/>
  <c r="BM9" i="2"/>
  <c r="CC32" i="2"/>
  <c r="EN35" i="2"/>
  <c r="EN38" i="2" s="1"/>
  <c r="BG70" i="2"/>
  <c r="CE9" i="2"/>
  <c r="AN10" i="2"/>
  <c r="BC84" i="3"/>
  <c r="BD84" i="3" s="1"/>
  <c r="BL9" i="2"/>
  <c r="EN8" i="2"/>
  <c r="D9" i="2"/>
  <c r="AK70" i="2"/>
  <c r="BO37" i="2"/>
  <c r="BT36" i="2"/>
  <c r="BJ70" i="2"/>
  <c r="BZ134" i="3"/>
  <c r="EC32" i="3"/>
  <c r="EC37" i="3" s="1"/>
  <c r="EC44" i="3" s="1"/>
  <c r="BA71" i="3"/>
  <c r="AX15" i="2"/>
  <c r="V15" i="2"/>
  <c r="V18" i="2" s="1"/>
  <c r="F9" i="2"/>
  <c r="BF9" i="2"/>
  <c r="CT48" i="5"/>
  <c r="AD24" i="5"/>
  <c r="DL146" i="3"/>
  <c r="CZ134" i="3"/>
  <c r="BQ86" i="3"/>
  <c r="CS22" i="3"/>
  <c r="CS56" i="3" s="1"/>
  <c r="Y167" i="3"/>
  <c r="CD31" i="2"/>
  <c r="BS36" i="2"/>
  <c r="CD10" i="2"/>
  <c r="BR15" i="2"/>
  <c r="BV17" i="2" s="1"/>
  <c r="BB10" i="2"/>
  <c r="AJ71" i="2"/>
  <c r="CH36" i="2"/>
  <c r="BE15" i="2"/>
  <c r="C71" i="2"/>
  <c r="CC31" i="2"/>
  <c r="EK35" i="2"/>
  <c r="EK38" i="2" s="1"/>
  <c r="CG36" i="2"/>
  <c r="AE13" i="2"/>
  <c r="BZ15" i="2"/>
  <c r="AJ15" i="2"/>
  <c r="AK16" i="2" s="1"/>
  <c r="BK38" i="2"/>
  <c r="BS21" i="2"/>
  <c r="BS25" i="2" s="1"/>
  <c r="BS28" i="2" s="1"/>
  <c r="CD15" i="2"/>
  <c r="EN15" i="2" s="1"/>
  <c r="W12" i="2"/>
  <c r="EC24" i="3"/>
  <c r="BU10" i="2"/>
  <c r="AQ172" i="3"/>
  <c r="AQ171" i="3" s="1"/>
  <c r="BB71" i="2"/>
  <c r="AX36" i="2"/>
  <c r="CX9" i="2"/>
  <c r="V13" i="2"/>
  <c r="AA15" i="2"/>
  <c r="AE17" i="2" s="1"/>
  <c r="CD9" i="2"/>
  <c r="AJ10" i="2"/>
  <c r="CN37" i="2"/>
  <c r="AK9" i="2"/>
  <c r="Y218" i="3"/>
  <c r="CY134" i="3"/>
  <c r="EE14" i="3"/>
  <c r="EF13" i="3"/>
  <c r="EG15" i="3" s="1"/>
  <c r="BL31" i="2"/>
  <c r="Z74" i="3"/>
  <c r="AL70" i="2"/>
  <c r="AU36" i="2"/>
  <c r="BR10" i="2"/>
  <c r="AN9" i="2"/>
  <c r="BG15" i="2"/>
  <c r="BG40" i="2" s="1"/>
  <c r="AN70" i="2"/>
  <c r="BW37" i="2"/>
  <c r="BX22" i="2"/>
  <c r="F70" i="2"/>
  <c r="AH71" i="2"/>
  <c r="BE21" i="2"/>
  <c r="BE24" i="2" s="1"/>
  <c r="BX23" i="2"/>
  <c r="BW84" i="3"/>
  <c r="BW86" i="3" s="1"/>
  <c r="BX86" i="3" s="1"/>
  <c r="BZ9" i="2"/>
  <c r="CB23" i="2"/>
  <c r="BY8" i="6"/>
  <c r="BW19" i="6"/>
  <c r="BX14" i="6"/>
  <c r="BY19" i="6"/>
  <c r="AJ78" i="5"/>
  <c r="AJ83" i="5"/>
  <c r="CY48" i="5"/>
  <c r="BB50" i="5"/>
  <c r="AK65" i="5"/>
  <c r="AK29" i="5"/>
  <c r="AL69" i="5"/>
  <c r="AL66" i="5" s="1"/>
  <c r="AD69" i="5"/>
  <c r="AD60" i="5" s="1"/>
  <c r="BB52" i="5"/>
  <c r="AM10" i="5"/>
  <c r="AC64" i="5"/>
  <c r="AL80" i="5"/>
  <c r="AL81" i="5" s="1"/>
  <c r="AK51" i="5"/>
  <c r="AK50" i="5"/>
  <c r="AK24" i="5"/>
  <c r="AL25" i="5" s="1"/>
  <c r="AE53" i="5"/>
  <c r="AK52" i="5"/>
  <c r="BX35" i="5"/>
  <c r="BX37" i="5" s="1"/>
  <c r="AK53" i="5"/>
  <c r="DF48" i="5"/>
  <c r="AM27" i="5"/>
  <c r="AM28" i="5" s="1"/>
  <c r="AL28" i="5"/>
  <c r="AK64" i="5"/>
  <c r="AM49" i="5"/>
  <c r="AM51" i="5" s="1"/>
  <c r="DA11" i="5"/>
  <c r="DA21" i="5" s="1"/>
  <c r="AJ24" i="5"/>
  <c r="AJ14" i="5" s="1"/>
  <c r="AJ65" i="5"/>
  <c r="AE50" i="5"/>
  <c r="AE52" i="5"/>
  <c r="AI51" i="5"/>
  <c r="AD64" i="5"/>
  <c r="AK28" i="5"/>
  <c r="AJ28" i="5"/>
  <c r="AD29" i="5"/>
  <c r="AE28" i="5"/>
  <c r="CX49" i="5"/>
  <c r="CX52" i="5" s="1"/>
  <c r="AE69" i="5"/>
  <c r="AE71" i="5" s="1"/>
  <c r="AE29" i="5"/>
  <c r="Z24" i="5"/>
  <c r="CY27" i="5"/>
  <c r="CY17" i="5" s="1"/>
  <c r="CX27" i="5"/>
  <c r="CX17" i="5" s="1"/>
  <c r="CX20" i="5" s="1"/>
  <c r="Z69" i="5"/>
  <c r="Z60" i="5" s="1"/>
  <c r="AI50" i="5"/>
  <c r="BZ71" i="4"/>
  <c r="BZ72" i="4" s="1"/>
  <c r="CR12" i="4"/>
  <c r="CS12" i="4"/>
  <c r="BM31" i="4"/>
  <c r="BM36" i="4" s="1"/>
  <c r="BM37" i="4" s="1"/>
  <c r="BK34" i="4"/>
  <c r="CV12" i="4"/>
  <c r="DI72" i="4"/>
  <c r="DA12" i="4"/>
  <c r="CZ18" i="4"/>
  <c r="DM12" i="4"/>
  <c r="CX12" i="4"/>
  <c r="BK25" i="4"/>
  <c r="BY73" i="4"/>
  <c r="DH12" i="4"/>
  <c r="W15" i="2"/>
  <c r="W18" i="2" s="1"/>
  <c r="CL9" i="2"/>
  <c r="F10" i="2"/>
  <c r="EJ35" i="2"/>
  <c r="EJ38" i="2" s="1"/>
  <c r="BG9" i="2"/>
  <c r="DT8" i="2"/>
  <c r="M7" i="2"/>
  <c r="CR22" i="2"/>
  <c r="CO21" i="2"/>
  <c r="CO22" i="2" s="1"/>
  <c r="EF35" i="2"/>
  <c r="EF38" i="2" s="1"/>
  <c r="CC37" i="2"/>
  <c r="BK10" i="2"/>
  <c r="EP8" i="2"/>
  <c r="EQ10" i="2" s="1"/>
  <c r="AS36" i="2"/>
  <c r="CU23" i="2"/>
  <c r="BQ36" i="2"/>
  <c r="BY21" i="2"/>
  <c r="BZ22" i="2" s="1"/>
  <c r="CJ13" i="3"/>
  <c r="CJ15" i="3" s="1"/>
  <c r="DT24" i="3"/>
  <c r="EH8" i="2"/>
  <c r="EG8" i="2"/>
  <c r="BJ38" i="2"/>
  <c r="BL33" i="2"/>
  <c r="BL40" i="2"/>
  <c r="BL44" i="2" s="1"/>
  <c r="CM9" i="2"/>
  <c r="DQ28" i="3"/>
  <c r="Y133" i="3"/>
  <c r="Z133" i="3" s="1"/>
  <c r="DB134" i="3"/>
  <c r="AP167" i="3"/>
  <c r="DK32" i="3"/>
  <c r="DK37" i="3" s="1"/>
  <c r="DK54" i="3" s="1"/>
  <c r="W14" i="2"/>
  <c r="BP36" i="2"/>
  <c r="EK28" i="3"/>
  <c r="AN104" i="3"/>
  <c r="AO104" i="3" s="1"/>
  <c r="CT15" i="3"/>
  <c r="EB14" i="3"/>
  <c r="DK23" i="3"/>
  <c r="CP36" i="2"/>
  <c r="DA15" i="3"/>
  <c r="AS70" i="2"/>
  <c r="EM35" i="2"/>
  <c r="CZ22" i="3"/>
  <c r="CZ56" i="3" s="1"/>
  <c r="CA314" i="3"/>
  <c r="AQ14" i="3"/>
  <c r="EE35" i="2"/>
  <c r="EE38" i="2" s="1"/>
  <c r="BD71" i="2"/>
  <c r="AQ71" i="2"/>
  <c r="AW38" i="2"/>
  <c r="S13" i="2"/>
  <c r="AQ9" i="2"/>
  <c r="DH32" i="3"/>
  <c r="DH35" i="3" s="1"/>
  <c r="DH41" i="3" s="1"/>
  <c r="AU38" i="2"/>
  <c r="AR36" i="2"/>
  <c r="AA13" i="2"/>
  <c r="CO38" i="2"/>
  <c r="AY38" i="2"/>
  <c r="I38" i="2"/>
  <c r="BP21" i="2"/>
  <c r="BP25" i="2" s="1"/>
  <c r="BP28" i="2" s="1"/>
  <c r="EN11" i="2"/>
  <c r="EN14" i="2" s="1"/>
  <c r="CW10" i="2"/>
  <c r="AM70" i="2"/>
  <c r="BI14" i="2"/>
  <c r="AT21" i="2"/>
  <c r="AT25" i="2" s="1"/>
  <c r="AT28" i="2" s="1"/>
  <c r="CS10" i="2"/>
  <c r="BL21" i="2"/>
  <c r="BL25" i="2" s="1"/>
  <c r="B71" i="2"/>
  <c r="E15" i="2"/>
  <c r="E18" i="2" s="1"/>
  <c r="I24" i="2"/>
  <c r="I6" i="2"/>
  <c r="BJ36" i="2"/>
  <c r="BJ21" i="2"/>
  <c r="BJ25" i="2" s="1"/>
  <c r="BJ27" i="2" s="1"/>
  <c r="CG132" i="3"/>
  <c r="CH132" i="3" s="1"/>
  <c r="BH71" i="2"/>
  <c r="DS15" i="3"/>
  <c r="J10" i="2"/>
  <c r="BF70" i="2"/>
  <c r="BI7" i="2"/>
  <c r="CO36" i="2"/>
  <c r="CJ71" i="3"/>
  <c r="CU15" i="3"/>
  <c r="CT14" i="3"/>
  <c r="BJ6" i="2"/>
  <c r="EI22" i="3"/>
  <c r="EI56" i="3" s="1"/>
  <c r="EI107" i="3" s="1"/>
  <c r="AQ15" i="3"/>
  <c r="BC9" i="2"/>
  <c r="J6" i="2"/>
  <c r="EL35" i="2"/>
  <c r="EP141" i="3"/>
  <c r="CY22" i="3"/>
  <c r="CY23" i="3" s="1"/>
  <c r="CM10" i="3"/>
  <c r="CD36" i="2"/>
  <c r="BY36" i="2"/>
  <c r="CF12" i="2"/>
  <c r="BF10" i="2"/>
  <c r="AQ22" i="3"/>
  <c r="AQ24" i="3" s="1"/>
  <c r="BU70" i="2"/>
  <c r="BA37" i="2"/>
  <c r="F15" i="2"/>
  <c r="F18" i="2" s="1"/>
  <c r="BC37" i="2"/>
  <c r="BY23" i="2"/>
  <c r="BP32" i="2"/>
  <c r="BV9" i="2"/>
  <c r="BS37" i="2"/>
  <c r="EG30" i="2"/>
  <c r="EG33" i="2" s="1"/>
  <c r="CE14" i="2"/>
  <c r="BE70" i="2"/>
  <c r="BU15" i="2"/>
  <c r="BU17" i="2" s="1"/>
  <c r="AQ10" i="2"/>
  <c r="I33" i="2"/>
  <c r="E70" i="2"/>
  <c r="AU21" i="2"/>
  <c r="AU24" i="2" s="1"/>
  <c r="AR9" i="2"/>
  <c r="AB23" i="2"/>
  <c r="AR10" i="2"/>
  <c r="BY38" i="2"/>
  <c r="CC21" i="2"/>
  <c r="CG23" i="2" s="1"/>
  <c r="DK14" i="3"/>
  <c r="AT142" i="3"/>
  <c r="DY15" i="3"/>
  <c r="AN210" i="3"/>
  <c r="AN209" i="3" s="1"/>
  <c r="DS23" i="3"/>
  <c r="BG71" i="2"/>
  <c r="BC71" i="2"/>
  <c r="BI38" i="2"/>
  <c r="BY37" i="2"/>
  <c r="X23" i="2"/>
  <c r="AN132" i="3"/>
  <c r="AN134" i="3" s="1"/>
  <c r="BJ37" i="2"/>
  <c r="AP150" i="3"/>
  <c r="BX10" i="3"/>
  <c r="DM15" i="3"/>
  <c r="W134" i="3"/>
  <c r="AS174" i="3"/>
  <c r="DV13" i="3"/>
  <c r="DV14" i="3" s="1"/>
  <c r="BF31" i="2"/>
  <c r="BN37" i="2"/>
  <c r="AX37" i="2"/>
  <c r="ED8" i="2"/>
  <c r="AM9" i="2"/>
  <c r="BU13" i="3"/>
  <c r="BU15" i="3" s="1"/>
  <c r="CS37" i="2"/>
  <c r="BI33" i="2"/>
  <c r="BE32" i="2"/>
  <c r="X22" i="2"/>
  <c r="AY37" i="2"/>
  <c r="AA15" i="3"/>
  <c r="BE36" i="2"/>
  <c r="DT32" i="3"/>
  <c r="DT35" i="3" s="1"/>
  <c r="DT41" i="3" s="1"/>
  <c r="BV70" i="2"/>
  <c r="AB251" i="3"/>
  <c r="AB256" i="3" s="1"/>
  <c r="DY22" i="3"/>
  <c r="DY23" i="3" s="1"/>
  <c r="BW22" i="3"/>
  <c r="BW23" i="3" s="1"/>
  <c r="BS71" i="2"/>
  <c r="BX10" i="2"/>
  <c r="AT36" i="2"/>
  <c r="BI70" i="2"/>
  <c r="BT9" i="2"/>
  <c r="BM70" i="2"/>
  <c r="BU9" i="2"/>
  <c r="BH15" i="2"/>
  <c r="BH17" i="2" s="1"/>
  <c r="AS37" i="2"/>
  <c r="CV40" i="2"/>
  <c r="CV43" i="2" s="1"/>
  <c r="BH70" i="2"/>
  <c r="BE37" i="2"/>
  <c r="EI8" i="2"/>
  <c r="CV21" i="2"/>
  <c r="CV25" i="2" s="1"/>
  <c r="CV28" i="2" s="1"/>
  <c r="BQ71" i="2"/>
  <c r="BV21" i="2"/>
  <c r="BV25" i="2" s="1"/>
  <c r="BZ27" i="2" s="1"/>
  <c r="CM133" i="3"/>
  <c r="BI146" i="3"/>
  <c r="CK88" i="3"/>
  <c r="CK93" i="3" s="1"/>
  <c r="BS124" i="3"/>
  <c r="BX84" i="3"/>
  <c r="BL10" i="2"/>
  <c r="CV36" i="2"/>
  <c r="AY13" i="2"/>
  <c r="BN10" i="2"/>
  <c r="R10" i="2"/>
  <c r="BT15" i="2"/>
  <c r="BT19" i="2" s="1"/>
  <c r="ED35" i="2"/>
  <c r="ED37" i="2" s="1"/>
  <c r="BK9" i="2"/>
  <c r="BJ9" i="2"/>
  <c r="AS38" i="2"/>
  <c r="BY9" i="2"/>
  <c r="N15" i="2"/>
  <c r="N40" i="2" s="1"/>
  <c r="N43" i="2" s="1"/>
  <c r="BW36" i="2"/>
  <c r="CI93" i="3"/>
  <c r="AA22" i="3"/>
  <c r="AA32" i="3" s="1"/>
  <c r="AA14" i="3"/>
  <c r="BW71" i="2"/>
  <c r="BV36" i="2"/>
  <c r="BR71" i="2"/>
  <c r="BI71" i="2"/>
  <c r="AW37" i="2"/>
  <c r="BE71" i="2"/>
  <c r="BI37" i="2"/>
  <c r="BJ10" i="2"/>
  <c r="BJ15" i="2"/>
  <c r="BJ16" i="2" s="1"/>
  <c r="BY15" i="2"/>
  <c r="BY40" i="2" s="1"/>
  <c r="AU14" i="2"/>
  <c r="EJ8" i="2"/>
  <c r="EJ10" i="2" s="1"/>
  <c r="BY10" i="2"/>
  <c r="BY82" i="3"/>
  <c r="BY84" i="3" s="1"/>
  <c r="BY86" i="3" s="1"/>
  <c r="AA172" i="3"/>
  <c r="AA171" i="3" s="1"/>
  <c r="AX114" i="3"/>
  <c r="AX11" i="3" s="1"/>
  <c r="BF71" i="2"/>
  <c r="CW36" i="2"/>
  <c r="BT70" i="2"/>
  <c r="BH9" i="2"/>
  <c r="BV38" i="2"/>
  <c r="EK8" i="2"/>
  <c r="BK70" i="2"/>
  <c r="BZ37" i="2"/>
  <c r="CB134" i="3"/>
  <c r="BF36" i="2"/>
  <c r="BH10" i="2"/>
  <c r="DT15" i="3"/>
  <c r="AQ15" i="2"/>
  <c r="AQ19" i="2" s="1"/>
  <c r="AW133" i="3"/>
  <c r="AX133" i="3" s="1"/>
  <c r="AY133" i="3" s="1"/>
  <c r="CK36" i="2"/>
  <c r="BJ71" i="2"/>
  <c r="CU40" i="2"/>
  <c r="CU44" i="2" s="1"/>
  <c r="CU19" i="2"/>
  <c r="BC114" i="3"/>
  <c r="BC11" i="3" s="1"/>
  <c r="BC10" i="3" s="1"/>
  <c r="EZ64" i="3"/>
  <c r="CC126" i="3"/>
  <c r="BW14" i="3"/>
  <c r="AQ12" i="2"/>
  <c r="CV9" i="2"/>
  <c r="BO71" i="2"/>
  <c r="BL71" i="2"/>
  <c r="BF6" i="2"/>
  <c r="AQ13" i="2"/>
  <c r="AX31" i="2"/>
  <c r="O15" i="3"/>
  <c r="E24" i="3"/>
  <c r="BR70" i="2"/>
  <c r="BQ70" i="2"/>
  <c r="CE25" i="2"/>
  <c r="CE28" i="2" s="1"/>
  <c r="CL36" i="2"/>
  <c r="AE27" i="3"/>
  <c r="DV146" i="3"/>
  <c r="BY34" i="3"/>
  <c r="CC34" i="3" s="1"/>
  <c r="BD82" i="3"/>
  <c r="BW15" i="3"/>
  <c r="BF38" i="2"/>
  <c r="BF33" i="2"/>
  <c r="BO70" i="2"/>
  <c r="BN9" i="2"/>
  <c r="BF7" i="2"/>
  <c r="ED11" i="2"/>
  <c r="ED14" i="2" s="1"/>
  <c r="E23" i="3"/>
  <c r="CK37" i="2"/>
  <c r="BI6" i="2"/>
  <c r="BH24" i="2"/>
  <c r="CI23" i="2"/>
  <c r="AU13" i="2"/>
  <c r="FO134" i="3"/>
  <c r="DQ134" i="3"/>
  <c r="X218" i="3"/>
  <c r="X172" i="3" s="1"/>
  <c r="CD82" i="3"/>
  <c r="CE82" i="3" s="1"/>
  <c r="BM71" i="2"/>
  <c r="BF14" i="2"/>
  <c r="EH5" i="2"/>
  <c r="EH7" i="2" s="1"/>
  <c r="BM15" i="2"/>
  <c r="BM18" i="2" s="1"/>
  <c r="BN70" i="2"/>
  <c r="AX33" i="2"/>
  <c r="D23" i="3"/>
  <c r="BH14" i="2"/>
  <c r="BK71" i="2"/>
  <c r="ER8" i="2"/>
  <c r="ER10" i="2" s="1"/>
  <c r="BF15" i="2"/>
  <c r="BF19" i="2" s="1"/>
  <c r="CU10" i="2"/>
  <c r="BQ10" i="2"/>
  <c r="AI22" i="2"/>
  <c r="BK146" i="3"/>
  <c r="BI114" i="3"/>
  <c r="CM126" i="3"/>
  <c r="X254" i="3"/>
  <c r="CB84" i="3"/>
  <c r="CB86" i="3" s="1"/>
  <c r="CC86" i="3" s="1"/>
  <c r="CC42" i="3"/>
  <c r="BP70" i="2"/>
  <c r="BP9" i="2"/>
  <c r="BH7" i="2"/>
  <c r="BG6" i="2"/>
  <c r="AO11" i="2"/>
  <c r="AS13" i="2" s="1"/>
  <c r="BN71" i="2"/>
  <c r="DV28" i="3"/>
  <c r="EO35" i="2"/>
  <c r="EP37" i="2" s="1"/>
  <c r="AX32" i="2"/>
  <c r="AX21" i="2"/>
  <c r="BO15" i="2"/>
  <c r="BO19" i="2" s="1"/>
  <c r="D32" i="3"/>
  <c r="D35" i="3" s="1"/>
  <c r="BH33" i="2"/>
  <c r="CO37" i="2"/>
  <c r="AQ14" i="2"/>
  <c r="CU9" i="2"/>
  <c r="CK21" i="2"/>
  <c r="CK24" i="2" s="1"/>
  <c r="BO10" i="2"/>
  <c r="BU88" i="3"/>
  <c r="BU93" i="3" s="1"/>
  <c r="DG126" i="3"/>
  <c r="CW123" i="3"/>
  <c r="DB144" i="3"/>
  <c r="AH146" i="3"/>
  <c r="AI146" i="3"/>
  <c r="CY15" i="3"/>
  <c r="EA28" i="3"/>
  <c r="EF30" i="2"/>
  <c r="EF32" i="2" s="1"/>
  <c r="BF28" i="2"/>
  <c r="EL22" i="3"/>
  <c r="EL14" i="3"/>
  <c r="AG71" i="3"/>
  <c r="AG13" i="3"/>
  <c r="K8" i="2"/>
  <c r="AI114" i="3"/>
  <c r="AI10" i="3"/>
  <c r="M11" i="2"/>
  <c r="CT146" i="3"/>
  <c r="AO133" i="3"/>
  <c r="Z123" i="3"/>
  <c r="BN142" i="3"/>
  <c r="AX132" i="3"/>
  <c r="AY132" i="3" s="1"/>
  <c r="DL134" i="3"/>
  <c r="AE140" i="3"/>
  <c r="BX126" i="3"/>
  <c r="BJ32" i="2"/>
  <c r="CX37" i="2"/>
  <c r="CM118" i="3"/>
  <c r="AD208" i="3"/>
  <c r="AD172" i="3" s="1"/>
  <c r="AF206" i="3"/>
  <c r="Y104" i="3"/>
  <c r="Z104" i="3" s="1"/>
  <c r="Z100" i="3"/>
  <c r="AS144" i="3"/>
  <c r="AT144" i="3" s="1"/>
  <c r="EC15" i="3"/>
  <c r="AN140" i="3"/>
  <c r="AN146" i="3" s="1"/>
  <c r="AO146" i="3" s="1"/>
  <c r="DV142" i="3"/>
  <c r="Z116" i="3"/>
  <c r="BD123" i="3"/>
  <c r="DB114" i="3"/>
  <c r="AH114" i="3"/>
  <c r="L11" i="2"/>
  <c r="P13" i="2" s="1"/>
  <c r="AH10" i="3"/>
  <c r="P100" i="3"/>
  <c r="O104" i="3"/>
  <c r="P104" i="3" s="1"/>
  <c r="BM134" i="3"/>
  <c r="CH124" i="3"/>
  <c r="AJ122" i="3"/>
  <c r="AW247" i="3"/>
  <c r="AG172" i="3"/>
  <c r="AG245" i="3" s="1"/>
  <c r="AR146" i="3"/>
  <c r="BK14" i="3"/>
  <c r="X15" i="3"/>
  <c r="AD24" i="2"/>
  <c r="J23" i="2"/>
  <c r="CT21" i="2"/>
  <c r="CT22" i="2" s="1"/>
  <c r="AA167" i="3"/>
  <c r="AA251" i="3"/>
  <c r="AA256" i="3" s="1"/>
  <c r="AQ167" i="3"/>
  <c r="AQ241" i="3"/>
  <c r="CA114" i="3"/>
  <c r="AV11" i="2"/>
  <c r="CA10" i="3"/>
  <c r="FA72" i="3"/>
  <c r="FB72" i="3" s="1"/>
  <c r="FC72" i="3" s="1"/>
  <c r="FD72" i="3" s="1"/>
  <c r="EZ72" i="3"/>
  <c r="BF88" i="3"/>
  <c r="BF93" i="3" s="1"/>
  <c r="BE93" i="3"/>
  <c r="CC122" i="3"/>
  <c r="CW115" i="3"/>
  <c r="AI86" i="3"/>
  <c r="AJ86" i="3" s="1"/>
  <c r="FE133" i="3"/>
  <c r="BK15" i="3"/>
  <c r="CT36" i="2"/>
  <c r="AH22" i="2"/>
  <c r="DE144" i="3"/>
  <c r="DF144" i="3" s="1"/>
  <c r="BB133" i="3"/>
  <c r="AN121" i="3"/>
  <c r="AO121" i="3" s="1"/>
  <c r="AP82" i="3"/>
  <c r="AP84" i="3" s="1"/>
  <c r="AP86" i="3" s="1"/>
  <c r="AO82" i="3"/>
  <c r="BK134" i="3"/>
  <c r="AN118" i="3"/>
  <c r="AO118" i="3" s="1"/>
  <c r="AK172" i="3"/>
  <c r="AK171" i="3" s="1"/>
  <c r="CC115" i="3"/>
  <c r="AI133" i="3"/>
  <c r="AI134" i="3" s="1"/>
  <c r="Y172" i="3"/>
  <c r="Y171" i="3" s="1"/>
  <c r="AJ140" i="3"/>
  <c r="CO134" i="3"/>
  <c r="CH123" i="3"/>
  <c r="BN42" i="3"/>
  <c r="AJ141" i="3"/>
  <c r="BN32" i="2"/>
  <c r="CU36" i="2"/>
  <c r="CT38" i="2"/>
  <c r="BK31" i="2"/>
  <c r="BJ31" i="2"/>
  <c r="ER35" i="2"/>
  <c r="DD146" i="3"/>
  <c r="AB11" i="2"/>
  <c r="BB10" i="3"/>
  <c r="CC11" i="3"/>
  <c r="BZ71" i="3"/>
  <c r="BZ13" i="3"/>
  <c r="BZ15" i="3" s="1"/>
  <c r="AU8" i="2"/>
  <c r="DU14" i="3"/>
  <c r="DU15" i="3"/>
  <c r="CV146" i="3"/>
  <c r="DF132" i="3"/>
  <c r="DF134" i="3" s="1"/>
  <c r="DG134" i="3" s="1"/>
  <c r="BN132" i="3"/>
  <c r="CM122" i="3"/>
  <c r="BI115" i="3"/>
  <c r="BS144" i="3"/>
  <c r="CM123" i="3"/>
  <c r="CJ134" i="3"/>
  <c r="CM42" i="3"/>
  <c r="DB42" i="3"/>
  <c r="X22" i="3"/>
  <c r="X56" i="3" s="1"/>
  <c r="AS133" i="3"/>
  <c r="AT133" i="3" s="1"/>
  <c r="CO146" i="3"/>
  <c r="CP19" i="2"/>
  <c r="EI30" i="2"/>
  <c r="EI32" i="2" s="1"/>
  <c r="EZ134" i="3"/>
  <c r="U124" i="3"/>
  <c r="DM74" i="3"/>
  <c r="DN63" i="3"/>
  <c r="P117" i="3"/>
  <c r="Y22" i="3"/>
  <c r="Y14" i="3"/>
  <c r="Y15" i="3"/>
  <c r="R71" i="3"/>
  <c r="R13" i="3"/>
  <c r="S15" i="3" s="1"/>
  <c r="CW149" i="2"/>
  <c r="BR24" i="2"/>
  <c r="CW25" i="2"/>
  <c r="CW28" i="2" s="1"/>
  <c r="CN18" i="2"/>
  <c r="BR25" i="2"/>
  <c r="BR28" i="2" s="1"/>
  <c r="AS25" i="2"/>
  <c r="AS28" i="2" s="1"/>
  <c r="BW25" i="2"/>
  <c r="BX26" i="2" s="1"/>
  <c r="AQ22" i="2"/>
  <c r="CW24" i="2"/>
  <c r="CQ22" i="2"/>
  <c r="CN17" i="2"/>
  <c r="AE40" i="2"/>
  <c r="AW25" i="2"/>
  <c r="AW28" i="2" s="1"/>
  <c r="G23" i="2"/>
  <c r="R24" i="2"/>
  <c r="Q23" i="2"/>
  <c r="Y22" i="2"/>
  <c r="DX33" i="2"/>
  <c r="AJ22" i="2"/>
  <c r="AL22" i="2"/>
  <c r="G24" i="2"/>
  <c r="AE22" i="2"/>
  <c r="G22" i="2"/>
  <c r="K23" i="2"/>
  <c r="AQ24" i="2"/>
  <c r="F22" i="2"/>
  <c r="CU24" i="2"/>
  <c r="M23" i="2"/>
  <c r="EB21" i="2"/>
  <c r="EB24" i="2" s="1"/>
  <c r="BL18" i="2"/>
  <c r="BN25" i="2"/>
  <c r="BA24" i="2"/>
  <c r="EP38" i="2"/>
  <c r="AL23" i="2"/>
  <c r="CF22" i="2"/>
  <c r="AZ22" i="2"/>
  <c r="AK22" i="2"/>
  <c r="CL25" i="2"/>
  <c r="CL28" i="2" s="1"/>
  <c r="AK23" i="2"/>
  <c r="AB24" i="2"/>
  <c r="BR23" i="2"/>
  <c r="CP23" i="2"/>
  <c r="CP24" i="2"/>
  <c r="CP40" i="2"/>
  <c r="AZ24" i="2"/>
  <c r="CL177" i="2"/>
  <c r="BT270" i="2"/>
  <c r="CU17" i="2"/>
  <c r="AE24" i="2"/>
  <c r="AL25" i="2"/>
  <c r="AL28" i="2" s="1"/>
  <c r="D22" i="2"/>
  <c r="CU25" i="2"/>
  <c r="BA25" i="2"/>
  <c r="BA28" i="2" s="1"/>
  <c r="BR254" i="2"/>
  <c r="BR245" i="2" s="1"/>
  <c r="DU21" i="2"/>
  <c r="DU24" i="2" s="1"/>
  <c r="BT25" i="2"/>
  <c r="BT28" i="2" s="1"/>
  <c r="CA271" i="2"/>
  <c r="CO177" i="2"/>
  <c r="BA22" i="2"/>
  <c r="CH25" i="2"/>
  <c r="CU18" i="2"/>
  <c r="CL179" i="2"/>
  <c r="BT247" i="2"/>
  <c r="BR150" i="2"/>
  <c r="CP25" i="2"/>
  <c r="CP28" i="2" s="1"/>
  <c r="EH101" i="2"/>
  <c r="BF24" i="2"/>
  <c r="Y23" i="2"/>
  <c r="CO174" i="2"/>
  <c r="CF24" i="2"/>
  <c r="BB86" i="2"/>
  <c r="CB25" i="2"/>
  <c r="CB27" i="2" s="1"/>
  <c r="BB82" i="2"/>
  <c r="AW40" i="2"/>
  <c r="AW44" i="2" s="1"/>
  <c r="BW149" i="2"/>
  <c r="AG24" i="2"/>
  <c r="AB22" i="2"/>
  <c r="DZ37" i="2"/>
  <c r="CN40" i="2"/>
  <c r="CN44" i="2" s="1"/>
  <c r="CN47" i="2" s="1"/>
  <c r="CN25" i="2"/>
  <c r="I23" i="2"/>
  <c r="P22" i="2"/>
  <c r="BU71" i="2"/>
  <c r="DY37" i="2"/>
  <c r="CB22" i="2"/>
  <c r="CL174" i="2"/>
  <c r="ED32" i="2"/>
  <c r="U22" i="2"/>
  <c r="BL19" i="2"/>
  <c r="AQ40" i="2"/>
  <c r="AQ44" i="2" s="1"/>
  <c r="AQ47" i="2" s="1"/>
  <c r="V22" i="2"/>
  <c r="AP23" i="2"/>
  <c r="CM82" i="2"/>
  <c r="AV24" i="2"/>
  <c r="O24" i="2"/>
  <c r="BI120" i="2"/>
  <c r="CV90" i="2"/>
  <c r="AP24" i="2"/>
  <c r="Q22" i="2"/>
  <c r="CM197" i="2"/>
  <c r="BD24" i="2"/>
  <c r="BD22" i="2"/>
  <c r="CH23" i="2"/>
  <c r="CQ90" i="2"/>
  <c r="CP90" i="2"/>
  <c r="BW248" i="2"/>
  <c r="CD90" i="2"/>
  <c r="BD23" i="2"/>
  <c r="AP25" i="2"/>
  <c r="AQ26" i="2" s="1"/>
  <c r="BC23" i="2"/>
  <c r="BI25" i="2"/>
  <c r="BD25" i="2"/>
  <c r="BD27" i="2" s="1"/>
  <c r="BS254" i="2"/>
  <c r="BS249" i="2" s="1"/>
  <c r="CL106" i="2"/>
  <c r="BX40" i="2"/>
  <c r="BX44" i="2" s="1"/>
  <c r="J40" i="2"/>
  <c r="BM121" i="2"/>
  <c r="AQ23" i="2"/>
  <c r="CA102" i="2"/>
  <c r="EP150" i="2"/>
  <c r="CL23" i="2"/>
  <c r="BI24" i="2"/>
  <c r="BX19" i="2"/>
  <c r="CV18" i="2"/>
  <c r="CS94" i="2"/>
  <c r="BB90" i="2"/>
  <c r="CB90" i="2"/>
  <c r="BN98" i="2"/>
  <c r="BL149" i="2"/>
  <c r="P23" i="2"/>
  <c r="T23" i="2"/>
  <c r="EK14" i="2"/>
  <c r="EK246" i="2"/>
  <c r="BS248" i="2"/>
  <c r="CS18" i="2"/>
  <c r="AY25" i="2"/>
  <c r="EN33" i="2"/>
  <c r="CS98" i="2"/>
  <c r="CY32" i="2"/>
  <c r="CW18" i="4"/>
  <c r="CA272" i="2"/>
  <c r="CC15" i="2"/>
  <c r="DX21" i="2"/>
  <c r="DX24" i="2" s="1"/>
  <c r="AN18" i="2"/>
  <c r="AK40" i="2"/>
  <c r="AK43" i="2" s="1"/>
  <c r="BS247" i="2"/>
  <c r="CL178" i="2"/>
  <c r="CL173" i="2"/>
  <c r="BB246" i="2"/>
  <c r="BB248" i="2" s="1"/>
  <c r="BT271" i="2"/>
  <c r="ER19" i="3"/>
  <c r="EB32" i="2"/>
  <c r="V40" i="2"/>
  <c r="V43" i="2" s="1"/>
  <c r="CI22" i="2"/>
  <c r="DV32" i="2"/>
  <c r="EE33" i="2"/>
  <c r="AZ27" i="2"/>
  <c r="BZ24" i="2"/>
  <c r="K24" i="2"/>
  <c r="BR22" i="2"/>
  <c r="AS24" i="2"/>
  <c r="O23" i="2"/>
  <c r="L22" i="2"/>
  <c r="BX255" i="2"/>
  <c r="CB98" i="2"/>
  <c r="E22" i="2"/>
  <c r="EK142" i="2"/>
  <c r="L24" i="2"/>
  <c r="E24" i="2"/>
  <c r="AN19" i="2"/>
  <c r="CS146" i="2"/>
  <c r="CR23" i="2"/>
  <c r="CP16" i="2"/>
  <c r="ED7" i="2"/>
  <c r="AW17" i="2"/>
  <c r="CL172" i="2"/>
  <c r="CL175" i="2"/>
  <c r="BB78" i="2"/>
  <c r="DX32" i="2"/>
  <c r="AW19" i="2"/>
  <c r="EL142" i="2"/>
  <c r="M22" i="2"/>
  <c r="T22" i="2"/>
  <c r="AA24" i="2"/>
  <c r="CI25" i="2"/>
  <c r="CI28" i="2" s="1"/>
  <c r="CF25" i="2"/>
  <c r="BQ25" i="2"/>
  <c r="BQ28" i="2" s="1"/>
  <c r="V23" i="2"/>
  <c r="AI23" i="2"/>
  <c r="CO18" i="2"/>
  <c r="CZ30" i="2"/>
  <c r="ES19" i="3" s="1"/>
  <c r="AE23" i="2"/>
  <c r="T24" i="2"/>
  <c r="CW121" i="2"/>
  <c r="BC120" i="2"/>
  <c r="CX24" i="2"/>
  <c r="ED21" i="2"/>
  <c r="ED24" i="2" s="1"/>
  <c r="CN24" i="2"/>
  <c r="CF23" i="2"/>
  <c r="BB94" i="2"/>
  <c r="CS120" i="2"/>
  <c r="CI24" i="2"/>
  <c r="CX22" i="2"/>
  <c r="AS23" i="2"/>
  <c r="BW272" i="2"/>
  <c r="CV19" i="2"/>
  <c r="AA23" i="2"/>
  <c r="CR25" i="2"/>
  <c r="AM25" i="2"/>
  <c r="AM28" i="2" s="1"/>
  <c r="EC21" i="2"/>
  <c r="EC24" i="2" s="1"/>
  <c r="CD23" i="2"/>
  <c r="AV28" i="2"/>
  <c r="CQ28" i="2"/>
  <c r="CV16" i="2"/>
  <c r="AM22" i="2"/>
  <c r="R22" i="2"/>
  <c r="BH25" i="2"/>
  <c r="BH28" i="2" s="1"/>
  <c r="EL7" i="2"/>
  <c r="BT24" i="2"/>
  <c r="EE32" i="2"/>
  <c r="BI22" i="2"/>
  <c r="BH23" i="2"/>
  <c r="U23" i="2"/>
  <c r="BK25" i="2"/>
  <c r="BK28" i="2" s="1"/>
  <c r="AM23" i="2"/>
  <c r="AZ23" i="2"/>
  <c r="CR24" i="2"/>
  <c r="W22" i="2"/>
  <c r="AO23" i="2"/>
  <c r="AO24" i="2"/>
  <c r="DV21" i="2"/>
  <c r="DV24" i="2" s="1"/>
  <c r="AN22" i="2"/>
  <c r="AP22" i="2"/>
  <c r="AN23" i="2"/>
  <c r="CD25" i="2"/>
  <c r="CD27" i="2" s="1"/>
  <c r="AN24" i="2"/>
  <c r="BT71" i="2"/>
  <c r="EN21" i="2"/>
  <c r="EN24" i="2" s="1"/>
  <c r="J24" i="2"/>
  <c r="CS138" i="2"/>
  <c r="AN25" i="2"/>
  <c r="AN28" i="2" s="1"/>
  <c r="AO22" i="2"/>
  <c r="W24" i="2"/>
  <c r="BY151" i="2"/>
  <c r="BX148" i="2"/>
  <c r="W23" i="2"/>
  <c r="CE22" i="2"/>
  <c r="AN16" i="2"/>
  <c r="BT248" i="2"/>
  <c r="EP87" i="2"/>
  <c r="EQ89" i="2" s="1"/>
  <c r="BX70" i="2"/>
  <c r="CD24" i="2"/>
  <c r="K22" i="2"/>
  <c r="DY21" i="2"/>
  <c r="BQ247" i="2"/>
  <c r="BW24" i="2"/>
  <c r="J22" i="2"/>
  <c r="CS78" i="2"/>
  <c r="CS122" i="2"/>
  <c r="BO120" i="2"/>
  <c r="CS82" i="2"/>
  <c r="CS86" i="2"/>
  <c r="EL86" i="2"/>
  <c r="BF102" i="2"/>
  <c r="BF121" i="2"/>
  <c r="CM98" i="2"/>
  <c r="CS90" i="2"/>
  <c r="BN246" i="2"/>
  <c r="BN254" i="2" s="1"/>
  <c r="BN253" i="2" s="1"/>
  <c r="CB94" i="2"/>
  <c r="EH118" i="2"/>
  <c r="EH82" i="2"/>
  <c r="BR121" i="2"/>
  <c r="BR226" i="2"/>
  <c r="BN86" i="2"/>
  <c r="CV142" i="2"/>
  <c r="CB272" i="2"/>
  <c r="EH98" i="2"/>
  <c r="CT145" i="2"/>
  <c r="BN90" i="2"/>
  <c r="CT137" i="2"/>
  <c r="EL280" i="2"/>
  <c r="BM149" i="2"/>
  <c r="CB270" i="2"/>
  <c r="EL106" i="2"/>
  <c r="EL82" i="2"/>
  <c r="EF7" i="2"/>
  <c r="EH78" i="2"/>
  <c r="CS137" i="2"/>
  <c r="DV7" i="2"/>
  <c r="BN94" i="2"/>
  <c r="ER89" i="2"/>
  <c r="CA120" i="2"/>
  <c r="EK286" i="2"/>
  <c r="BG246" i="2"/>
  <c r="BG254" i="2" s="1"/>
  <c r="BG253" i="2" s="1"/>
  <c r="CF147" i="2"/>
  <c r="CF144" i="2" s="1"/>
  <c r="BE86" i="2"/>
  <c r="DW7" i="2"/>
  <c r="BN110" i="2"/>
  <c r="EO7" i="2"/>
  <c r="DX68" i="2"/>
  <c r="CM114" i="2"/>
  <c r="CA82" i="2"/>
  <c r="CA114" i="2"/>
  <c r="CM102" i="2"/>
  <c r="BG94" i="2"/>
  <c r="CB110" i="2"/>
  <c r="BH102" i="2"/>
  <c r="CM122" i="2"/>
  <c r="EK106" i="2"/>
  <c r="DL113" i="2"/>
  <c r="BX28" i="2"/>
  <c r="EP33" i="2"/>
  <c r="EQ7" i="2"/>
  <c r="CB137" i="2"/>
  <c r="BL86" i="2"/>
  <c r="CY39" i="2"/>
  <c r="CM120" i="2"/>
  <c r="DM111" i="2"/>
  <c r="DN112" i="2" s="1"/>
  <c r="CB120" i="2"/>
  <c r="BG122" i="2"/>
  <c r="BG121" i="2"/>
  <c r="EG152" i="2"/>
  <c r="EG155" i="2" s="1"/>
  <c r="BB102" i="2"/>
  <c r="CM90" i="2"/>
  <c r="CA106" i="2"/>
  <c r="CA86" i="2"/>
  <c r="BL102" i="2"/>
  <c r="CB114" i="2"/>
  <c r="EK98" i="2"/>
  <c r="CB122" i="2"/>
  <c r="CA98" i="2"/>
  <c r="CM110" i="2"/>
  <c r="CE23" i="2"/>
  <c r="EI85" i="2"/>
  <c r="CA78" i="2"/>
  <c r="CM86" i="2"/>
  <c r="CG177" i="2"/>
  <c r="BL121" i="2"/>
  <c r="CA122" i="2"/>
  <c r="CA90" i="2"/>
  <c r="CB121" i="2"/>
  <c r="CM94" i="2"/>
  <c r="CA110" i="2"/>
  <c r="BG78" i="2"/>
  <c r="CA121" i="2"/>
  <c r="CM78" i="2"/>
  <c r="CS142" i="2"/>
  <c r="CS141" i="2"/>
  <c r="BM78" i="2"/>
  <c r="BM122" i="2"/>
  <c r="BM98" i="2"/>
  <c r="BM82" i="2"/>
  <c r="BM90" i="2"/>
  <c r="CV146" i="2"/>
  <c r="CD146" i="2"/>
  <c r="CD145" i="2"/>
  <c r="BL246" i="2"/>
  <c r="BL122" i="2"/>
  <c r="BL98" i="2"/>
  <c r="BL78" i="2"/>
  <c r="BL82" i="2"/>
  <c r="BL94" i="2"/>
  <c r="BL90" i="2"/>
  <c r="BN102" i="2"/>
  <c r="EE7" i="2"/>
  <c r="CC141" i="2"/>
  <c r="CC142" i="2"/>
  <c r="BM102" i="2"/>
  <c r="BM120" i="2"/>
  <c r="CT138" i="2"/>
  <c r="BM94" i="2"/>
  <c r="BQ226" i="2"/>
  <c r="EI101" i="2"/>
  <c r="AN17" i="2"/>
  <c r="CS145" i="2"/>
  <c r="BN120" i="2"/>
  <c r="CO141" i="2"/>
  <c r="EJ85" i="2"/>
  <c r="BG98" i="2"/>
  <c r="BG82" i="2"/>
  <c r="BG120" i="2"/>
  <c r="BG90" i="2"/>
  <c r="EQ140" i="2"/>
  <c r="EQ142" i="2" s="1"/>
  <c r="EQ144" i="2"/>
  <c r="ER146" i="2" s="1"/>
  <c r="CR146" i="2"/>
  <c r="BK102" i="2"/>
  <c r="EL90" i="2"/>
  <c r="BH86" i="2"/>
  <c r="BN82" i="2"/>
  <c r="BN122" i="2"/>
  <c r="BG102" i="2"/>
  <c r="CT141" i="2"/>
  <c r="BM86" i="2"/>
  <c r="CO178" i="2"/>
  <c r="CO179" i="2"/>
  <c r="CO173" i="2"/>
  <c r="CO175" i="2"/>
  <c r="CW120" i="2"/>
  <c r="BQ121" i="2"/>
  <c r="BM246" i="2"/>
  <c r="BQ248" i="2" s="1"/>
  <c r="EL225" i="2"/>
  <c r="ED33" i="2"/>
  <c r="EQ14" i="2"/>
  <c r="DY7" i="2"/>
  <c r="BN106" i="2"/>
  <c r="EP7" i="2"/>
  <c r="BN78" i="2"/>
  <c r="BF246" i="2"/>
  <c r="BF94" i="2"/>
  <c r="BF90" i="2"/>
  <c r="BF98" i="2"/>
  <c r="BF82" i="2"/>
  <c r="BF78" i="2"/>
  <c r="BF122" i="2"/>
  <c r="CB102" i="2"/>
  <c r="CB82" i="2"/>
  <c r="CB78" i="2"/>
  <c r="CB86" i="2"/>
  <c r="CO172" i="2"/>
  <c r="EN179" i="2"/>
  <c r="EN174" i="2"/>
  <c r="EN176" i="2"/>
  <c r="EN173" i="2"/>
  <c r="EN172" i="2"/>
  <c r="EN175" i="2"/>
  <c r="EN177" i="2"/>
  <c r="EM121" i="2"/>
  <c r="EM78" i="2"/>
  <c r="EM110" i="2"/>
  <c r="EM82" i="2"/>
  <c r="EM102" i="2"/>
  <c r="EM94" i="2"/>
  <c r="EM98" i="2"/>
  <c r="AS114" i="3"/>
  <c r="AS10" i="3"/>
  <c r="U11" i="2"/>
  <c r="AE65" i="5"/>
  <c r="AE64" i="5"/>
  <c r="BR55" i="4"/>
  <c r="DI12" i="4"/>
  <c r="DA17" i="4"/>
  <c r="DA18" i="4"/>
  <c r="BS84" i="3"/>
  <c r="BR86" i="3"/>
  <c r="BS86" i="3" s="1"/>
  <c r="CS174" i="2"/>
  <c r="CS179" i="2"/>
  <c r="CS175" i="2"/>
  <c r="CS176" i="2"/>
  <c r="CS178" i="2"/>
  <c r="CS177" i="2"/>
  <c r="CS172" i="2"/>
  <c r="CE19" i="2"/>
  <c r="CE18" i="2"/>
  <c r="CE40" i="2"/>
  <c r="EI121" i="2"/>
  <c r="EI98" i="2"/>
  <c r="EI78" i="2"/>
  <c r="EI94" i="2"/>
  <c r="EI82" i="2"/>
  <c r="EI90" i="2"/>
  <c r="EI118" i="2"/>
  <c r="EI102" i="2"/>
  <c r="AB50" i="5"/>
  <c r="AB53" i="5"/>
  <c r="AB52" i="5"/>
  <c r="BL146" i="3"/>
  <c r="BM141" i="3"/>
  <c r="BM146" i="3" s="1"/>
  <c r="AC14" i="5"/>
  <c r="AM134" i="3"/>
  <c r="CR114" i="3"/>
  <c r="BT62" i="4"/>
  <c r="BT63" i="4" s="1"/>
  <c r="BU53" i="4"/>
  <c r="BT54" i="4"/>
  <c r="DE12" i="4"/>
  <c r="DF12" i="4"/>
  <c r="U117" i="3"/>
  <c r="BI84" i="3"/>
  <c r="BH86" i="3"/>
  <c r="BI86" i="3" s="1"/>
  <c r="CE67" i="4"/>
  <c r="DL114" i="3"/>
  <c r="BJ93" i="3"/>
  <c r="BK88" i="3"/>
  <c r="BK93" i="3" s="1"/>
  <c r="BF118" i="3"/>
  <c r="BG118" i="3" s="1"/>
  <c r="BH118" i="3" s="1"/>
  <c r="BA220" i="3"/>
  <c r="BA229" i="3" s="1"/>
  <c r="BA228" i="3" s="1"/>
  <c r="BA213" i="3"/>
  <c r="BA218" i="3"/>
  <c r="AG251" i="3"/>
  <c r="AG256" i="3" s="1"/>
  <c r="AG167" i="3"/>
  <c r="AS140" i="3"/>
  <c r="AJ132" i="3"/>
  <c r="BS125" i="3"/>
  <c r="AY93" i="3"/>
  <c r="DZ14" i="3"/>
  <c r="DZ15" i="3"/>
  <c r="DZ22" i="3"/>
  <c r="EJ147" i="2"/>
  <c r="W218" i="3"/>
  <c r="W214" i="3"/>
  <c r="W254" i="3"/>
  <c r="AP251" i="3"/>
  <c r="EA134" i="3"/>
  <c r="CL132" i="3"/>
  <c r="CL134" i="3" s="1"/>
  <c r="CK134" i="3"/>
  <c r="BJ97" i="3"/>
  <c r="BK97" i="3" s="1"/>
  <c r="BL97" i="3" s="1"/>
  <c r="BM97" i="3" s="1"/>
  <c r="BI97" i="3"/>
  <c r="EH14" i="3"/>
  <c r="EH15" i="3"/>
  <c r="EH22" i="3"/>
  <c r="EI15" i="3"/>
  <c r="BE71" i="3"/>
  <c r="BE13" i="3"/>
  <c r="BF15" i="3" s="1"/>
  <c r="AD8" i="2"/>
  <c r="BM22" i="3"/>
  <c r="BM14" i="3"/>
  <c r="BM15" i="3"/>
  <c r="V180" i="3"/>
  <c r="V185" i="3"/>
  <c r="CR115" i="3"/>
  <c r="BZ88" i="3"/>
  <c r="BZ93" i="3" s="1"/>
  <c r="BY93" i="3"/>
  <c r="BT32" i="3"/>
  <c r="BT56" i="3"/>
  <c r="BT23" i="3"/>
  <c r="EJ135" i="2"/>
  <c r="FI142" i="3"/>
  <c r="FJ142" i="3" s="1"/>
  <c r="EG22" i="3"/>
  <c r="EG14" i="3"/>
  <c r="EK13" i="3"/>
  <c r="U122" i="3"/>
  <c r="BQ56" i="3"/>
  <c r="BQ23" i="3"/>
  <c r="BQ32" i="3"/>
  <c r="BQ24" i="3"/>
  <c r="CK22" i="3"/>
  <c r="CK14" i="3"/>
  <c r="ER28" i="3"/>
  <c r="ES27" i="3"/>
  <c r="CU32" i="3"/>
  <c r="CU24" i="3"/>
  <c r="CU56" i="3"/>
  <c r="CU23" i="3"/>
  <c r="BP258" i="2"/>
  <c r="BP253" i="2"/>
  <c r="BP257" i="2"/>
  <c r="BP245" i="2"/>
  <c r="BP249" i="2"/>
  <c r="EN151" i="2"/>
  <c r="EO150" i="2"/>
  <c r="CV137" i="2"/>
  <c r="CV138" i="2"/>
  <c r="ER136" i="2"/>
  <c r="EJ7" i="2"/>
  <c r="R40" i="2"/>
  <c r="R18" i="2"/>
  <c r="AE43" i="2"/>
  <c r="ES17" i="3"/>
  <c r="CZ37" i="2"/>
  <c r="DA35" i="2"/>
  <c r="ES35" i="2" s="1"/>
  <c r="DT33" i="2"/>
  <c r="EO33" i="2"/>
  <c r="EO32" i="2"/>
  <c r="EP32" i="2"/>
  <c r="CD137" i="2"/>
  <c r="CD138" i="2"/>
  <c r="BA60" i="5"/>
  <c r="BA66" i="5"/>
  <c r="DA74" i="5"/>
  <c r="BS55" i="4"/>
  <c r="BT74" i="3"/>
  <c r="BT86" i="3" s="1"/>
  <c r="BU63" i="3"/>
  <c r="BU74" i="3" s="1"/>
  <c r="BU86" i="3" s="1"/>
  <c r="CC93" i="3"/>
  <c r="V218" i="3"/>
  <c r="V254" i="3"/>
  <c r="BV49" i="4"/>
  <c r="BK32" i="3"/>
  <c r="BK24" i="3"/>
  <c r="BK56" i="3"/>
  <c r="BK23" i="3"/>
  <c r="CW9" i="3"/>
  <c r="CR9" i="3"/>
  <c r="DR23" i="3"/>
  <c r="DR56" i="3"/>
  <c r="DR107" i="3" s="1"/>
  <c r="DV22" i="3"/>
  <c r="DR32" i="3"/>
  <c r="S22" i="3"/>
  <c r="S14" i="3"/>
  <c r="BJ122" i="2"/>
  <c r="BJ120" i="2"/>
  <c r="BJ98" i="2"/>
  <c r="BJ94" i="2"/>
  <c r="BJ121" i="2"/>
  <c r="BJ78" i="2"/>
  <c r="BJ246" i="2"/>
  <c r="BJ82" i="2"/>
  <c r="BN121" i="2"/>
  <c r="BJ90" i="2"/>
  <c r="BJ86" i="2"/>
  <c r="BJ102" i="2"/>
  <c r="CP137" i="2"/>
  <c r="CP138" i="2"/>
  <c r="EQ136" i="2"/>
  <c r="CO86" i="2"/>
  <c r="CO82" i="2"/>
  <c r="CO122" i="2"/>
  <c r="CO94" i="2"/>
  <c r="CO98" i="2"/>
  <c r="CO78" i="2"/>
  <c r="CO102" i="2"/>
  <c r="CS121" i="2"/>
  <c r="CS22" i="2"/>
  <c r="CS25" i="2"/>
  <c r="CS24" i="2"/>
  <c r="EQ21" i="2"/>
  <c r="CW23" i="2"/>
  <c r="CB23" i="3"/>
  <c r="CB56" i="3"/>
  <c r="CB32" i="3"/>
  <c r="E37" i="3"/>
  <c r="E35" i="3"/>
  <c r="DA48" i="5"/>
  <c r="AG28" i="5"/>
  <c r="AG24" i="5"/>
  <c r="AG29" i="5"/>
  <c r="AG69" i="5"/>
  <c r="AK71" i="5" s="1"/>
  <c r="BB24" i="5"/>
  <c r="BB28" i="5"/>
  <c r="CY74" i="5"/>
  <c r="CY63" i="5"/>
  <c r="AA66" i="5"/>
  <c r="AA60" i="5"/>
  <c r="DH49" i="4"/>
  <c r="AN208" i="3"/>
  <c r="AN205" i="3"/>
  <c r="CT134" i="3"/>
  <c r="AS122" i="3"/>
  <c r="AT122" i="3" s="1"/>
  <c r="AH17" i="6"/>
  <c r="AH8" i="6" s="1"/>
  <c r="AH7" i="6"/>
  <c r="AI5" i="6"/>
  <c r="CU48" i="5"/>
  <c r="DH48" i="5"/>
  <c r="CV48" i="5"/>
  <c r="BY35" i="5"/>
  <c r="DC48" i="5"/>
  <c r="BK19" i="5"/>
  <c r="BL17" i="5"/>
  <c r="AG50" i="5"/>
  <c r="AG53" i="5"/>
  <c r="AG52" i="5"/>
  <c r="AG51" i="5"/>
  <c r="AK83" i="5"/>
  <c r="CZ83" i="5" s="1"/>
  <c r="AK78" i="5"/>
  <c r="AL77" i="5"/>
  <c r="CZ77" i="5"/>
  <c r="AD25" i="5"/>
  <c r="AD14" i="5"/>
  <c r="CZ43" i="5"/>
  <c r="CZ38" i="5"/>
  <c r="AB69" i="5"/>
  <c r="AC70" i="5" s="1"/>
  <c r="AG64" i="5"/>
  <c r="AG65" i="5"/>
  <c r="DG12" i="4"/>
  <c r="CD76" i="4"/>
  <c r="AR167" i="3"/>
  <c r="AR241" i="3"/>
  <c r="AR251" i="3" s="1"/>
  <c r="BC191" i="3"/>
  <c r="BC190" i="3" s="1"/>
  <c r="BC166" i="3" s="1"/>
  <c r="BC165" i="3" s="1"/>
  <c r="BB190" i="3"/>
  <c r="BB166" i="3" s="1"/>
  <c r="BS134" i="3"/>
  <c r="FH134" i="3"/>
  <c r="FI132" i="3"/>
  <c r="AV253" i="3"/>
  <c r="AV254" i="3"/>
  <c r="AV255" i="3"/>
  <c r="CW139" i="3"/>
  <c r="BI121" i="3"/>
  <c r="BS118" i="3"/>
  <c r="AC28" i="5"/>
  <c r="AX144" i="3"/>
  <c r="AY144" i="3" s="1"/>
  <c r="AI126" i="3"/>
  <c r="AJ126" i="3" s="1"/>
  <c r="AN124" i="3"/>
  <c r="AO124" i="3" s="1"/>
  <c r="DC12" i="4"/>
  <c r="BC95" i="3"/>
  <c r="CA316" i="3"/>
  <c r="CB317" i="3"/>
  <c r="CW133" i="3"/>
  <c r="CZ129" i="3"/>
  <c r="CZ156" i="3" s="1"/>
  <c r="BP58" i="2" s="1"/>
  <c r="BI93" i="3"/>
  <c r="BI42" i="3"/>
  <c r="AW146" i="3"/>
  <c r="CR140" i="3"/>
  <c r="AT140" i="3"/>
  <c r="AG134" i="3"/>
  <c r="DG114" i="3"/>
  <c r="EX91" i="3"/>
  <c r="CV22" i="3"/>
  <c r="CV14" i="3"/>
  <c r="CV15" i="3"/>
  <c r="CG174" i="2"/>
  <c r="CG178" i="2"/>
  <c r="CG176" i="2"/>
  <c r="CG175" i="2"/>
  <c r="CG179" i="2"/>
  <c r="CG173" i="2"/>
  <c r="AP156" i="3"/>
  <c r="DM84" i="3"/>
  <c r="DN81" i="3"/>
  <c r="DF22" i="3"/>
  <c r="DF15" i="3"/>
  <c r="DF14" i="3"/>
  <c r="DH15" i="3"/>
  <c r="X251" i="3"/>
  <c r="DL106" i="3"/>
  <c r="EL62" i="2"/>
  <c r="BN93" i="3"/>
  <c r="J37" i="3"/>
  <c r="J35" i="3"/>
  <c r="AV172" i="3"/>
  <c r="AV14" i="3"/>
  <c r="AV15" i="3"/>
  <c r="AV22" i="3"/>
  <c r="AU22" i="3"/>
  <c r="AU172" i="3"/>
  <c r="AU14" i="3"/>
  <c r="EH252" i="2"/>
  <c r="EI252" i="2"/>
  <c r="BQ17" i="4"/>
  <c r="BQ18" i="4"/>
  <c r="BQ16" i="4"/>
  <c r="CL22" i="3"/>
  <c r="CL14" i="3"/>
  <c r="CL15" i="3"/>
  <c r="CK177" i="2"/>
  <c r="EO166" i="2"/>
  <c r="CQ117" i="3"/>
  <c r="CR117" i="3" s="1"/>
  <c r="DS24" i="3"/>
  <c r="DL133" i="3"/>
  <c r="DW82" i="3"/>
  <c r="DX82" i="3" s="1"/>
  <c r="DY82" i="3" s="1"/>
  <c r="DZ82" i="3" s="1"/>
  <c r="EA82" i="3" s="1"/>
  <c r="EB82" i="3" s="1"/>
  <c r="EC82" i="3" s="1"/>
  <c r="ED82" i="3" s="1"/>
  <c r="EE82" i="3" s="1"/>
  <c r="EF82" i="3" s="1"/>
  <c r="EG82" i="3" s="1"/>
  <c r="EH82" i="3" s="1"/>
  <c r="EI82" i="3" s="1"/>
  <c r="EJ82" i="3" s="1"/>
  <c r="EK82" i="3" s="1"/>
  <c r="EL82" i="3" s="1"/>
  <c r="EM82" i="3" s="1"/>
  <c r="EN82" i="3" s="1"/>
  <c r="EO82" i="3" s="1"/>
  <c r="EP82" i="3" s="1"/>
  <c r="EQ82" i="3" s="1"/>
  <c r="ER82" i="3" s="1"/>
  <c r="ES82" i="3" s="1"/>
  <c r="ET82" i="3" s="1"/>
  <c r="DV82" i="3"/>
  <c r="CR20" i="3"/>
  <c r="CW13" i="3"/>
  <c r="H24" i="3"/>
  <c r="H23" i="3"/>
  <c r="H56" i="3"/>
  <c r="H32" i="3"/>
  <c r="AF56" i="3"/>
  <c r="AF23" i="3"/>
  <c r="AF32" i="3"/>
  <c r="CZ39" i="2"/>
  <c r="DA34" i="2"/>
  <c r="DA39" i="2" s="1"/>
  <c r="DC143" i="2"/>
  <c r="EO135" i="2"/>
  <c r="BW121" i="3"/>
  <c r="BX121" i="3" s="1"/>
  <c r="DJ15" i="3"/>
  <c r="DJ14" i="3"/>
  <c r="DJ22" i="3"/>
  <c r="DK15" i="3"/>
  <c r="EI86" i="2"/>
  <c r="BS19" i="2"/>
  <c r="BS18" i="2"/>
  <c r="BS40" i="2"/>
  <c r="BS16" i="2"/>
  <c r="EJ33" i="2"/>
  <c r="EA7" i="2"/>
  <c r="N24" i="2"/>
  <c r="DW21" i="2"/>
  <c r="R23" i="2"/>
  <c r="N22" i="2"/>
  <c r="N23" i="2"/>
  <c r="O22" i="2"/>
  <c r="BY18" i="2"/>
  <c r="BC17" i="2"/>
  <c r="BC16" i="2"/>
  <c r="BC40" i="2"/>
  <c r="BC19" i="2"/>
  <c r="BC18" i="2"/>
  <c r="BC131" i="2" s="1"/>
  <c r="AM14" i="3"/>
  <c r="AM22" i="3"/>
  <c r="AG19" i="6"/>
  <c r="AG18" i="6"/>
  <c r="AH64" i="5"/>
  <c r="AH65" i="5"/>
  <c r="DG48" i="5"/>
  <c r="AC133" i="3"/>
  <c r="AB134" i="3"/>
  <c r="BD49" i="5"/>
  <c r="BD27" i="5"/>
  <c r="BD9" i="5"/>
  <c r="AK245" i="3"/>
  <c r="BP35" i="4"/>
  <c r="CX18" i="4"/>
  <c r="CX17" i="4"/>
  <c r="AR114" i="3"/>
  <c r="AR10" i="3"/>
  <c r="AT11" i="3"/>
  <c r="T11" i="2"/>
  <c r="BV272" i="2"/>
  <c r="BV270" i="2"/>
  <c r="BV271" i="2"/>
  <c r="BW270" i="2"/>
  <c r="BY15" i="3"/>
  <c r="BY14" i="3"/>
  <c r="BY22" i="3"/>
  <c r="ED22" i="3"/>
  <c r="ED15" i="3"/>
  <c r="ED14" i="3"/>
  <c r="CC84" i="3"/>
  <c r="EM114" i="2"/>
  <c r="G13" i="2"/>
  <c r="G12" i="2"/>
  <c r="G14" i="2"/>
  <c r="DU11" i="2"/>
  <c r="K13" i="2"/>
  <c r="H12" i="2"/>
  <c r="BG32" i="3"/>
  <c r="BG56" i="3"/>
  <c r="BG23" i="3"/>
  <c r="AS86" i="3"/>
  <c r="AT86" i="3" s="1"/>
  <c r="AT84" i="3"/>
  <c r="CU121" i="2"/>
  <c r="CU86" i="2"/>
  <c r="CU82" i="2"/>
  <c r="CU122" i="2"/>
  <c r="CU102" i="2"/>
  <c r="CU98" i="2"/>
  <c r="CU120" i="2"/>
  <c r="CU78" i="2"/>
  <c r="CU94" i="2"/>
  <c r="AP35" i="3"/>
  <c r="AP41" i="3" s="1"/>
  <c r="AP37" i="3"/>
  <c r="AI11" i="6"/>
  <c r="AH13" i="6"/>
  <c r="BT19" i="6"/>
  <c r="AB64" i="5"/>
  <c r="CY56" i="5"/>
  <c r="AI69" i="5"/>
  <c r="AJ70" i="5" s="1"/>
  <c r="DC38" i="5"/>
  <c r="DC43" i="5"/>
  <c r="BO26" i="4"/>
  <c r="CY17" i="4"/>
  <c r="CY18" i="4"/>
  <c r="BK94" i="4"/>
  <c r="BK28" i="4"/>
  <c r="EP146" i="3"/>
  <c r="AU241" i="3"/>
  <c r="AU247" i="3" s="1"/>
  <c r="AX168" i="3"/>
  <c r="AU167" i="3"/>
  <c r="I61" i="2"/>
  <c r="BV19" i="6"/>
  <c r="BV8" i="6"/>
  <c r="BZ13" i="6"/>
  <c r="BX19" i="6"/>
  <c r="BZ17" i="6"/>
  <c r="BZ7" i="6"/>
  <c r="AF64" i="5"/>
  <c r="AI65" i="5"/>
  <c r="AI64" i="5"/>
  <c r="AJ60" i="5"/>
  <c r="AJ66" i="5"/>
  <c r="AJ88" i="5" s="1"/>
  <c r="BA24" i="5"/>
  <c r="BC9" i="5"/>
  <c r="BC27" i="5"/>
  <c r="BC69" i="5" s="1"/>
  <c r="BC49" i="5"/>
  <c r="CZ10" i="5"/>
  <c r="AE25" i="5"/>
  <c r="AE14" i="5"/>
  <c r="AA28" i="5"/>
  <c r="AA24" i="5"/>
  <c r="AC66" i="5"/>
  <c r="AC60" i="5"/>
  <c r="AF51" i="5"/>
  <c r="CX63" i="5"/>
  <c r="AJ29" i="5"/>
  <c r="BL97" i="4"/>
  <c r="BL25" i="4" s="1"/>
  <c r="BL27" i="4"/>
  <c r="BM22" i="4"/>
  <c r="CF144" i="3"/>
  <c r="AP11" i="5"/>
  <c r="AQ21" i="5"/>
  <c r="AP22" i="5"/>
  <c r="AP23" i="5"/>
  <c r="BV63" i="4"/>
  <c r="BW62" i="4"/>
  <c r="AK167" i="3"/>
  <c r="AK241" i="3"/>
  <c r="AN168" i="3"/>
  <c r="DL143" i="3"/>
  <c r="AC146" i="3"/>
  <c r="AD139" i="3"/>
  <c r="AL248" i="3"/>
  <c r="AL173" i="3"/>
  <c r="AK174" i="3"/>
  <c r="AN174" i="3" s="1"/>
  <c r="Z152" i="3"/>
  <c r="BC142" i="3"/>
  <c r="BD142" i="3" s="1"/>
  <c r="CU146" i="3"/>
  <c r="BV134" i="3"/>
  <c r="BW132" i="3"/>
  <c r="BW134" i="3" s="1"/>
  <c r="DB126" i="3"/>
  <c r="BD125" i="3"/>
  <c r="U104" i="3"/>
  <c r="BQ45" i="4"/>
  <c r="DG45" i="4" s="1"/>
  <c r="BR44" i="4"/>
  <c r="AM227" i="3"/>
  <c r="AM172" i="3" s="1"/>
  <c r="AN226" i="3"/>
  <c r="AN227" i="3" s="1"/>
  <c r="AL167" i="3"/>
  <c r="AL241" i="3"/>
  <c r="AL251" i="3" s="1"/>
  <c r="FC134" i="3"/>
  <c r="FD132" i="3"/>
  <c r="FD134" i="3" s="1"/>
  <c r="CR121" i="3"/>
  <c r="BH10" i="3"/>
  <c r="AG11" i="2"/>
  <c r="AE93" i="3"/>
  <c r="AD100" i="3"/>
  <c r="BJ100" i="4"/>
  <c r="CY12" i="4"/>
  <c r="CZ12" i="4"/>
  <c r="DQ142" i="3"/>
  <c r="BI122" i="3"/>
  <c r="AY11" i="3"/>
  <c r="AW10" i="3"/>
  <c r="X11" i="2"/>
  <c r="CB313" i="3"/>
  <c r="CA312" i="3"/>
  <c r="DJ12" i="4"/>
  <c r="BP142" i="3"/>
  <c r="BO146" i="3"/>
  <c r="AI118" i="3"/>
  <c r="AJ118" i="3" s="1"/>
  <c r="AH168" i="3"/>
  <c r="AH180" i="3"/>
  <c r="AH252" i="3"/>
  <c r="AH185" i="3"/>
  <c r="AX141" i="3"/>
  <c r="CP146" i="3"/>
  <c r="CM121" i="3"/>
  <c r="U118" i="3"/>
  <c r="DR95" i="3"/>
  <c r="DS95" i="3" s="1"/>
  <c r="DT95" i="3" s="1"/>
  <c r="DU95" i="3" s="1"/>
  <c r="DQ95" i="3"/>
  <c r="CD22" i="3"/>
  <c r="CD14" i="3"/>
  <c r="CD15" i="3"/>
  <c r="W180" i="3"/>
  <c r="W185" i="3"/>
  <c r="AS168" i="3"/>
  <c r="FJ133" i="3"/>
  <c r="P124" i="3"/>
  <c r="BX93" i="3"/>
  <c r="AO84" i="3"/>
  <c r="AN86" i="3"/>
  <c r="AO86" i="3" s="1"/>
  <c r="DK86" i="3"/>
  <c r="DL86" i="3" s="1"/>
  <c r="DL84" i="3"/>
  <c r="DB13" i="3"/>
  <c r="CX14" i="3"/>
  <c r="CX15" i="3"/>
  <c r="CX22" i="3"/>
  <c r="BF14" i="3"/>
  <c r="BG15" i="3"/>
  <c r="BF22" i="3"/>
  <c r="DN91" i="3"/>
  <c r="DN106" i="3" s="1"/>
  <c r="DM106" i="3"/>
  <c r="BO93" i="3"/>
  <c r="BP88" i="3"/>
  <c r="BP93" i="3" s="1"/>
  <c r="AV76" i="3"/>
  <c r="AW77" i="3"/>
  <c r="DE22" i="3"/>
  <c r="DE14" i="3"/>
  <c r="DE15" i="3"/>
  <c r="AD14" i="3"/>
  <c r="AD15" i="3"/>
  <c r="AD22" i="3"/>
  <c r="AF15" i="3"/>
  <c r="CQ142" i="3"/>
  <c r="CR142" i="3" s="1"/>
  <c r="DF122" i="3"/>
  <c r="DG122" i="3" s="1"/>
  <c r="BL86" i="3"/>
  <c r="EA13" i="3"/>
  <c r="DW22" i="3"/>
  <c r="DW14" i="3"/>
  <c r="DW15" i="3"/>
  <c r="BC312" i="3"/>
  <c r="BE313" i="3"/>
  <c r="BZ271" i="2"/>
  <c r="BZ272" i="2"/>
  <c r="BZ270" i="2"/>
  <c r="CA270" i="2"/>
  <c r="BW56" i="3"/>
  <c r="CQ137" i="2"/>
  <c r="CQ138" i="2"/>
  <c r="CB18" i="2"/>
  <c r="CB17" i="2"/>
  <c r="CB19" i="2"/>
  <c r="CB40" i="2"/>
  <c r="Y256" i="3"/>
  <c r="DA23" i="3"/>
  <c r="DA32" i="3"/>
  <c r="DA56" i="3"/>
  <c r="ER143" i="2"/>
  <c r="BN18" i="4"/>
  <c r="BN16" i="4"/>
  <c r="BN17" i="4"/>
  <c r="DG15" i="4"/>
  <c r="AX19" i="2"/>
  <c r="AX16" i="2"/>
  <c r="AX18" i="2"/>
  <c r="AX40" i="2"/>
  <c r="DZ7" i="2"/>
  <c r="DZ38" i="2"/>
  <c r="AS121" i="3"/>
  <c r="AT121" i="3" s="1"/>
  <c r="CO56" i="3"/>
  <c r="CO23" i="3"/>
  <c r="CO32" i="3"/>
  <c r="AC77" i="3"/>
  <c r="AC76" i="3" s="1"/>
  <c r="AB76" i="3"/>
  <c r="BK63" i="3"/>
  <c r="BK74" i="3" s="1"/>
  <c r="BK86" i="3" s="1"/>
  <c r="BJ74" i="3"/>
  <c r="BJ86" i="3" s="1"/>
  <c r="CR137" i="2"/>
  <c r="EB7" i="2"/>
  <c r="EB14" i="2"/>
  <c r="EB33" i="2"/>
  <c r="EC7" i="2"/>
  <c r="DD48" i="5"/>
  <c r="DD38" i="5"/>
  <c r="DD43" i="5"/>
  <c r="BR18" i="4"/>
  <c r="BR16" i="4"/>
  <c r="DH15" i="4"/>
  <c r="BR17" i="4"/>
  <c r="DA100" i="3"/>
  <c r="DB93" i="3"/>
  <c r="CP14" i="3"/>
  <c r="CP15" i="3"/>
  <c r="CP22" i="3"/>
  <c r="AK70" i="5"/>
  <c r="AK66" i="5"/>
  <c r="AK60" i="5"/>
  <c r="DE48" i="5"/>
  <c r="AC53" i="5"/>
  <c r="AC52" i="5"/>
  <c r="AC50" i="5"/>
  <c r="AA50" i="5"/>
  <c r="AA53" i="5"/>
  <c r="AA52" i="5"/>
  <c r="AE51" i="5"/>
  <c r="X140" i="3"/>
  <c r="W146" i="3"/>
  <c r="AI213" i="3"/>
  <c r="AI218" i="3"/>
  <c r="AI168" i="3"/>
  <c r="AI254" i="3"/>
  <c r="BB146" i="3"/>
  <c r="BP46" i="4"/>
  <c r="CZ17" i="4"/>
  <c r="BT40" i="4"/>
  <c r="DK12" i="4"/>
  <c r="CT12" i="4"/>
  <c r="AX10" i="3"/>
  <c r="Y11" i="2"/>
  <c r="BO317" i="3"/>
  <c r="BM316" i="3"/>
  <c r="BL22" i="3"/>
  <c r="BL14" i="3"/>
  <c r="BL15" i="3"/>
  <c r="BN13" i="3"/>
  <c r="BM305" i="3"/>
  <c r="AP254" i="3"/>
  <c r="AP255" i="3"/>
  <c r="AP252" i="3"/>
  <c r="AP253" i="3"/>
  <c r="AP247" i="3"/>
  <c r="EZ97" i="3"/>
  <c r="FA97" i="3"/>
  <c r="FB97" i="3" s="1"/>
  <c r="FC97" i="3" s="1"/>
  <c r="FD97" i="3" s="1"/>
  <c r="DO22" i="3"/>
  <c r="DO14" i="3"/>
  <c r="BY271" i="2"/>
  <c r="BY272" i="2"/>
  <c r="BY270" i="2"/>
  <c r="CK179" i="2"/>
  <c r="CK176" i="2"/>
  <c r="CK178" i="2"/>
  <c r="CK174" i="2"/>
  <c r="CK172" i="2"/>
  <c r="CK175" i="2"/>
  <c r="AZ18" i="4"/>
  <c r="AZ16" i="4"/>
  <c r="AZ17" i="4"/>
  <c r="AL14" i="5"/>
  <c r="V168" i="3"/>
  <c r="EO22" i="3"/>
  <c r="EO14" i="3"/>
  <c r="EO15" i="3"/>
  <c r="EF249" i="2"/>
  <c r="EF245" i="2"/>
  <c r="EF234" i="2"/>
  <c r="EF253" i="2"/>
  <c r="BC217" i="3"/>
  <c r="BB218" i="3"/>
  <c r="BW122" i="3"/>
  <c r="BX122" i="3" s="1"/>
  <c r="DE81" i="3"/>
  <c r="EQ146" i="3"/>
  <c r="ER141" i="3"/>
  <c r="DA122" i="3"/>
  <c r="DB122" i="3" s="1"/>
  <c r="DM32" i="3"/>
  <c r="DC82" i="3"/>
  <c r="DB82" i="3"/>
  <c r="DA84" i="3"/>
  <c r="T114" i="3"/>
  <c r="U114" i="3" s="1"/>
  <c r="T10" i="3"/>
  <c r="U10" i="3" s="1"/>
  <c r="U11" i="3"/>
  <c r="BJ23" i="3"/>
  <c r="BJ32" i="3"/>
  <c r="BJ56" i="3"/>
  <c r="CN22" i="3"/>
  <c r="CO24" i="3" s="1"/>
  <c r="CN15" i="3"/>
  <c r="CN14" i="3"/>
  <c r="CR13" i="3"/>
  <c r="CO15" i="3"/>
  <c r="CR18" i="3"/>
  <c r="EF101" i="2"/>
  <c r="BO150" i="2"/>
  <c r="CC121" i="2"/>
  <c r="CC86" i="2"/>
  <c r="CC82" i="2"/>
  <c r="CC120" i="2"/>
  <c r="CC102" i="2"/>
  <c r="CC98" i="2"/>
  <c r="CC78" i="2"/>
  <c r="CC122" i="2"/>
  <c r="CC94" i="2"/>
  <c r="CC110" i="2"/>
  <c r="CC114" i="2"/>
  <c r="CC90" i="2"/>
  <c r="CW137" i="2"/>
  <c r="CW138" i="2"/>
  <c r="ES42" i="3"/>
  <c r="DA20" i="2"/>
  <c r="ES20" i="2" s="1"/>
  <c r="AF18" i="2"/>
  <c r="AF16" i="2"/>
  <c r="AF40" i="2"/>
  <c r="ER7" i="2"/>
  <c r="ER33" i="2"/>
  <c r="AM114" i="3"/>
  <c r="AN114" i="3" s="1"/>
  <c r="AO114" i="3" s="1"/>
  <c r="EJ101" i="2"/>
  <c r="EJ119" i="2"/>
  <c r="EK101" i="2"/>
  <c r="BU248" i="2"/>
  <c r="BU247" i="2"/>
  <c r="BU254" i="2"/>
  <c r="BY248" i="2"/>
  <c r="BT18" i="4"/>
  <c r="BT16" i="4"/>
  <c r="BT17" i="4"/>
  <c r="AL19" i="2"/>
  <c r="AL17" i="2"/>
  <c r="AL16" i="2"/>
  <c r="AL18" i="2"/>
  <c r="AL40" i="2"/>
  <c r="P14" i="2"/>
  <c r="P12" i="2"/>
  <c r="P15" i="2"/>
  <c r="CX123" i="2"/>
  <c r="CX122" i="2"/>
  <c r="CX120" i="2"/>
  <c r="CX78" i="2"/>
  <c r="CX114" i="2"/>
  <c r="CX94" i="2"/>
  <c r="CX98" i="2"/>
  <c r="CX121" i="2"/>
  <c r="CX86" i="2"/>
  <c r="CX90" i="2"/>
  <c r="CX82" i="2"/>
  <c r="DQ111" i="2"/>
  <c r="DP112" i="2"/>
  <c r="DP113" i="2"/>
  <c r="BC15" i="4"/>
  <c r="CE136" i="2"/>
  <c r="CE89" i="2"/>
  <c r="CE88" i="2"/>
  <c r="CE119" i="2"/>
  <c r="EQ33" i="2"/>
  <c r="EQ32" i="2"/>
  <c r="ER32" i="2"/>
  <c r="BD18" i="2"/>
  <c r="BD131" i="2" s="1"/>
  <c r="BD19" i="2"/>
  <c r="BD16" i="2"/>
  <c r="BD40" i="2"/>
  <c r="EB38" i="2"/>
  <c r="EB37" i="2"/>
  <c r="BC42" i="5"/>
  <c r="BC43" i="5"/>
  <c r="AB28" i="5"/>
  <c r="AB24" i="5"/>
  <c r="EU132" i="3"/>
  <c r="BA91" i="3"/>
  <c r="BA93" i="3" s="1"/>
  <c r="AZ93" i="3"/>
  <c r="EP147" i="2"/>
  <c r="CQ15" i="3"/>
  <c r="CQ14" i="3"/>
  <c r="CQ22" i="3"/>
  <c r="CS15" i="3"/>
  <c r="FG57" i="3"/>
  <c r="BU272" i="2"/>
  <c r="BU270" i="2"/>
  <c r="BU271" i="2"/>
  <c r="CT122" i="2"/>
  <c r="CT120" i="2"/>
  <c r="CT98" i="2"/>
  <c r="CT94" i="2"/>
  <c r="ER119" i="2"/>
  <c r="CT121" i="2"/>
  <c r="CT86" i="2"/>
  <c r="CT78" i="2"/>
  <c r="CT82" i="2"/>
  <c r="CT102" i="2"/>
  <c r="CT90" i="2"/>
  <c r="T141" i="3"/>
  <c r="T146" i="3" s="1"/>
  <c r="S146" i="3"/>
  <c r="BC257" i="2"/>
  <c r="BC256" i="2"/>
  <c r="BC245" i="2"/>
  <c r="BC253" i="2"/>
  <c r="BU19" i="6"/>
  <c r="AG8" i="6"/>
  <c r="DB38" i="5"/>
  <c r="DB43" i="5"/>
  <c r="AD66" i="5"/>
  <c r="AI28" i="5"/>
  <c r="AI29" i="5"/>
  <c r="AI24" i="5"/>
  <c r="CW48" i="5"/>
  <c r="AF28" i="5"/>
  <c r="AF24" i="5"/>
  <c r="AF29" i="5"/>
  <c r="AH28" i="5"/>
  <c r="CZ27" i="5"/>
  <c r="AH24" i="5"/>
  <c r="AH29" i="5"/>
  <c r="AJ84" i="5"/>
  <c r="BC44" i="5"/>
  <c r="AO54" i="5"/>
  <c r="AO8" i="5"/>
  <c r="AO12" i="5"/>
  <c r="AM248" i="3"/>
  <c r="AM173" i="3"/>
  <c r="AW254" i="3"/>
  <c r="AW255" i="3"/>
  <c r="AW242" i="3"/>
  <c r="AW253" i="3"/>
  <c r="AW252" i="3"/>
  <c r="DA143" i="3"/>
  <c r="DA146" i="3" s="1"/>
  <c r="CZ146" i="3"/>
  <c r="CU134" i="3"/>
  <c r="AI104" i="3"/>
  <c r="AJ100" i="3"/>
  <c r="BW58" i="4"/>
  <c r="AM241" i="3"/>
  <c r="AM251" i="3" s="1"/>
  <c r="AM167" i="3"/>
  <c r="Z126" i="3"/>
  <c r="BU14" i="6"/>
  <c r="CZ56" i="5"/>
  <c r="CZ74" i="5"/>
  <c r="CZ63" i="5"/>
  <c r="CS48" i="5"/>
  <c r="DB48" i="5"/>
  <c r="AF69" i="5"/>
  <c r="AJ71" i="5" s="1"/>
  <c r="BD41" i="5"/>
  <c r="BE38" i="5"/>
  <c r="BD20" i="5"/>
  <c r="BD40" i="5"/>
  <c r="DI48" i="5"/>
  <c r="BB69" i="5"/>
  <c r="BB42" i="5"/>
  <c r="BB43" i="5"/>
  <c r="CY10" i="5"/>
  <c r="AH50" i="5"/>
  <c r="AH53" i="5"/>
  <c r="AH52" i="5"/>
  <c r="AH51" i="5"/>
  <c r="CZ49" i="5"/>
  <c r="BD44" i="5"/>
  <c r="AN54" i="5"/>
  <c r="AN8" i="5"/>
  <c r="DJ67" i="4"/>
  <c r="AH69" i="5"/>
  <c r="DF31" i="4"/>
  <c r="AM65" i="5"/>
  <c r="BB44" i="5"/>
  <c r="DA43" i="5"/>
  <c r="DA38" i="5"/>
  <c r="CY43" i="5"/>
  <c r="CY38" i="5"/>
  <c r="CY40" i="5" s="1"/>
  <c r="DB18" i="4"/>
  <c r="DB17" i="4"/>
  <c r="BG133" i="3"/>
  <c r="BF134" i="3"/>
  <c r="BE54" i="5"/>
  <c r="BE30" i="5"/>
  <c r="BE72" i="5" s="1"/>
  <c r="DE72" i="5" s="1"/>
  <c r="BE8" i="5"/>
  <c r="BF11" i="5"/>
  <c r="AV173" i="3"/>
  <c r="AV248" i="3"/>
  <c r="AV247" i="3" s="1"/>
  <c r="CK144" i="3"/>
  <c r="DF142" i="3"/>
  <c r="BC141" i="3"/>
  <c r="P116" i="3"/>
  <c r="CY49" i="5"/>
  <c r="BQ55" i="4"/>
  <c r="CF303" i="3"/>
  <c r="BA181" i="3"/>
  <c r="AZ168" i="3"/>
  <c r="AZ187" i="3"/>
  <c r="AZ174" i="3" s="1"/>
  <c r="AZ185" i="3"/>
  <c r="AZ180" i="3"/>
  <c r="BN133" i="3"/>
  <c r="DB121" i="3"/>
  <c r="AX187" i="3"/>
  <c r="AX174" i="3" s="1"/>
  <c r="AX185" i="3"/>
  <c r="AX180" i="3"/>
  <c r="CW144" i="3"/>
  <c r="CW141" i="3"/>
  <c r="Z124" i="3"/>
  <c r="DL12" i="4"/>
  <c r="DB12" i="4"/>
  <c r="BS123" i="3"/>
  <c r="AY114" i="3"/>
  <c r="CT118" i="3"/>
  <c r="CU12" i="4"/>
  <c r="CR141" i="3"/>
  <c r="BM118" i="3"/>
  <c r="BN118" i="3" s="1"/>
  <c r="AE9" i="3"/>
  <c r="AE20" i="3"/>
  <c r="AE18" i="3"/>
  <c r="AJ9" i="3"/>
  <c r="DQ146" i="3"/>
  <c r="CB141" i="3"/>
  <c r="DB132" i="3"/>
  <c r="W168" i="3"/>
  <c r="EU134" i="3"/>
  <c r="CD93" i="3"/>
  <c r="CE88" i="3"/>
  <c r="CE93" i="3" s="1"/>
  <c r="EM90" i="2"/>
  <c r="EM89" i="2"/>
  <c r="AL29" i="5"/>
  <c r="AC167" i="3"/>
  <c r="AC251" i="3"/>
  <c r="AC256" i="3" s="1"/>
  <c r="Z132" i="3"/>
  <c r="Z125" i="3"/>
  <c r="DG115" i="3"/>
  <c r="FA92" i="3"/>
  <c r="FB92" i="3" s="1"/>
  <c r="FC92" i="3" s="1"/>
  <c r="FD92" i="3" s="1"/>
  <c r="EZ92" i="3"/>
  <c r="CF114" i="3"/>
  <c r="CG11" i="3"/>
  <c r="CH11" i="3" s="1"/>
  <c r="CF10" i="3"/>
  <c r="AZ11" i="2"/>
  <c r="BW238" i="2"/>
  <c r="BW234" i="2"/>
  <c r="BW257" i="2"/>
  <c r="BW253" i="2"/>
  <c r="BW258" i="2"/>
  <c r="BW245" i="2"/>
  <c r="BW226" i="2"/>
  <c r="CA256" i="2"/>
  <c r="EF238" i="2"/>
  <c r="CG172" i="2"/>
  <c r="FA98" i="3"/>
  <c r="FB98" i="3" s="1"/>
  <c r="FC98" i="3" s="1"/>
  <c r="FD98" i="3" s="1"/>
  <c r="EZ98" i="3"/>
  <c r="EW26" i="3"/>
  <c r="FF64" i="3"/>
  <c r="FG64" i="3" s="1"/>
  <c r="FH64" i="3" s="1"/>
  <c r="FI64" i="3" s="1"/>
  <c r="FE64" i="3"/>
  <c r="I56" i="3"/>
  <c r="I32" i="3"/>
  <c r="I24" i="3"/>
  <c r="J24" i="3"/>
  <c r="I23" i="3"/>
  <c r="AR173" i="3"/>
  <c r="W37" i="3"/>
  <c r="W35" i="3"/>
  <c r="W327" i="3" s="1"/>
  <c r="W328" i="3" s="1"/>
  <c r="EB32" i="3"/>
  <c r="EF119" i="2"/>
  <c r="EF102" i="2" s="1"/>
  <c r="CX145" i="2"/>
  <c r="CX146" i="2"/>
  <c r="EM142" i="2"/>
  <c r="EM143" i="2"/>
  <c r="BO254" i="2"/>
  <c r="BP247" i="2"/>
  <c r="H18" i="2"/>
  <c r="H40" i="2"/>
  <c r="CN91" i="3"/>
  <c r="CM91" i="3"/>
  <c r="DC22" i="3"/>
  <c r="DC15" i="3"/>
  <c r="DC14" i="3"/>
  <c r="DG13" i="3"/>
  <c r="CU90" i="2"/>
  <c r="CO90" i="2"/>
  <c r="AX96" i="3"/>
  <c r="AW100" i="3"/>
  <c r="AW104" i="3" s="1"/>
  <c r="CC137" i="2"/>
  <c r="CC138" i="2"/>
  <c r="EM136" i="2"/>
  <c r="EC38" i="2"/>
  <c r="EC37" i="2"/>
  <c r="BQ16" i="2"/>
  <c r="BQ40" i="2"/>
  <c r="BQ19" i="2"/>
  <c r="BQ18" i="2"/>
  <c r="BZ40" i="2"/>
  <c r="BZ19" i="2"/>
  <c r="BZ18" i="2"/>
  <c r="BZ17" i="2"/>
  <c r="DI15" i="3"/>
  <c r="DL13" i="3"/>
  <c r="DI14" i="3"/>
  <c r="DI22" i="3"/>
  <c r="EP143" i="2"/>
  <c r="EK85" i="2"/>
  <c r="EL85" i="2"/>
  <c r="EK86" i="2"/>
  <c r="CX40" i="2"/>
  <c r="CX16" i="2"/>
  <c r="CX18" i="2"/>
  <c r="CX17" i="2"/>
  <c r="CX19" i="2"/>
  <c r="BN40" i="2"/>
  <c r="BN18" i="2"/>
  <c r="BN19" i="2"/>
  <c r="BG21" i="2"/>
  <c r="BH36" i="2"/>
  <c r="BG37" i="2"/>
  <c r="BG36" i="2"/>
  <c r="BK37" i="2"/>
  <c r="BG38" i="2"/>
  <c r="DN71" i="3"/>
  <c r="DN13" i="3"/>
  <c r="DQ10" i="3"/>
  <c r="CA8" i="2"/>
  <c r="CC70" i="2" s="1"/>
  <c r="EK146" i="2"/>
  <c r="EK147" i="2"/>
  <c r="EL146" i="2"/>
  <c r="CN141" i="2"/>
  <c r="EA38" i="2"/>
  <c r="EA37" i="2"/>
  <c r="AH18" i="2"/>
  <c r="AH40" i="2"/>
  <c r="DH37" i="3"/>
  <c r="ER147" i="2"/>
  <c r="CT135" i="2"/>
  <c r="CS132" i="2"/>
  <c r="EQ132" i="2" s="1"/>
  <c r="CC106" i="2"/>
  <c r="CC104" i="2"/>
  <c r="CC105" i="2"/>
  <c r="EH86" i="2"/>
  <c r="EH85" i="2"/>
  <c r="DY32" i="2"/>
  <c r="BK19" i="2"/>
  <c r="BK18" i="2"/>
  <c r="BK40" i="2"/>
  <c r="AA18" i="2"/>
  <c r="CC71" i="2"/>
  <c r="CC10" i="2"/>
  <c r="CG10" i="2"/>
  <c r="CC9" i="2"/>
  <c r="CL122" i="2"/>
  <c r="CL110" i="2"/>
  <c r="CL98" i="2"/>
  <c r="CL114" i="2"/>
  <c r="CL102" i="2"/>
  <c r="CL86" i="2"/>
  <c r="CL78" i="2"/>
  <c r="CL94" i="2"/>
  <c r="CL82" i="2"/>
  <c r="CL90" i="2"/>
  <c r="EC32" i="2"/>
  <c r="EC33" i="2"/>
  <c r="AR18" i="2"/>
  <c r="AR17" i="2"/>
  <c r="AR19" i="2"/>
  <c r="AR40" i="2"/>
  <c r="B18" i="2"/>
  <c r="B40" i="2"/>
  <c r="CM10" i="2"/>
  <c r="CI10" i="2"/>
  <c r="CI9" i="2"/>
  <c r="BU134" i="2"/>
  <c r="BU133" i="2"/>
  <c r="EL110" i="2"/>
  <c r="BW15" i="4"/>
  <c r="BV17" i="4"/>
  <c r="BV18" i="4"/>
  <c r="BV16" i="4"/>
  <c r="DV38" i="2"/>
  <c r="DV37" i="2"/>
  <c r="H24" i="2"/>
  <c r="L23" i="2"/>
  <c r="I22" i="2"/>
  <c r="H22" i="2"/>
  <c r="H23" i="2"/>
  <c r="DY38" i="2"/>
  <c r="ET11" i="3"/>
  <c r="ET114" i="3" s="1"/>
  <c r="DA12" i="2"/>
  <c r="DA13" i="2"/>
  <c r="DB11" i="2"/>
  <c r="EM147" i="2"/>
  <c r="EM146" i="2"/>
  <c r="EP135" i="2"/>
  <c r="EP134" i="2"/>
  <c r="BK18" i="4"/>
  <c r="BK16" i="4"/>
  <c r="EN22" i="3"/>
  <c r="EN14" i="3"/>
  <c r="EN15" i="3"/>
  <c r="AK56" i="3"/>
  <c r="AK23" i="3"/>
  <c r="AK32" i="3"/>
  <c r="DS35" i="3"/>
  <c r="DS41" i="3" s="1"/>
  <c r="DS37" i="3"/>
  <c r="N23" i="3"/>
  <c r="N56" i="3"/>
  <c r="N32" i="3"/>
  <c r="AZ220" i="3"/>
  <c r="AZ229" i="3" s="1"/>
  <c r="AZ228" i="3" s="1"/>
  <c r="AZ218" i="3"/>
  <c r="BC216" i="3"/>
  <c r="AZ213" i="3"/>
  <c r="DK93" i="3"/>
  <c r="DM88" i="3"/>
  <c r="DL88" i="3"/>
  <c r="C56" i="3"/>
  <c r="C32" i="3"/>
  <c r="C24" i="3"/>
  <c r="BA14" i="3"/>
  <c r="AS248" i="3"/>
  <c r="BE317" i="3"/>
  <c r="BE316" i="3" s="1"/>
  <c r="BC316" i="3"/>
  <c r="Z27" i="3"/>
  <c r="DD22" i="3"/>
  <c r="DD14" i="3"/>
  <c r="DD15" i="3"/>
  <c r="M22" i="3"/>
  <c r="N24" i="3" s="1"/>
  <c r="M15" i="3"/>
  <c r="M14" i="3"/>
  <c r="AC172" i="3"/>
  <c r="AC22" i="3"/>
  <c r="AC14" i="3"/>
  <c r="P13" i="3"/>
  <c r="L14" i="3"/>
  <c r="L15" i="3"/>
  <c r="L22" i="3"/>
  <c r="CB105" i="2"/>
  <c r="CB104" i="2"/>
  <c r="CB106" i="2"/>
  <c r="EM103" i="2"/>
  <c r="EP107" i="2"/>
  <c r="CP107" i="2"/>
  <c r="CO110" i="2"/>
  <c r="BE246" i="2"/>
  <c r="BI248" i="2" s="1"/>
  <c r="BE90" i="2"/>
  <c r="BE82" i="2"/>
  <c r="BE120" i="2"/>
  <c r="BE94" i="2"/>
  <c r="BE122" i="2"/>
  <c r="BE102" i="2"/>
  <c r="BE98" i="2"/>
  <c r="BE78" i="2"/>
  <c r="BF120" i="2"/>
  <c r="BU17" i="4"/>
  <c r="BU18" i="4"/>
  <c r="BU16" i="4"/>
  <c r="BO17" i="4"/>
  <c r="BO18" i="4"/>
  <c r="BO16" i="4"/>
  <c r="EP13" i="2"/>
  <c r="EP14" i="2"/>
  <c r="BV22" i="3"/>
  <c r="BV14" i="3"/>
  <c r="EG119" i="2"/>
  <c r="EG101" i="2"/>
  <c r="BP56" i="3"/>
  <c r="BP23" i="3"/>
  <c r="BP32" i="3"/>
  <c r="CV121" i="2"/>
  <c r="CV86" i="2"/>
  <c r="CV102" i="2"/>
  <c r="CV98" i="2"/>
  <c r="CV94" i="2"/>
  <c r="CV120" i="2"/>
  <c r="CV82" i="2"/>
  <c r="CV78" i="2"/>
  <c r="CV122" i="2"/>
  <c r="CP121" i="2"/>
  <c r="CP102" i="2"/>
  <c r="EQ119" i="2"/>
  <c r="EQ90" i="2" s="1"/>
  <c r="CP94" i="2"/>
  <c r="CP82" i="2"/>
  <c r="CP122" i="2"/>
  <c r="CP78" i="2"/>
  <c r="CP86" i="2"/>
  <c r="CP98" i="2"/>
  <c r="CP120" i="2"/>
  <c r="BN149" i="2"/>
  <c r="EJ148" i="2"/>
  <c r="EK150" i="2" s="1"/>
  <c r="CQ133" i="3"/>
  <c r="CQ134" i="3" s="1"/>
  <c r="CP134" i="3"/>
  <c r="CE22" i="3"/>
  <c r="CE14" i="3"/>
  <c r="CE15" i="3"/>
  <c r="CD140" i="2"/>
  <c r="CE143" i="2"/>
  <c r="CE140" i="2" s="1"/>
  <c r="EK90" i="2"/>
  <c r="EK78" i="2"/>
  <c r="EK102" i="2"/>
  <c r="BS18" i="4"/>
  <c r="BS16" i="4"/>
  <c r="BS17" i="4"/>
  <c r="CJ63" i="3"/>
  <c r="CI74" i="3"/>
  <c r="CN103" i="2"/>
  <c r="CM106" i="2"/>
  <c r="CB71" i="2"/>
  <c r="ES13" i="2"/>
  <c r="AP40" i="2"/>
  <c r="AP19" i="2"/>
  <c r="AP18" i="2"/>
  <c r="AP17" i="2"/>
  <c r="AZ13" i="3"/>
  <c r="AZ71" i="3"/>
  <c r="Z8" i="2"/>
  <c r="BL15" i="4"/>
  <c r="CN88" i="2"/>
  <c r="CN119" i="2"/>
  <c r="CN114" i="2" s="1"/>
  <c r="CO88" i="2"/>
  <c r="CN136" i="2"/>
  <c r="CO137" i="2" s="1"/>
  <c r="CY81" i="2"/>
  <c r="CZ79" i="2"/>
  <c r="CY132" i="2"/>
  <c r="DU38" i="2"/>
  <c r="DU37" i="2"/>
  <c r="ER14" i="2"/>
  <c r="ER13" i="2"/>
  <c r="EO8" i="2"/>
  <c r="CR17" i="2"/>
  <c r="EG252" i="2"/>
  <c r="CR133" i="2"/>
  <c r="CR134" i="2"/>
  <c r="CF93" i="2"/>
  <c r="CG91" i="2"/>
  <c r="CF87" i="2"/>
  <c r="CF119" i="2" s="1"/>
  <c r="CF140" i="2"/>
  <c r="CG22" i="2"/>
  <c r="CG25" i="2"/>
  <c r="CG24" i="2"/>
  <c r="CH22" i="2"/>
  <c r="BE40" i="2"/>
  <c r="BE16" i="2"/>
  <c r="BE19" i="2"/>
  <c r="BE18" i="2"/>
  <c r="BE131" i="2" s="1"/>
  <c r="DP14" i="3"/>
  <c r="DP15" i="3"/>
  <c r="DP22" i="3"/>
  <c r="BR271" i="2"/>
  <c r="BR272" i="2"/>
  <c r="BR270" i="2"/>
  <c r="EL139" i="2"/>
  <c r="EL138" i="2"/>
  <c r="EK282" i="2"/>
  <c r="EK280" i="2"/>
  <c r="EM11" i="2"/>
  <c r="DX22" i="3"/>
  <c r="DY24" i="3" s="1"/>
  <c r="DX15" i="3"/>
  <c r="DX14" i="3"/>
  <c r="BW135" i="2"/>
  <c r="BV132" i="2"/>
  <c r="EK82" i="2"/>
  <c r="EA33" i="2"/>
  <c r="B24" i="2"/>
  <c r="F23" i="2"/>
  <c r="DT21" i="2"/>
  <c r="C22" i="2"/>
  <c r="BI121" i="2"/>
  <c r="BB18" i="4"/>
  <c r="BB16" i="4"/>
  <c r="BB17" i="4"/>
  <c r="BF152" i="2"/>
  <c r="BG155" i="2"/>
  <c r="BM18" i="4"/>
  <c r="CM18" i="2"/>
  <c r="BW70" i="2"/>
  <c r="BY70" i="2"/>
  <c r="BW10" i="2"/>
  <c r="BW9" i="2"/>
  <c r="BZ70" i="2"/>
  <c r="DH113" i="2"/>
  <c r="DI111" i="2"/>
  <c r="DH112" i="2"/>
  <c r="BB21" i="2"/>
  <c r="BB38" i="2"/>
  <c r="EG35" i="2"/>
  <c r="BB36" i="2"/>
  <c r="BB37" i="2"/>
  <c r="BF37" i="2"/>
  <c r="EJ139" i="2"/>
  <c r="BA18" i="4"/>
  <c r="BA16" i="4"/>
  <c r="BA17" i="4"/>
  <c r="EM86" i="2"/>
  <c r="EN85" i="2"/>
  <c r="EM85" i="2"/>
  <c r="EG85" i="2"/>
  <c r="BV71" i="2"/>
  <c r="DW38" i="2"/>
  <c r="DW37" i="2"/>
  <c r="AN44" i="2"/>
  <c r="AN43" i="2"/>
  <c r="CX148" i="2"/>
  <c r="CX101" i="2"/>
  <c r="CY99" i="2"/>
  <c r="CX100" i="2"/>
  <c r="CX102" i="2"/>
  <c r="CF40" i="2"/>
  <c r="CF16" i="2"/>
  <c r="CF19" i="2"/>
  <c r="CF18" i="2"/>
  <c r="CF17" i="2"/>
  <c r="ER114" i="3"/>
  <c r="G24" i="3"/>
  <c r="G23" i="3"/>
  <c r="K22" i="3"/>
  <c r="G56" i="3"/>
  <c r="G32" i="3"/>
  <c r="EJ252" i="2"/>
  <c r="CD114" i="2"/>
  <c r="CD113" i="2"/>
  <c r="CE111" i="2"/>
  <c r="CD103" i="2"/>
  <c r="CD112" i="2"/>
  <c r="CA23" i="2"/>
  <c r="CA22" i="2"/>
  <c r="CA25" i="2"/>
  <c r="CA24" i="2"/>
  <c r="EI13" i="2"/>
  <c r="EI14" i="2"/>
  <c r="AY40" i="2"/>
  <c r="CR42" i="3"/>
  <c r="BX271" i="2"/>
  <c r="BX272" i="2"/>
  <c r="BX270" i="2"/>
  <c r="CB271" i="2"/>
  <c r="CD121" i="2"/>
  <c r="CD102" i="2"/>
  <c r="CD98" i="2"/>
  <c r="CD94" i="2"/>
  <c r="CD78" i="2"/>
  <c r="CD122" i="2"/>
  <c r="CD86" i="2"/>
  <c r="CD110" i="2"/>
  <c r="CD120" i="2"/>
  <c r="CD82" i="2"/>
  <c r="DW33" i="2"/>
  <c r="DW32" i="2"/>
  <c r="EO14" i="2"/>
  <c r="CH19" i="2"/>
  <c r="CH16" i="2"/>
  <c r="CH18" i="2"/>
  <c r="CH40" i="2"/>
  <c r="BP18" i="4"/>
  <c r="BP16" i="4"/>
  <c r="AR25" i="2"/>
  <c r="AR24" i="2"/>
  <c r="AV23" i="2"/>
  <c r="AS22" i="2"/>
  <c r="AR22" i="2"/>
  <c r="AR23" i="2"/>
  <c r="D24" i="3"/>
  <c r="DC29" i="2"/>
  <c r="BQ255" i="2"/>
  <c r="BQ257" i="2"/>
  <c r="BQ258" i="2"/>
  <c r="BQ253" i="2"/>
  <c r="BQ245" i="2"/>
  <c r="BR255" i="2"/>
  <c r="BV248" i="2"/>
  <c r="BV247" i="2"/>
  <c r="EL246" i="2"/>
  <c r="BV254" i="2"/>
  <c r="BV249" i="2" s="1"/>
  <c r="BW247" i="2"/>
  <c r="CH174" i="2"/>
  <c r="CH173" i="2"/>
  <c r="CH172" i="2"/>
  <c r="CH178" i="2"/>
  <c r="CH176" i="2"/>
  <c r="EO168" i="2"/>
  <c r="CH179" i="2"/>
  <c r="CH175" i="2"/>
  <c r="CH177" i="2"/>
  <c r="EM22" i="3"/>
  <c r="EM15" i="3"/>
  <c r="EM14" i="3"/>
  <c r="EP13" i="3"/>
  <c r="CR144" i="3"/>
  <c r="AR247" i="3"/>
  <c r="Q13" i="3"/>
  <c r="Q71" i="3"/>
  <c r="M146" i="3"/>
  <c r="N140" i="3"/>
  <c r="DU56" i="3"/>
  <c r="DU107" i="3" s="1"/>
  <c r="DU32" i="3"/>
  <c r="DU24" i="3"/>
  <c r="DU23" i="3"/>
  <c r="CQ102" i="2"/>
  <c r="CQ78" i="2"/>
  <c r="CQ94" i="2"/>
  <c r="CQ82" i="2"/>
  <c r="CQ86" i="2"/>
  <c r="CQ122" i="2"/>
  <c r="CQ121" i="2"/>
  <c r="CQ98" i="2"/>
  <c r="CQ120" i="2"/>
  <c r="BH246" i="2"/>
  <c r="BI247" i="2" s="1"/>
  <c r="BH122" i="2"/>
  <c r="BH120" i="2"/>
  <c r="BH90" i="2"/>
  <c r="BH82" i="2"/>
  <c r="BH121" i="2"/>
  <c r="BH98" i="2"/>
  <c r="BH78" i="2"/>
  <c r="BH94" i="2"/>
  <c r="EM7" i="2"/>
  <c r="AL71" i="3"/>
  <c r="AL13" i="3"/>
  <c r="O8" i="2"/>
  <c r="P9" i="2" s="1"/>
  <c r="BD122" i="2"/>
  <c r="BD120" i="2"/>
  <c r="BD98" i="2"/>
  <c r="BD94" i="2"/>
  <c r="BD246" i="2"/>
  <c r="BD90" i="2"/>
  <c r="BD102" i="2"/>
  <c r="BD78" i="2"/>
  <c r="BD86" i="2"/>
  <c r="BD82" i="2"/>
  <c r="ER15" i="2"/>
  <c r="CT18" i="2"/>
  <c r="CT17" i="2"/>
  <c r="CT19" i="2"/>
  <c r="CT40" i="2"/>
  <c r="BO22" i="3"/>
  <c r="BO15" i="3"/>
  <c r="BO14" i="3"/>
  <c r="BE153" i="2"/>
  <c r="BD153" i="2"/>
  <c r="CG16" i="2"/>
  <c r="CG18" i="2"/>
  <c r="CG40" i="2"/>
  <c r="CG19" i="2"/>
  <c r="BX9" i="2"/>
  <c r="AT100" i="3"/>
  <c r="AS104" i="3"/>
  <c r="EV57" i="3"/>
  <c r="EK225" i="2"/>
  <c r="AZ74" i="3"/>
  <c r="AZ86" i="3" s="1"/>
  <c r="BA63" i="3"/>
  <c r="AQ245" i="3"/>
  <c r="EK139" i="2"/>
  <c r="EK138" i="2"/>
  <c r="DF112" i="2"/>
  <c r="DE112" i="2"/>
  <c r="EW111" i="2"/>
  <c r="ET111" i="2"/>
  <c r="DA91" i="2"/>
  <c r="ES91" i="2" s="1"/>
  <c r="CZ140" i="2"/>
  <c r="CZ93" i="2"/>
  <c r="BT256" i="2"/>
  <c r="EU111" i="2"/>
  <c r="CX133" i="2"/>
  <c r="CJ17" i="2"/>
  <c r="CJ18" i="2"/>
  <c r="CJ19" i="2"/>
  <c r="CJ40" i="2"/>
  <c r="DT14" i="2"/>
  <c r="EK7" i="2"/>
  <c r="K14" i="3"/>
  <c r="K15" i="3"/>
  <c r="EL277" i="2"/>
  <c r="BC36" i="2"/>
  <c r="DX37" i="2"/>
  <c r="DX38" i="2"/>
  <c r="BU23" i="2"/>
  <c r="BU22" i="2"/>
  <c r="BU25" i="2"/>
  <c r="BU24" i="2"/>
  <c r="CU16" i="2"/>
  <c r="CI15" i="2"/>
  <c r="EO15" i="2" s="1"/>
  <c r="AS40" i="2"/>
  <c r="AS16" i="2"/>
  <c r="AS19" i="2"/>
  <c r="AS18" i="2"/>
  <c r="I40" i="2"/>
  <c r="I18" i="2"/>
  <c r="O56" i="3"/>
  <c r="O23" i="3"/>
  <c r="O32" i="3"/>
  <c r="O24" i="3"/>
  <c r="CS148" i="2"/>
  <c r="CT151" i="2"/>
  <c r="CT148" i="2" s="1"/>
  <c r="EL38" i="2"/>
  <c r="BV18" i="2"/>
  <c r="BV19" i="2"/>
  <c r="BV40" i="2"/>
  <c r="AI125" i="3"/>
  <c r="AJ125" i="3" s="1"/>
  <c r="CR122" i="2"/>
  <c r="CR120" i="2"/>
  <c r="CR102" i="2"/>
  <c r="CR98" i="2"/>
  <c r="CR86" i="2"/>
  <c r="CR78" i="2"/>
  <c r="CR82" i="2"/>
  <c r="CR94" i="2"/>
  <c r="EH94" i="2"/>
  <c r="CX138" i="2"/>
  <c r="CX137" i="2"/>
  <c r="EK33" i="2"/>
  <c r="EK32" i="2"/>
  <c r="AF24" i="2"/>
  <c r="AJ23" i="2"/>
  <c r="AF22" i="2"/>
  <c r="AG22" i="2"/>
  <c r="AF23" i="2"/>
  <c r="EL14" i="2"/>
  <c r="EL13" i="2"/>
  <c r="BO40" i="2"/>
  <c r="S16" i="2"/>
  <c r="S40" i="2"/>
  <c r="S18" i="2"/>
  <c r="BS270" i="2"/>
  <c r="EK132" i="2"/>
  <c r="BI219" i="2"/>
  <c r="BI249" i="2"/>
  <c r="EK110" i="2"/>
  <c r="BB40" i="2"/>
  <c r="EG15" i="2"/>
  <c r="BB17" i="2"/>
  <c r="BB19" i="2"/>
  <c r="BB18" i="2"/>
  <c r="BB131" i="2" s="1"/>
  <c r="DX7" i="2"/>
  <c r="AJ17" i="2"/>
  <c r="AJ18" i="2"/>
  <c r="AJ16" i="2"/>
  <c r="BL16" i="2"/>
  <c r="EL8" i="2"/>
  <c r="CN112" i="2"/>
  <c r="CO111" i="2"/>
  <c r="CN113" i="2"/>
  <c r="AY17" i="4"/>
  <c r="AY18" i="4"/>
  <c r="AY16" i="4"/>
  <c r="DC15" i="4"/>
  <c r="CT24" i="3"/>
  <c r="CT23" i="3"/>
  <c r="CT56" i="3"/>
  <c r="CT32" i="3"/>
  <c r="EK151" i="2"/>
  <c r="BM84" i="3"/>
  <c r="BO82" i="3"/>
  <c r="BO84" i="3" s="1"/>
  <c r="BO86" i="3" s="1"/>
  <c r="BN82" i="3"/>
  <c r="CW42" i="3"/>
  <c r="EZ83" i="3"/>
  <c r="FA83" i="3"/>
  <c r="FB83" i="3" s="1"/>
  <c r="FC83" i="3" s="1"/>
  <c r="FD83" i="3" s="1"/>
  <c r="EQ56" i="3"/>
  <c r="EQ107" i="3" s="1"/>
  <c r="EQ23" i="3"/>
  <c r="EQ32" i="3"/>
  <c r="AP245" i="3"/>
  <c r="AP171" i="3"/>
  <c r="B56" i="3"/>
  <c r="F22" i="3"/>
  <c r="B32" i="3"/>
  <c r="BC314" i="3"/>
  <c r="BE315" i="3"/>
  <c r="EJ22" i="3"/>
  <c r="EJ15" i="3"/>
  <c r="EJ14" i="3"/>
  <c r="Z117" i="3"/>
  <c r="V14" i="3"/>
  <c r="Z13" i="3"/>
  <c r="V22" i="3"/>
  <c r="BK246" i="2"/>
  <c r="BK121" i="2"/>
  <c r="BK90" i="2"/>
  <c r="BK82" i="2"/>
  <c r="BK122" i="2"/>
  <c r="BK120" i="2"/>
  <c r="BK98" i="2"/>
  <c r="BL120" i="2"/>
  <c r="BO121" i="2"/>
  <c r="BK78" i="2"/>
  <c r="BK94" i="2"/>
  <c r="EJ282" i="2"/>
  <c r="AN10" i="3"/>
  <c r="AO10" i="3" s="1"/>
  <c r="Q11" i="2"/>
  <c r="AB71" i="3"/>
  <c r="AB13" i="3"/>
  <c r="AC15" i="3" s="1"/>
  <c r="AE10" i="3"/>
  <c r="G8" i="2"/>
  <c r="CR142" i="2"/>
  <c r="EE119" i="2"/>
  <c r="CZ112" i="2"/>
  <c r="DA111" i="2"/>
  <c r="DE113" i="2" s="1"/>
  <c r="EL121" i="2"/>
  <c r="EL78" i="2"/>
  <c r="EL98" i="2"/>
  <c r="EL102" i="2"/>
  <c r="BP19" i="2"/>
  <c r="BP17" i="2"/>
  <c r="BP18" i="2"/>
  <c r="BP40" i="2"/>
  <c r="EJ14" i="2"/>
  <c r="EJ13" i="2"/>
  <c r="BC248" i="2"/>
  <c r="BC249" i="2"/>
  <c r="BC219" i="2"/>
  <c r="EL286" i="2"/>
  <c r="CE145" i="2"/>
  <c r="CE146" i="2"/>
  <c r="CU137" i="2"/>
  <c r="CU138" i="2"/>
  <c r="BK86" i="2"/>
  <c r="CB314" i="3"/>
  <c r="CD315" i="3"/>
  <c r="CY142" i="2"/>
  <c r="CY141" i="2"/>
  <c r="CK19" i="2"/>
  <c r="CK18" i="2"/>
  <c r="CK40" i="2"/>
  <c r="CK17" i="2"/>
  <c r="CK16" i="2"/>
  <c r="EK13" i="2"/>
  <c r="AQ28" i="2"/>
  <c r="BM37" i="2"/>
  <c r="BN36" i="2"/>
  <c r="BM21" i="2"/>
  <c r="BM36" i="2"/>
  <c r="BM38" i="2"/>
  <c r="BQ37" i="2"/>
  <c r="CA13" i="2"/>
  <c r="CA12" i="2"/>
  <c r="CE13" i="2"/>
  <c r="CA14" i="2"/>
  <c r="BI257" i="2"/>
  <c r="BI245" i="2"/>
  <c r="DD113" i="2"/>
  <c r="DV67" i="2"/>
  <c r="EQ13" i="2"/>
  <c r="EH35" i="2"/>
  <c r="DU7" i="2"/>
  <c r="EI35" i="2"/>
  <c r="CY23" i="2"/>
  <c r="CY22" i="2"/>
  <c r="CY25" i="2"/>
  <c r="BO25" i="2"/>
  <c r="CW19" i="2"/>
  <c r="CW18" i="2"/>
  <c r="CW40" i="2"/>
  <c r="CW16" i="2"/>
  <c r="CW17" i="2"/>
  <c r="BW15" i="2"/>
  <c r="AM16" i="2"/>
  <c r="AM19" i="2"/>
  <c r="AM18" i="2"/>
  <c r="AM40" i="2"/>
  <c r="C16" i="2"/>
  <c r="C18" i="2"/>
  <c r="C40" i="2"/>
  <c r="EL282" i="2"/>
  <c r="CR149" i="2"/>
  <c r="CR150" i="2"/>
  <c r="CV150" i="2"/>
  <c r="BJ18" i="4"/>
  <c r="DT38" i="2"/>
  <c r="EL33" i="2"/>
  <c r="EL32" i="2"/>
  <c r="BJ18" i="2"/>
  <c r="BJ131" i="2" s="1"/>
  <c r="EH102" i="2"/>
  <c r="CR90" i="2"/>
  <c r="DU33" i="2"/>
  <c r="DU32" i="2"/>
  <c r="Z24" i="2"/>
  <c r="AD23" i="2"/>
  <c r="Z23" i="2"/>
  <c r="AA22" i="2"/>
  <c r="Z22" i="2"/>
  <c r="CQ19" i="2"/>
  <c r="CQ18" i="2"/>
  <c r="CQ40" i="2"/>
  <c r="CQ16" i="2"/>
  <c r="EN7" i="2"/>
  <c r="BI17" i="2"/>
  <c r="BI19" i="2"/>
  <c r="BI40" i="2"/>
  <c r="BI18" i="2"/>
  <c r="BI131" i="2" s="1"/>
  <c r="D37" i="3"/>
  <c r="EG7" i="2"/>
  <c r="EA21" i="2"/>
  <c r="CL18" i="2"/>
  <c r="DV33" i="2"/>
  <c r="BY19" i="2" l="1"/>
  <c r="EL15" i="2"/>
  <c r="W17" i="2"/>
  <c r="DZ32" i="2"/>
  <c r="CO16" i="2"/>
  <c r="DZ33" i="2"/>
  <c r="EL10" i="2"/>
  <c r="BT245" i="2"/>
  <c r="F16" i="2"/>
  <c r="BG18" i="2"/>
  <c r="BG131" i="2" s="1"/>
  <c r="BY16" i="2"/>
  <c r="CO40" i="2"/>
  <c r="CO44" i="2" s="1"/>
  <c r="CO47" i="2" s="1"/>
  <c r="CC17" i="2"/>
  <c r="EH33" i="2"/>
  <c r="BM19" i="2"/>
  <c r="BZ16" i="2"/>
  <c r="BT249" i="2"/>
  <c r="AD22" i="2"/>
  <c r="CO19" i="2"/>
  <c r="CL17" i="2"/>
  <c r="BO22" i="2"/>
  <c r="AO12" i="2"/>
  <c r="BO18" i="2"/>
  <c r="W16" i="2"/>
  <c r="AY16" i="2"/>
  <c r="CR18" i="2"/>
  <c r="H17" i="2"/>
  <c r="EE35" i="3"/>
  <c r="EE41" i="3" s="1"/>
  <c r="BA23" i="2"/>
  <c r="E16" i="2"/>
  <c r="AT40" i="2"/>
  <c r="AT44" i="2" s="1"/>
  <c r="CR16" i="2"/>
  <c r="AI17" i="2"/>
  <c r="AA17" i="2"/>
  <c r="EJ15" i="2"/>
  <c r="EJ19" i="2" s="1"/>
  <c r="BS17" i="2"/>
  <c r="EQ15" i="2"/>
  <c r="EQ19" i="2" s="1"/>
  <c r="EH13" i="2"/>
  <c r="CS17" i="2"/>
  <c r="CK22" i="2"/>
  <c r="CJ22" i="2"/>
  <c r="CN23" i="2"/>
  <c r="AX17" i="2"/>
  <c r="CK25" i="2"/>
  <c r="AW22" i="2"/>
  <c r="AW23" i="2"/>
  <c r="EC11" i="2"/>
  <c r="EC14" i="2" s="1"/>
  <c r="CS40" i="2"/>
  <c r="CS44" i="2" s="1"/>
  <c r="CS47" i="2" s="1"/>
  <c r="CJ25" i="2"/>
  <c r="CJ28" i="2" s="1"/>
  <c r="CM16" i="2"/>
  <c r="BO23" i="2"/>
  <c r="W40" i="2"/>
  <c r="D40" i="2"/>
  <c r="D41" i="2" s="1"/>
  <c r="CS16" i="2"/>
  <c r="AT17" i="2"/>
  <c r="AM17" i="2"/>
  <c r="AO13" i="2"/>
  <c r="BO16" i="2"/>
  <c r="CR19" i="2"/>
  <c r="AI16" i="2"/>
  <c r="CL16" i="2"/>
  <c r="BP16" i="2"/>
  <c r="AT16" i="2"/>
  <c r="AY18" i="2"/>
  <c r="D16" i="2"/>
  <c r="CR40" i="2"/>
  <c r="CR43" i="2" s="1"/>
  <c r="AI40" i="2"/>
  <c r="CK23" i="2"/>
  <c r="CL22" i="2"/>
  <c r="AT19" i="2"/>
  <c r="EO21" i="2"/>
  <c r="EO24" i="2" s="1"/>
  <c r="AP12" i="2"/>
  <c r="CP17" i="2"/>
  <c r="CG134" i="3"/>
  <c r="CH134" i="3" s="1"/>
  <c r="EQ37" i="2"/>
  <c r="CL40" i="2"/>
  <c r="AO14" i="2"/>
  <c r="BO17" i="2"/>
  <c r="CT16" i="2"/>
  <c r="CJ23" i="2"/>
  <c r="ER37" i="2"/>
  <c r="CS32" i="3"/>
  <c r="CI23" i="3"/>
  <c r="BR16" i="2"/>
  <c r="CI56" i="3"/>
  <c r="AJ40" i="2"/>
  <c r="AN42" i="2" s="1"/>
  <c r="I16" i="2"/>
  <c r="AA40" i="2"/>
  <c r="CM25" i="2"/>
  <c r="CM26" i="2" s="1"/>
  <c r="EB15" i="2"/>
  <c r="EB18" i="2" s="1"/>
  <c r="AD167" i="3"/>
  <c r="V17" i="2"/>
  <c r="BP22" i="2"/>
  <c r="ED15" i="2"/>
  <c r="BW32" i="3"/>
  <c r="CO43" i="2"/>
  <c r="BR19" i="2"/>
  <c r="CN16" i="2"/>
  <c r="BS10" i="3"/>
  <c r="AQ16" i="2"/>
  <c r="BD11" i="3"/>
  <c r="J17" i="2"/>
  <c r="Y134" i="3"/>
  <c r="Z134" i="3" s="1"/>
  <c r="AY23" i="2"/>
  <c r="AX23" i="2"/>
  <c r="DM56" i="3"/>
  <c r="DM107" i="3" s="1"/>
  <c r="AT114" i="3"/>
  <c r="AC23" i="2"/>
  <c r="BF22" i="2"/>
  <c r="BS253" i="2"/>
  <c r="BR17" i="2"/>
  <c r="CN22" i="2"/>
  <c r="CM19" i="2"/>
  <c r="CY56" i="3"/>
  <c r="CM22" i="2"/>
  <c r="AO8" i="2"/>
  <c r="AO9" i="2" s="1"/>
  <c r="AG171" i="3"/>
  <c r="EF15" i="3"/>
  <c r="DR96" i="3"/>
  <c r="BN146" i="3"/>
  <c r="BP24" i="2"/>
  <c r="BL22" i="2"/>
  <c r="BR253" i="2"/>
  <c r="AW134" i="3"/>
  <c r="DQ96" i="3"/>
  <c r="DQ106" i="3" s="1"/>
  <c r="DZ21" i="2"/>
  <c r="DZ23" i="2" s="1"/>
  <c r="CM24" i="2"/>
  <c r="BR258" i="2"/>
  <c r="AC22" i="2"/>
  <c r="BR40" i="2"/>
  <c r="AT27" i="2"/>
  <c r="BT258" i="2"/>
  <c r="CM40" i="2"/>
  <c r="CD84" i="3"/>
  <c r="CD86" i="3" s="1"/>
  <c r="BK17" i="2"/>
  <c r="CM23" i="2"/>
  <c r="BR13" i="3"/>
  <c r="BS13" i="3" s="1"/>
  <c r="DM23" i="3"/>
  <c r="BR249" i="2"/>
  <c r="BT226" i="2"/>
  <c r="AT24" i="2"/>
  <c r="BT257" i="2"/>
  <c r="BR257" i="2"/>
  <c r="CV24" i="2"/>
  <c r="BJ26" i="2"/>
  <c r="CQ17" i="2"/>
  <c r="EP15" i="2"/>
  <c r="EP18" i="2" s="1"/>
  <c r="BR18" i="2"/>
  <c r="BT253" i="2"/>
  <c r="AQ56" i="3"/>
  <c r="DT37" i="3"/>
  <c r="DT53" i="3" s="1"/>
  <c r="CF52" i="2" s="1"/>
  <c r="BH18" i="2"/>
  <c r="BH131" i="2" s="1"/>
  <c r="BH151" i="2" s="1"/>
  <c r="BH148" i="2" s="1"/>
  <c r="EC54" i="3"/>
  <c r="BY17" i="2"/>
  <c r="EF14" i="3"/>
  <c r="X32" i="3"/>
  <c r="BC27" i="2"/>
  <c r="AU23" i="2"/>
  <c r="AU22" i="2"/>
  <c r="AG23" i="2"/>
  <c r="BX134" i="3"/>
  <c r="AJ146" i="3"/>
  <c r="BP27" i="2"/>
  <c r="AD26" i="5"/>
  <c r="AQ32" i="3"/>
  <c r="BH16" i="2"/>
  <c r="BQ17" i="2"/>
  <c r="EC53" i="3"/>
  <c r="CM52" i="2" s="1"/>
  <c r="EH14" i="2"/>
  <c r="BU19" i="2"/>
  <c r="AQ23" i="3"/>
  <c r="EK10" i="2"/>
  <c r="CW22" i="3"/>
  <c r="BH19" i="2"/>
  <c r="BM17" i="2"/>
  <c r="CL88" i="3"/>
  <c r="Z14" i="5"/>
  <c r="CZ65" i="5"/>
  <c r="EN32" i="2"/>
  <c r="X23" i="3"/>
  <c r="AS146" i="3"/>
  <c r="AT146" i="3" s="1"/>
  <c r="BP23" i="2"/>
  <c r="BE23" i="2"/>
  <c r="BJ24" i="2"/>
  <c r="BN134" i="3"/>
  <c r="BD114" i="3"/>
  <c r="EL37" i="2"/>
  <c r="BU18" i="2"/>
  <c r="EF33" i="2"/>
  <c r="CY24" i="3"/>
  <c r="EK37" i="2"/>
  <c r="EM32" i="2"/>
  <c r="AM69" i="5"/>
  <c r="AM66" i="5" s="1"/>
  <c r="X24" i="3"/>
  <c r="EI7" i="2"/>
  <c r="AQ17" i="2"/>
  <c r="AQ18" i="2"/>
  <c r="BE22" i="2"/>
  <c r="BS24" i="2"/>
  <c r="Y24" i="3"/>
  <c r="CM13" i="3"/>
  <c r="CM14" i="3" s="1"/>
  <c r="CO23" i="2"/>
  <c r="CD40" i="2"/>
  <c r="EN40" i="2" s="1"/>
  <c r="CD19" i="2"/>
  <c r="BL17" i="2"/>
  <c r="BV16" i="2"/>
  <c r="DK44" i="3"/>
  <c r="DK113" i="3" s="1"/>
  <c r="DK129" i="3" s="1"/>
  <c r="BU40" i="2"/>
  <c r="BU44" i="2" s="1"/>
  <c r="BA15" i="3"/>
  <c r="CS23" i="3"/>
  <c r="BM16" i="2"/>
  <c r="EI23" i="3"/>
  <c r="AC11" i="2"/>
  <c r="DZ11" i="2" s="1"/>
  <c r="CY32" i="3"/>
  <c r="CY37" i="3" s="1"/>
  <c r="AA23" i="3"/>
  <c r="BG17" i="2"/>
  <c r="BM40" i="2"/>
  <c r="BN16" i="2"/>
  <c r="CE16" i="2"/>
  <c r="BW27" i="2"/>
  <c r="BS22" i="2"/>
  <c r="BN23" i="2"/>
  <c r="BW23" i="2"/>
  <c r="BS23" i="2"/>
  <c r="EH10" i="2"/>
  <c r="BG19" i="2"/>
  <c r="EI24" i="3"/>
  <c r="BI23" i="2"/>
  <c r="EI32" i="3"/>
  <c r="CH17" i="2"/>
  <c r="AA56" i="3"/>
  <c r="BH40" i="2"/>
  <c r="BH42" i="2" s="1"/>
  <c r="CD17" i="2"/>
  <c r="BI16" i="2"/>
  <c r="EK21" i="2"/>
  <c r="EK24" i="2" s="1"/>
  <c r="AR16" i="2"/>
  <c r="CS24" i="3"/>
  <c r="EC35" i="3"/>
  <c r="EC41" i="3" s="1"/>
  <c r="Y245" i="3"/>
  <c r="Y244" i="3" s="1"/>
  <c r="BT22" i="2"/>
  <c r="BE25" i="2"/>
  <c r="BF26" i="2" s="1"/>
  <c r="AJ10" i="3"/>
  <c r="CC134" i="3"/>
  <c r="CD18" i="2"/>
  <c r="ED38" i="2"/>
  <c r="EH32" i="2"/>
  <c r="BT18" i="2"/>
  <c r="DT15" i="2"/>
  <c r="DT18" i="2" s="1"/>
  <c r="CP22" i="2"/>
  <c r="EF37" i="2"/>
  <c r="EG32" i="2"/>
  <c r="BT17" i="2"/>
  <c r="CC40" i="2"/>
  <c r="CG42" i="2" s="1"/>
  <c r="CS23" i="2"/>
  <c r="CV41" i="2"/>
  <c r="I17" i="2"/>
  <c r="F17" i="2"/>
  <c r="EI10" i="2"/>
  <c r="E40" i="2"/>
  <c r="E43" i="2" s="1"/>
  <c r="N18" i="2"/>
  <c r="EM37" i="2"/>
  <c r="BV22" i="2"/>
  <c r="EP21" i="2"/>
  <c r="F40" i="2"/>
  <c r="J42" i="2" s="1"/>
  <c r="AX22" i="2"/>
  <c r="BV28" i="2"/>
  <c r="BN17" i="2"/>
  <c r="BW22" i="2"/>
  <c r="N17" i="2"/>
  <c r="AH14" i="6"/>
  <c r="AM53" i="5"/>
  <c r="AM80" i="5"/>
  <c r="AN80" i="5" s="1"/>
  <c r="AM50" i="5"/>
  <c r="AL60" i="5"/>
  <c r="AD70" i="5"/>
  <c r="AK14" i="5"/>
  <c r="AK15" i="5" s="1"/>
  <c r="AK25" i="5"/>
  <c r="AJ25" i="5"/>
  <c r="AL70" i="5"/>
  <c r="AM24" i="5"/>
  <c r="AM26" i="5" s="1"/>
  <c r="AK26" i="5"/>
  <c r="AM29" i="5"/>
  <c r="AM52" i="5"/>
  <c r="CX53" i="5"/>
  <c r="DA54" i="5"/>
  <c r="DA56" i="5" s="1"/>
  <c r="CX24" i="5"/>
  <c r="CX14" i="5" s="1"/>
  <c r="AE70" i="5"/>
  <c r="CZ80" i="5"/>
  <c r="AA70" i="5"/>
  <c r="DD40" i="5"/>
  <c r="AE60" i="5"/>
  <c r="AE61" i="5" s="1"/>
  <c r="Z66" i="5"/>
  <c r="Z88" i="5" s="1"/>
  <c r="AD71" i="5"/>
  <c r="AE66" i="5"/>
  <c r="AE67" i="5" s="1"/>
  <c r="CX69" i="5"/>
  <c r="CX60" i="5" s="1"/>
  <c r="CY69" i="5"/>
  <c r="CY71" i="5" s="1"/>
  <c r="CY29" i="5"/>
  <c r="DA40" i="5"/>
  <c r="DB40" i="5"/>
  <c r="BN31" i="4"/>
  <c r="CA71" i="4"/>
  <c r="CA72" i="4" s="1"/>
  <c r="DH63" i="4"/>
  <c r="DF36" i="4"/>
  <c r="BU64" i="4"/>
  <c r="AX24" i="2"/>
  <c r="DY32" i="3"/>
  <c r="DY37" i="3" s="1"/>
  <c r="BW28" i="2"/>
  <c r="BL23" i="2"/>
  <c r="CJ22" i="3"/>
  <c r="CM22" i="3" s="1"/>
  <c r="CM23" i="3" s="1"/>
  <c r="BT40" i="2"/>
  <c r="BT43" i="2" s="1"/>
  <c r="DA24" i="3"/>
  <c r="X256" i="3"/>
  <c r="AA245" i="3"/>
  <c r="AA244" i="3" s="1"/>
  <c r="BL28" i="2"/>
  <c r="AV22" i="2"/>
  <c r="BV24" i="2"/>
  <c r="AU25" i="2"/>
  <c r="AU27" i="2" s="1"/>
  <c r="EN37" i="2"/>
  <c r="BN27" i="2"/>
  <c r="CJ14" i="3"/>
  <c r="CC25" i="2"/>
  <c r="EM25" i="2" s="1"/>
  <c r="CC23" i="2"/>
  <c r="CC24" i="2"/>
  <c r="CV44" i="2"/>
  <c r="CV47" i="2" s="1"/>
  <c r="DK53" i="3"/>
  <c r="BY52" i="2" s="1"/>
  <c r="AA24" i="3"/>
  <c r="BA27" i="2"/>
  <c r="BY25" i="2"/>
  <c r="BY27" i="2" s="1"/>
  <c r="BY22" i="2"/>
  <c r="CP44" i="2"/>
  <c r="CP47" i="2" s="1"/>
  <c r="AX25" i="2"/>
  <c r="AX26" i="2" s="1"/>
  <c r="DY56" i="3"/>
  <c r="DY107" i="3" s="1"/>
  <c r="BN22" i="3"/>
  <c r="CU43" i="2"/>
  <c r="R17" i="2"/>
  <c r="BW26" i="2"/>
  <c r="CD22" i="2"/>
  <c r="EJ32" i="2"/>
  <c r="BL24" i="2"/>
  <c r="EE21" i="2"/>
  <c r="EE24" i="2" s="1"/>
  <c r="BJ22" i="2"/>
  <c r="EL21" i="2"/>
  <c r="EL24" i="2" s="1"/>
  <c r="AJ133" i="3"/>
  <c r="BX13" i="3"/>
  <c r="BX14" i="3" s="1"/>
  <c r="CO24" i="2"/>
  <c r="CO25" i="2"/>
  <c r="CO27" i="2" s="1"/>
  <c r="CP43" i="2"/>
  <c r="CZ32" i="3"/>
  <c r="CZ35" i="3" s="1"/>
  <c r="AT43" i="2"/>
  <c r="BJ40" i="2"/>
  <c r="EI40" i="2" s="1"/>
  <c r="AT41" i="2"/>
  <c r="EI33" i="2"/>
  <c r="CZ23" i="3"/>
  <c r="EM38" i="2"/>
  <c r="BX17" i="2"/>
  <c r="EF21" i="2"/>
  <c r="EF24" i="2" s="1"/>
  <c r="CZ24" i="3"/>
  <c r="BL43" i="2"/>
  <c r="BU14" i="3"/>
  <c r="BJ19" i="2"/>
  <c r="EK15" i="2"/>
  <c r="EK18" i="2" s="1"/>
  <c r="BJ28" i="2"/>
  <c r="DK35" i="3"/>
  <c r="DK41" i="3" s="1"/>
  <c r="EO13" i="2"/>
  <c r="AY22" i="2"/>
  <c r="BT16" i="2"/>
  <c r="BV15" i="3"/>
  <c r="AW26" i="2"/>
  <c r="BU22" i="3"/>
  <c r="BU23" i="3" s="1"/>
  <c r="EL25" i="2"/>
  <c r="EL28" i="2" s="1"/>
  <c r="BN141" i="3"/>
  <c r="EJ21" i="2"/>
  <c r="EJ24" i="2" s="1"/>
  <c r="BQ22" i="2"/>
  <c r="AT26" i="2"/>
  <c r="BZ23" i="2"/>
  <c r="AT23" i="2"/>
  <c r="CC22" i="2"/>
  <c r="BJ23" i="2"/>
  <c r="AT22" i="2"/>
  <c r="AO132" i="3"/>
  <c r="EI15" i="2"/>
  <c r="BK16" i="2"/>
  <c r="BU16" i="2"/>
  <c r="EE37" i="2"/>
  <c r="FE132" i="3"/>
  <c r="ER38" i="2"/>
  <c r="AS173" i="3"/>
  <c r="V172" i="3"/>
  <c r="V171" i="3" s="1"/>
  <c r="CK15" i="3"/>
  <c r="EM21" i="2"/>
  <c r="BT23" i="2"/>
  <c r="BK22" i="2"/>
  <c r="N42" i="2"/>
  <c r="BV23" i="2"/>
  <c r="BY24" i="2"/>
  <c r="W172" i="3"/>
  <c r="W171" i="3" s="1"/>
  <c r="AO134" i="3"/>
  <c r="CV23" i="2"/>
  <c r="DM86" i="3"/>
  <c r="BA26" i="2"/>
  <c r="CV26" i="2"/>
  <c r="CW22" i="2"/>
  <c r="CA318" i="3"/>
  <c r="CV27" i="2"/>
  <c r="CV22" i="2"/>
  <c r="ER21" i="2"/>
  <c r="ER24" i="2" s="1"/>
  <c r="X245" i="3"/>
  <c r="X244" i="3" s="1"/>
  <c r="X171" i="3"/>
  <c r="BF18" i="2"/>
  <c r="BF131" i="2" s="1"/>
  <c r="BF135" i="2" s="1"/>
  <c r="BF132" i="2" s="1"/>
  <c r="BG16" i="2"/>
  <c r="AW256" i="3"/>
  <c r="CM132" i="3"/>
  <c r="BF40" i="2"/>
  <c r="CX23" i="2"/>
  <c r="BX132" i="3"/>
  <c r="DG132" i="3"/>
  <c r="AV256" i="3"/>
  <c r="BF17" i="2"/>
  <c r="EO37" i="2"/>
  <c r="BF16" i="2"/>
  <c r="AJ134" i="3"/>
  <c r="AO140" i="3"/>
  <c r="AJ114" i="3"/>
  <c r="CW146" i="3"/>
  <c r="BJ17" i="2"/>
  <c r="EO38" i="2"/>
  <c r="CR133" i="3"/>
  <c r="CR134" i="3"/>
  <c r="FE134" i="3"/>
  <c r="CM134" i="3"/>
  <c r="EH15" i="2"/>
  <c r="EH18" i="2" s="1"/>
  <c r="AX134" i="3"/>
  <c r="AY134" i="3" s="1"/>
  <c r="BB71" i="3"/>
  <c r="AB8" i="2"/>
  <c r="BB13" i="3"/>
  <c r="AQ254" i="3"/>
  <c r="AQ252" i="3"/>
  <c r="AQ253" i="3"/>
  <c r="AQ247" i="3"/>
  <c r="AQ251" i="3"/>
  <c r="AQ255" i="3"/>
  <c r="DY23" i="2"/>
  <c r="CN27" i="2"/>
  <c r="Y32" i="3"/>
  <c r="Y23" i="3"/>
  <c r="Y56" i="3"/>
  <c r="AB14" i="2"/>
  <c r="AB12" i="2"/>
  <c r="AF13" i="2"/>
  <c r="FF72" i="3"/>
  <c r="FG72" i="3" s="1"/>
  <c r="FH72" i="3" s="1"/>
  <c r="FI72" i="3" s="1"/>
  <c r="FE72" i="3"/>
  <c r="L8" i="2"/>
  <c r="AH71" i="3"/>
  <c r="AH13" i="3"/>
  <c r="M14" i="2"/>
  <c r="M12" i="2"/>
  <c r="N12" i="2"/>
  <c r="M13" i="2"/>
  <c r="BD26" i="2"/>
  <c r="DE146" i="3"/>
  <c r="AY10" i="2"/>
  <c r="AU15" i="2"/>
  <c r="AU10" i="2"/>
  <c r="AR71" i="2"/>
  <c r="AU9" i="2"/>
  <c r="AU70" i="2"/>
  <c r="DV11" i="2"/>
  <c r="DV14" i="2" s="1"/>
  <c r="L13" i="2"/>
  <c r="L12" i="2"/>
  <c r="L14" i="2"/>
  <c r="AF208" i="3"/>
  <c r="AF172" i="3" s="1"/>
  <c r="AF252" i="3"/>
  <c r="AF168" i="3"/>
  <c r="M8" i="2"/>
  <c r="M71" i="2" s="1"/>
  <c r="AI13" i="3"/>
  <c r="AI71" i="3"/>
  <c r="EL56" i="3"/>
  <c r="EL107" i="3" s="1"/>
  <c r="EL32" i="3"/>
  <c r="EL23" i="3"/>
  <c r="CW134" i="3"/>
  <c r="R22" i="3"/>
  <c r="S24" i="3" s="1"/>
  <c r="R14" i="3"/>
  <c r="DN74" i="3"/>
  <c r="DO63" i="3"/>
  <c r="BZ14" i="3"/>
  <c r="BZ22" i="3"/>
  <c r="AV8" i="2"/>
  <c r="AS71" i="2" s="1"/>
  <c r="CA71" i="3"/>
  <c r="CA13" i="3"/>
  <c r="CC10" i="3"/>
  <c r="BD28" i="2"/>
  <c r="BD10" i="3"/>
  <c r="BV27" i="2"/>
  <c r="BC133" i="3"/>
  <c r="BB134" i="3"/>
  <c r="AV14" i="2"/>
  <c r="AW12" i="2"/>
  <c r="AV12" i="2"/>
  <c r="EE11" i="2"/>
  <c r="AV13" i="2"/>
  <c r="CT25" i="2"/>
  <c r="ER25" i="2" s="1"/>
  <c r="ER28" i="2" s="1"/>
  <c r="CT23" i="2"/>
  <c r="CT24" i="2"/>
  <c r="CU22" i="2"/>
  <c r="H71" i="2"/>
  <c r="K15" i="2"/>
  <c r="K9" i="2"/>
  <c r="K70" i="2"/>
  <c r="DB143" i="3"/>
  <c r="BI118" i="3"/>
  <c r="BS26" i="2"/>
  <c r="AQ242" i="3"/>
  <c r="DG144" i="3"/>
  <c r="CB114" i="3"/>
  <c r="CC114" i="3" s="1"/>
  <c r="AS134" i="3"/>
  <c r="AT134" i="3" s="1"/>
  <c r="AG15" i="3"/>
  <c r="AG14" i="3"/>
  <c r="AG22" i="3"/>
  <c r="CR28" i="2"/>
  <c r="CL27" i="2"/>
  <c r="CN43" i="2"/>
  <c r="CL26" i="2"/>
  <c r="BW256" i="2"/>
  <c r="CX26" i="2"/>
  <c r="CW26" i="2"/>
  <c r="AS27" i="2"/>
  <c r="BS255" i="2"/>
  <c r="AW27" i="2"/>
  <c r="BS258" i="2"/>
  <c r="BS245" i="2"/>
  <c r="BS226" i="2"/>
  <c r="AQ43" i="2"/>
  <c r="BS257" i="2"/>
  <c r="BT255" i="2"/>
  <c r="CB28" i="2"/>
  <c r="CO41" i="2"/>
  <c r="CD16" i="2"/>
  <c r="CG17" i="2"/>
  <c r="DV23" i="2"/>
  <c r="CC19" i="2"/>
  <c r="BR27" i="2"/>
  <c r="CU28" i="2"/>
  <c r="BN28" i="2"/>
  <c r="CC16" i="2"/>
  <c r="BM254" i="2"/>
  <c r="BM249" i="2" s="1"/>
  <c r="BX27" i="2"/>
  <c r="BT27" i="2"/>
  <c r="CU27" i="2"/>
  <c r="BI28" i="2"/>
  <c r="CC18" i="2"/>
  <c r="CH28" i="2"/>
  <c r="BT26" i="2"/>
  <c r="CR27" i="2"/>
  <c r="CR26" i="2"/>
  <c r="CQ26" i="2"/>
  <c r="CP27" i="2"/>
  <c r="CN28" i="2"/>
  <c r="EC23" i="2"/>
  <c r="AQ27" i="2"/>
  <c r="DY24" i="2"/>
  <c r="EJ25" i="2"/>
  <c r="EJ28" i="2" s="1"/>
  <c r="CO26" i="2"/>
  <c r="BL26" i="2"/>
  <c r="BR26" i="2"/>
  <c r="AW43" i="2"/>
  <c r="BQ26" i="2"/>
  <c r="EQ18" i="2"/>
  <c r="BK26" i="2"/>
  <c r="CB26" i="2"/>
  <c r="CS43" i="2"/>
  <c r="J43" i="2"/>
  <c r="AP28" i="2"/>
  <c r="EG86" i="2"/>
  <c r="BM248" i="2"/>
  <c r="BX43" i="2"/>
  <c r="EK121" i="2"/>
  <c r="AP27" i="2"/>
  <c r="CN90" i="2"/>
  <c r="CE90" i="2"/>
  <c r="AY28" i="2"/>
  <c r="AZ26" i="2"/>
  <c r="CI27" i="2"/>
  <c r="J41" i="2"/>
  <c r="BN258" i="2"/>
  <c r="AP26" i="2"/>
  <c r="BB219" i="2"/>
  <c r="BB227" i="2" s="1"/>
  <c r="ED23" i="2"/>
  <c r="AM26" i="2"/>
  <c r="DX23" i="2"/>
  <c r="BM16" i="4"/>
  <c r="DA30" i="2"/>
  <c r="ES30" i="2" s="1"/>
  <c r="ES32" i="2" s="1"/>
  <c r="BB254" i="2"/>
  <c r="BC255" i="2" s="1"/>
  <c r="BE28" i="2"/>
  <c r="CZ32" i="2"/>
  <c r="EM8" i="2"/>
  <c r="EN10" i="2" s="1"/>
  <c r="CI26" i="2"/>
  <c r="V42" i="2"/>
  <c r="CJ27" i="2"/>
  <c r="CF28" i="2"/>
  <c r="BE26" i="2"/>
  <c r="CZ21" i="2"/>
  <c r="CZ25" i="2" s="1"/>
  <c r="ED13" i="2"/>
  <c r="BB247" i="2"/>
  <c r="CJ26" i="2"/>
  <c r="CF26" i="2"/>
  <c r="BC247" i="2"/>
  <c r="CF27" i="2"/>
  <c r="EO25" i="2"/>
  <c r="EO28" i="2" s="1"/>
  <c r="BF248" i="2"/>
  <c r="BI26" i="2"/>
  <c r="CG147" i="2"/>
  <c r="CH147" i="2" s="1"/>
  <c r="CH144" i="2" s="1"/>
  <c r="BH27" i="2"/>
  <c r="BL27" i="2"/>
  <c r="AO26" i="2"/>
  <c r="EG246" i="2"/>
  <c r="EG248" i="2" s="1"/>
  <c r="CH27" i="2"/>
  <c r="EJ254" i="2"/>
  <c r="EJ245" i="2" s="1"/>
  <c r="BX150" i="2"/>
  <c r="BX149" i="2"/>
  <c r="CD28" i="2"/>
  <c r="CE26" i="2"/>
  <c r="BO247" i="2"/>
  <c r="BY148" i="2"/>
  <c r="BZ151" i="2"/>
  <c r="BN245" i="2"/>
  <c r="BN247" i="2"/>
  <c r="EQ146" i="2"/>
  <c r="EU11" i="3"/>
  <c r="BN248" i="2"/>
  <c r="CK26" i="2"/>
  <c r="CK28" i="2"/>
  <c r="BN257" i="2"/>
  <c r="BR248" i="2"/>
  <c r="BR256" i="2"/>
  <c r="BN249" i="2"/>
  <c r="EQ147" i="2"/>
  <c r="EJ246" i="2"/>
  <c r="EK248" i="2" s="1"/>
  <c r="BN226" i="2"/>
  <c r="EG102" i="2"/>
  <c r="BM247" i="2"/>
  <c r="AN26" i="2"/>
  <c r="BG256" i="2"/>
  <c r="BG248" i="2"/>
  <c r="BG245" i="2"/>
  <c r="BG249" i="2"/>
  <c r="DM112" i="2"/>
  <c r="EP136" i="2"/>
  <c r="EP139" i="2" s="1"/>
  <c r="EU114" i="3"/>
  <c r="BG219" i="2"/>
  <c r="BG227" i="2" s="1"/>
  <c r="BG257" i="2"/>
  <c r="BG247" i="2"/>
  <c r="ES39" i="2"/>
  <c r="DF15" i="4"/>
  <c r="DF18" i="4" s="1"/>
  <c r="EH121" i="2"/>
  <c r="BS256" i="2"/>
  <c r="ES34" i="2"/>
  <c r="DB34" i="2"/>
  <c r="DB39" i="2" s="1"/>
  <c r="BP17" i="4"/>
  <c r="ER142" i="2"/>
  <c r="AW42" i="2"/>
  <c r="EQ143" i="2"/>
  <c r="BP26" i="2"/>
  <c r="CM17" i="2"/>
  <c r="BF219" i="2"/>
  <c r="BF254" i="2"/>
  <c r="BF249" i="2" s="1"/>
  <c r="BL254" i="2"/>
  <c r="BP248" i="2"/>
  <c r="EO18" i="2"/>
  <c r="EO17" i="2"/>
  <c r="EO19" i="2"/>
  <c r="CF122" i="2"/>
  <c r="CF120" i="2"/>
  <c r="CF110" i="2"/>
  <c r="CF86" i="2"/>
  <c r="CF78" i="2"/>
  <c r="CF82" i="2"/>
  <c r="CF121" i="2"/>
  <c r="CF102" i="2"/>
  <c r="CF98" i="2"/>
  <c r="CF94" i="2"/>
  <c r="DC18" i="4"/>
  <c r="DC17" i="4"/>
  <c r="CG41" i="2"/>
  <c r="CG44" i="2"/>
  <c r="CG43" i="2"/>
  <c r="BO56" i="3"/>
  <c r="BO24" i="3"/>
  <c r="BO23" i="3"/>
  <c r="BO32" i="3"/>
  <c r="BH247" i="2"/>
  <c r="BH219" i="2"/>
  <c r="BH248" i="2"/>
  <c r="BL248" i="2"/>
  <c r="BH254" i="2"/>
  <c r="BH249" i="2" s="1"/>
  <c r="EH246" i="2"/>
  <c r="G35" i="3"/>
  <c r="K32" i="3"/>
  <c r="K35" i="3" s="1"/>
  <c r="G37" i="3"/>
  <c r="AN47" i="2"/>
  <c r="EP24" i="2"/>
  <c r="EM105" i="2"/>
  <c r="EM106" i="2"/>
  <c r="AC13" i="2"/>
  <c r="AC12" i="2"/>
  <c r="AC14" i="2"/>
  <c r="BG44" i="2"/>
  <c r="BG43" i="2"/>
  <c r="BG42" i="2"/>
  <c r="BK44" i="2"/>
  <c r="BL45" i="2" s="1"/>
  <c r="BK43" i="2"/>
  <c r="BK42" i="2"/>
  <c r="BL41" i="2"/>
  <c r="BQ41" i="2"/>
  <c r="BQ43" i="2"/>
  <c r="BQ44" i="2"/>
  <c r="BQ42" i="2"/>
  <c r="EX26" i="3"/>
  <c r="CN88" i="3"/>
  <c r="CL93" i="3"/>
  <c r="CM88" i="3"/>
  <c r="CU118" i="3"/>
  <c r="BC146" i="3"/>
  <c r="BD146" i="3" s="1"/>
  <c r="BD141" i="3"/>
  <c r="CK44" i="2"/>
  <c r="CK42" i="2"/>
  <c r="CK41" i="2"/>
  <c r="CK43" i="2"/>
  <c r="EE98" i="2"/>
  <c r="EE94" i="2"/>
  <c r="EE90" i="2"/>
  <c r="EE82" i="2"/>
  <c r="EE86" i="2"/>
  <c r="EE78" i="2"/>
  <c r="EE118" i="2"/>
  <c r="AR27" i="2"/>
  <c r="AR28" i="2"/>
  <c r="AR26" i="2"/>
  <c r="AS26" i="2"/>
  <c r="AV27" i="2"/>
  <c r="BE151" i="2"/>
  <c r="BE148" i="2" s="1"/>
  <c r="BE147" i="2"/>
  <c r="BE144" i="2" s="1"/>
  <c r="BF129" i="2"/>
  <c r="BE139" i="2"/>
  <c r="BE136" i="2" s="1"/>
  <c r="BE135" i="2"/>
  <c r="BE132" i="2" s="1"/>
  <c r="AC171" i="3"/>
  <c r="AC245" i="3"/>
  <c r="AA43" i="2"/>
  <c r="AA42" i="2"/>
  <c r="AE42" i="2"/>
  <c r="EB35" i="3"/>
  <c r="EB41" i="3" s="1"/>
  <c r="EB37" i="3"/>
  <c r="BW17" i="2"/>
  <c r="BW16" i="2"/>
  <c r="BW19" i="2"/>
  <c r="BW18" i="2"/>
  <c r="BW40" i="2"/>
  <c r="EL40" i="2" s="1"/>
  <c r="BX16" i="2"/>
  <c r="D330" i="3"/>
  <c r="D52" i="3" s="1"/>
  <c r="D44" i="3"/>
  <c r="D331" i="3" s="1"/>
  <c r="D51" i="3"/>
  <c r="D54" i="3"/>
  <c r="BJ147" i="2"/>
  <c r="BJ144" i="2" s="1"/>
  <c r="BJ151" i="2"/>
  <c r="BJ148" i="2" s="1"/>
  <c r="BJ135" i="2"/>
  <c r="BJ132" i="2" s="1"/>
  <c r="BJ139" i="2"/>
  <c r="BJ136" i="2" s="1"/>
  <c r="AM42" i="2"/>
  <c r="AM43" i="2"/>
  <c r="AM44" i="2"/>
  <c r="AM41" i="2"/>
  <c r="AQ42" i="2"/>
  <c r="CY26" i="2"/>
  <c r="CY27" i="2"/>
  <c r="EH37" i="2"/>
  <c r="EH38" i="2"/>
  <c r="DV69" i="2"/>
  <c r="DX67" i="2"/>
  <c r="DX69" i="2" s="1"/>
  <c r="CE315" i="3"/>
  <c r="CD314" i="3"/>
  <c r="BC222" i="2"/>
  <c r="BC227" i="2"/>
  <c r="BC111" i="2"/>
  <c r="BP44" i="2"/>
  <c r="BP43" i="2"/>
  <c r="BP41" i="2"/>
  <c r="BP42" i="2"/>
  <c r="K10" i="2"/>
  <c r="H9" i="2"/>
  <c r="G10" i="2"/>
  <c r="G9" i="2"/>
  <c r="G70" i="2"/>
  <c r="J70" i="2"/>
  <c r="E71" i="2"/>
  <c r="I70" i="2"/>
  <c r="DU8" i="2"/>
  <c r="D71" i="2"/>
  <c r="F71" i="2"/>
  <c r="G71" i="2"/>
  <c r="H70" i="2"/>
  <c r="G15" i="2"/>
  <c r="BF315" i="3"/>
  <c r="BG315" i="3" s="1"/>
  <c r="BH315" i="3" s="1"/>
  <c r="BJ315" i="3" s="1"/>
  <c r="BK315" i="3" s="1"/>
  <c r="BL315" i="3" s="1"/>
  <c r="BM315" i="3" s="1"/>
  <c r="BE314" i="3"/>
  <c r="CI37" i="3"/>
  <c r="CI35" i="3"/>
  <c r="BB42" i="2"/>
  <c r="BB44" i="2"/>
  <c r="BB43" i="2"/>
  <c r="EG40" i="2"/>
  <c r="EK135" i="2"/>
  <c r="EK134" i="2"/>
  <c r="CR121" i="2"/>
  <c r="BV44" i="2"/>
  <c r="BV43" i="2"/>
  <c r="BV42" i="2"/>
  <c r="ER148" i="2"/>
  <c r="CT150" i="2"/>
  <c r="CT149" i="2"/>
  <c r="CU149" i="2"/>
  <c r="EU113" i="2"/>
  <c r="CZ141" i="2"/>
  <c r="CZ142" i="2"/>
  <c r="AQ244" i="3"/>
  <c r="BS15" i="3"/>
  <c r="BS14" i="3"/>
  <c r="BD248" i="2"/>
  <c r="BD247" i="2"/>
  <c r="BD219" i="2"/>
  <c r="BD254" i="2"/>
  <c r="O10" i="2"/>
  <c r="O9" i="2"/>
  <c r="P70" i="2"/>
  <c r="O15" i="2"/>
  <c r="P16" i="2" s="1"/>
  <c r="S10" i="2"/>
  <c r="DU37" i="3"/>
  <c r="DU35" i="3"/>
  <c r="DU41" i="3" s="1"/>
  <c r="Q22" i="3"/>
  <c r="Q15" i="3"/>
  <c r="Q14" i="3"/>
  <c r="R15" i="3"/>
  <c r="CA26" i="2"/>
  <c r="CA28" i="2"/>
  <c r="CA27" i="2"/>
  <c r="CE27" i="2"/>
  <c r="CF111" i="2"/>
  <c r="CE113" i="2"/>
  <c r="CE114" i="2"/>
  <c r="CE103" i="2"/>
  <c r="CE112" i="2"/>
  <c r="CY148" i="2"/>
  <c r="CY101" i="2"/>
  <c r="CZ99" i="2"/>
  <c r="AQ35" i="3"/>
  <c r="AQ41" i="3" s="1"/>
  <c r="AQ37" i="3"/>
  <c r="EG38" i="2"/>
  <c r="EG37" i="2"/>
  <c r="BH155" i="2"/>
  <c r="BG152" i="2"/>
  <c r="CG26" i="2"/>
  <c r="CG28" i="2"/>
  <c r="CK27" i="2"/>
  <c r="EN25" i="2"/>
  <c r="CR44" i="2"/>
  <c r="EO10" i="2"/>
  <c r="EP10" i="2"/>
  <c r="CN137" i="2"/>
  <c r="CR138" i="2"/>
  <c r="AZ172" i="3"/>
  <c r="AZ22" i="3"/>
  <c r="BA24" i="3" s="1"/>
  <c r="AZ14" i="3"/>
  <c r="ED40" i="2"/>
  <c r="AP42" i="2"/>
  <c r="AP44" i="2"/>
  <c r="AT46" i="2" s="1"/>
  <c r="AP43" i="2"/>
  <c r="AQ41" i="2"/>
  <c r="AI43" i="2"/>
  <c r="AI42" i="2"/>
  <c r="AI41" i="2"/>
  <c r="EQ82" i="2"/>
  <c r="EQ102" i="2"/>
  <c r="EQ98" i="2"/>
  <c r="EQ78" i="2"/>
  <c r="EQ94" i="2"/>
  <c r="EQ86" i="2"/>
  <c r="N35" i="3"/>
  <c r="N37" i="3"/>
  <c r="AT42" i="2"/>
  <c r="BW17" i="4"/>
  <c r="BW18" i="4"/>
  <c r="BX15" i="4"/>
  <c r="CY87" i="2"/>
  <c r="DG15" i="3"/>
  <c r="DG14" i="3"/>
  <c r="CO91" i="3"/>
  <c r="I37" i="3"/>
  <c r="I35" i="3"/>
  <c r="Q14" i="2"/>
  <c r="Q13" i="2"/>
  <c r="Q12" i="2"/>
  <c r="R12" i="2"/>
  <c r="DW11" i="2"/>
  <c r="F56" i="3"/>
  <c r="F23" i="3"/>
  <c r="EQ37" i="3"/>
  <c r="EQ35" i="3"/>
  <c r="EQ41" i="3" s="1"/>
  <c r="EO172" i="2"/>
  <c r="EO178" i="2"/>
  <c r="EO179" i="2"/>
  <c r="EO173" i="2"/>
  <c r="EO175" i="2"/>
  <c r="CD106" i="2"/>
  <c r="CD104" i="2"/>
  <c r="CD105" i="2"/>
  <c r="EM14" i="2"/>
  <c r="EM13" i="2"/>
  <c r="EN13" i="2"/>
  <c r="CZ81" i="2"/>
  <c r="DA79" i="2"/>
  <c r="ES79" i="2" s="1"/>
  <c r="CZ132" i="2"/>
  <c r="CF82" i="3"/>
  <c r="CE84" i="3"/>
  <c r="CE86" i="3" s="1"/>
  <c r="BZ42" i="2"/>
  <c r="BZ41" i="2"/>
  <c r="BZ44" i="2"/>
  <c r="BZ43" i="2"/>
  <c r="AX248" i="3"/>
  <c r="AX173" i="3"/>
  <c r="CL42" i="2"/>
  <c r="CL41" i="2"/>
  <c r="CL44" i="2"/>
  <c r="CL43" i="2"/>
  <c r="EJ56" i="3"/>
  <c r="EJ107" i="3" s="1"/>
  <c r="EJ24" i="3"/>
  <c r="EJ23" i="3"/>
  <c r="EJ32" i="3"/>
  <c r="CO114" i="2"/>
  <c r="CO113" i="2"/>
  <c r="CP111" i="2"/>
  <c r="CO112" i="2"/>
  <c r="EG19" i="2"/>
  <c r="EG18" i="2"/>
  <c r="EQ135" i="2"/>
  <c r="EQ134" i="2"/>
  <c r="EW57" i="3"/>
  <c r="EA24" i="2"/>
  <c r="BO26" i="2"/>
  <c r="BO28" i="2"/>
  <c r="BO27" i="2"/>
  <c r="BS27" i="2"/>
  <c r="EI37" i="3"/>
  <c r="EI35" i="3"/>
  <c r="EI41" i="3" s="1"/>
  <c r="ED25" i="2"/>
  <c r="ED28" i="2" s="1"/>
  <c r="V56" i="3"/>
  <c r="Z22" i="3"/>
  <c r="V32" i="3"/>
  <c r="V23" i="3"/>
  <c r="W24" i="3"/>
  <c r="BN84" i="3"/>
  <c r="BM86" i="3"/>
  <c r="BN86" i="3" s="1"/>
  <c r="BB139" i="2"/>
  <c r="BB136" i="2" s="1"/>
  <c r="BF130" i="2"/>
  <c r="BB135" i="2"/>
  <c r="BB132" i="2" s="1"/>
  <c r="BB151" i="2"/>
  <c r="BB148" i="2" s="1"/>
  <c r="BB147" i="2"/>
  <c r="BB144" i="2" s="1"/>
  <c r="BO42" i="2"/>
  <c r="BO41" i="2"/>
  <c r="BO44" i="2"/>
  <c r="BO43" i="2"/>
  <c r="CS149" i="2"/>
  <c r="CS150" i="2"/>
  <c r="CW150" i="2"/>
  <c r="EQ148" i="2"/>
  <c r="I41" i="2"/>
  <c r="I43" i="2"/>
  <c r="AS44" i="2"/>
  <c r="AW46" i="2" s="1"/>
  <c r="AS41" i="2"/>
  <c r="AS43" i="2"/>
  <c r="BU26" i="2"/>
  <c r="BU28" i="2"/>
  <c r="BU27" i="2"/>
  <c r="EK25" i="2"/>
  <c r="CP42" i="2"/>
  <c r="DB91" i="2"/>
  <c r="DA93" i="2"/>
  <c r="DA140" i="2"/>
  <c r="ES140" i="2" s="1"/>
  <c r="EW113" i="2"/>
  <c r="AT104" i="3"/>
  <c r="EP15" i="3"/>
  <c r="EP14" i="3"/>
  <c r="EQ15" i="3"/>
  <c r="CH44" i="2"/>
  <c r="CH43" i="2"/>
  <c r="CH41" i="2"/>
  <c r="K56" i="3"/>
  <c r="K23" i="3"/>
  <c r="K24" i="3"/>
  <c r="AN41" i="2"/>
  <c r="BF153" i="2"/>
  <c r="BF154" i="2"/>
  <c r="DX24" i="3"/>
  <c r="DX23" i="3"/>
  <c r="DX56" i="3"/>
  <c r="DX107" i="3" s="1"/>
  <c r="DX32" i="3"/>
  <c r="DP23" i="3"/>
  <c r="DP24" i="3"/>
  <c r="DP56" i="3"/>
  <c r="DP107" i="3" s="1"/>
  <c r="DP32" i="3"/>
  <c r="DR24" i="3"/>
  <c r="CF142" i="2"/>
  <c r="CF141" i="2"/>
  <c r="BT42" i="2"/>
  <c r="BT41" i="2"/>
  <c r="BT44" i="2"/>
  <c r="BL18" i="4"/>
  <c r="BL16" i="4"/>
  <c r="CN106" i="2"/>
  <c r="CN105" i="2"/>
  <c r="CO103" i="2"/>
  <c r="CE142" i="2"/>
  <c r="CE141" i="2"/>
  <c r="EJ151" i="2"/>
  <c r="BP37" i="3"/>
  <c r="BP35" i="3"/>
  <c r="BP42" i="3" s="1"/>
  <c r="EE102" i="2"/>
  <c r="CS37" i="3"/>
  <c r="CS35" i="3"/>
  <c r="DL93" i="3"/>
  <c r="DK100" i="3"/>
  <c r="EB23" i="2"/>
  <c r="BR15" i="3"/>
  <c r="BT15" i="3"/>
  <c r="BR22" i="3"/>
  <c r="BS22" i="3" s="1"/>
  <c r="BR14" i="3"/>
  <c r="DI32" i="3"/>
  <c r="DI56" i="3"/>
  <c r="DI107" i="3" s="1"/>
  <c r="DI23" i="3"/>
  <c r="DI24" i="3"/>
  <c r="DL22" i="3"/>
  <c r="W330" i="3"/>
  <c r="W52" i="3" s="1"/>
  <c r="W51" i="3"/>
  <c r="W54" i="3"/>
  <c r="C49" i="2" s="1"/>
  <c r="W44" i="3"/>
  <c r="FE98" i="3"/>
  <c r="FF98" i="3"/>
  <c r="FG98" i="3" s="1"/>
  <c r="FH98" i="3" s="1"/>
  <c r="FI98" i="3" s="1"/>
  <c r="CZ51" i="5"/>
  <c r="CZ52" i="5"/>
  <c r="CZ53" i="5"/>
  <c r="EP19" i="2"/>
  <c r="CQ43" i="2"/>
  <c r="CQ44" i="2"/>
  <c r="CU46" i="2" s="1"/>
  <c r="CQ41" i="2"/>
  <c r="CU42" i="2"/>
  <c r="BM24" i="2"/>
  <c r="BN22" i="2"/>
  <c r="BM23" i="2"/>
  <c r="BM22" i="2"/>
  <c r="BM25" i="2"/>
  <c r="BQ23" i="2"/>
  <c r="EI21" i="2"/>
  <c r="EL19" i="2"/>
  <c r="EL18" i="2"/>
  <c r="CF145" i="2"/>
  <c r="CF146" i="2"/>
  <c r="CJ146" i="2"/>
  <c r="DJ112" i="2"/>
  <c r="DI112" i="2"/>
  <c r="DI113" i="2"/>
  <c r="DT24" i="2"/>
  <c r="DU23" i="2"/>
  <c r="CN122" i="2"/>
  <c r="CN120" i="2"/>
  <c r="CN98" i="2"/>
  <c r="CN82" i="2"/>
  <c r="CN102" i="2"/>
  <c r="CN78" i="2"/>
  <c r="CN86" i="2"/>
  <c r="CN94" i="2"/>
  <c r="CN110" i="2"/>
  <c r="CO120" i="2"/>
  <c r="EP119" i="2"/>
  <c r="BM43" i="2"/>
  <c r="BM42" i="2"/>
  <c r="BM41" i="2"/>
  <c r="BM44" i="2"/>
  <c r="AN71" i="3"/>
  <c r="AN13" i="3"/>
  <c r="AO13" i="3" s="1"/>
  <c r="Q8" i="2"/>
  <c r="N71" i="2" s="1"/>
  <c r="DM113" i="2"/>
  <c r="CT35" i="3"/>
  <c r="CT37" i="3"/>
  <c r="CJ42" i="2"/>
  <c r="CJ43" i="2"/>
  <c r="CN42" i="2"/>
  <c r="CJ44" i="2"/>
  <c r="BI147" i="2"/>
  <c r="BI144" i="2" s="1"/>
  <c r="BI139" i="2"/>
  <c r="BI136" i="2" s="1"/>
  <c r="BI135" i="2"/>
  <c r="BI132" i="2" s="1"/>
  <c r="BI151" i="2"/>
  <c r="BI148" i="2" s="1"/>
  <c r="AW47" i="2"/>
  <c r="CW43" i="2"/>
  <c r="CW41" i="2"/>
  <c r="CW44" i="2"/>
  <c r="DB112" i="2"/>
  <c r="DA112" i="2"/>
  <c r="ES111" i="2"/>
  <c r="ET113" i="2" s="1"/>
  <c r="AB172" i="3"/>
  <c r="AB22" i="3"/>
  <c r="AB14" i="3"/>
  <c r="AB15" i="3"/>
  <c r="AE13" i="3"/>
  <c r="BK219" i="2"/>
  <c r="BK247" i="2"/>
  <c r="BK248" i="2"/>
  <c r="BL247" i="2"/>
  <c r="BK254" i="2"/>
  <c r="BK249" i="2" s="1"/>
  <c r="BO248" i="2"/>
  <c r="Z14" i="3"/>
  <c r="AP244" i="3"/>
  <c r="FF83" i="3"/>
  <c r="FG83" i="3" s="1"/>
  <c r="FH83" i="3" s="1"/>
  <c r="FI83" i="3" s="1"/>
  <c r="FE83" i="3"/>
  <c r="EP111" i="2"/>
  <c r="CJ16" i="2"/>
  <c r="BB63" i="3"/>
  <c r="BA74" i="3"/>
  <c r="BA86" i="3" s="1"/>
  <c r="ER18" i="2"/>
  <c r="ER17" i="2"/>
  <c r="ER19" i="2"/>
  <c r="AL172" i="3"/>
  <c r="AL22" i="3"/>
  <c r="AM24" i="3" s="1"/>
  <c r="AL15" i="3"/>
  <c r="AL14" i="3"/>
  <c r="AM15" i="3"/>
  <c r="N146" i="3"/>
  <c r="O140" i="3"/>
  <c r="O146" i="3" s="1"/>
  <c r="DK320" i="3"/>
  <c r="DK322" i="3" s="1"/>
  <c r="BV258" i="2"/>
  <c r="BV253" i="2"/>
  <c r="BV255" i="2"/>
  <c r="EL254" i="2"/>
  <c r="EL249" i="2" s="1"/>
  <c r="BV238" i="2"/>
  <c r="BV234" i="2"/>
  <c r="BV256" i="2"/>
  <c r="BV245" i="2"/>
  <c r="BV257" i="2"/>
  <c r="BZ256" i="2"/>
  <c r="BV226" i="2"/>
  <c r="BW255" i="2"/>
  <c r="AY41" i="2"/>
  <c r="AY44" i="2"/>
  <c r="AY43" i="2"/>
  <c r="EV113" i="2"/>
  <c r="BB23" i="2"/>
  <c r="BF23" i="2"/>
  <c r="BB22" i="2"/>
  <c r="EG21" i="2"/>
  <c r="BB25" i="2"/>
  <c r="BB24" i="2"/>
  <c r="BC22" i="2"/>
  <c r="BE43" i="2"/>
  <c r="BE44" i="2"/>
  <c r="BE41" i="2"/>
  <c r="BD15" i="4"/>
  <c r="CF89" i="2"/>
  <c r="CF136" i="2"/>
  <c r="CF90" i="2"/>
  <c r="CF88" i="2"/>
  <c r="F42" i="2"/>
  <c r="F43" i="2"/>
  <c r="AA37" i="3"/>
  <c r="AA35" i="3"/>
  <c r="AA327" i="3" s="1"/>
  <c r="AA328" i="3" s="1"/>
  <c r="BL47" i="2"/>
  <c r="BV26" i="2"/>
  <c r="CH26" i="2"/>
  <c r="BO257" i="2"/>
  <c r="BO258" i="2"/>
  <c r="BO253" i="2"/>
  <c r="BO255" i="2"/>
  <c r="BO226" i="2"/>
  <c r="BO245" i="2"/>
  <c r="BP255" i="2"/>
  <c r="BO249" i="2"/>
  <c r="FF92" i="3"/>
  <c r="FG92" i="3" s="1"/>
  <c r="FH92" i="3" s="1"/>
  <c r="FI92" i="3" s="1"/>
  <c r="FE92" i="3"/>
  <c r="BR42" i="2"/>
  <c r="BR41" i="2"/>
  <c r="BR43" i="2"/>
  <c r="BR44" i="2"/>
  <c r="BY49" i="2"/>
  <c r="BX135" i="2"/>
  <c r="BW132" i="2"/>
  <c r="EV11" i="3"/>
  <c r="DC11" i="2"/>
  <c r="DB12" i="2"/>
  <c r="DB13" i="2"/>
  <c r="BI42" i="2"/>
  <c r="BI44" i="2"/>
  <c r="BI43" i="2"/>
  <c r="C43" i="2"/>
  <c r="C41" i="2"/>
  <c r="EI37" i="2"/>
  <c r="EI38" i="2"/>
  <c r="EJ37" i="2"/>
  <c r="B37" i="3"/>
  <c r="B35" i="3"/>
  <c r="F32" i="3"/>
  <c r="F35" i="3" s="1"/>
  <c r="BI222" i="2"/>
  <c r="BI227" i="2"/>
  <c r="BI111" i="2"/>
  <c r="S41" i="2"/>
  <c r="S43" i="2"/>
  <c r="O35" i="3"/>
  <c r="O37" i="3"/>
  <c r="CI17" i="2"/>
  <c r="CI16" i="2"/>
  <c r="CI40" i="2"/>
  <c r="CI19" i="2"/>
  <c r="CI18" i="2"/>
  <c r="ES93" i="2"/>
  <c r="CT44" i="2"/>
  <c r="CU45" i="2" s="1"/>
  <c r="CT43" i="2"/>
  <c r="ER40" i="2"/>
  <c r="CT42" i="2"/>
  <c r="CU41" i="2"/>
  <c r="EM32" i="3"/>
  <c r="EM24" i="3"/>
  <c r="EM23" i="3"/>
  <c r="EM56" i="3"/>
  <c r="EM107" i="3" s="1"/>
  <c r="EP22" i="3"/>
  <c r="EL248" i="2"/>
  <c r="DD29" i="2"/>
  <c r="W43" i="2"/>
  <c r="W42" i="2"/>
  <c r="W41" i="2"/>
  <c r="CF42" i="2"/>
  <c r="CF41" i="2"/>
  <c r="CF44" i="2"/>
  <c r="CF43" i="2"/>
  <c r="CX149" i="2"/>
  <c r="CX150" i="2"/>
  <c r="BV134" i="2"/>
  <c r="BV133" i="2"/>
  <c r="CG87" i="2"/>
  <c r="EN87" i="2" s="1"/>
  <c r="CG93" i="2"/>
  <c r="CH91" i="2"/>
  <c r="CG140" i="2"/>
  <c r="EN140" i="2" s="1"/>
  <c r="EN91" i="2"/>
  <c r="CY133" i="2"/>
  <c r="AA9" i="2"/>
  <c r="Z10" i="2"/>
  <c r="Z15" i="2"/>
  <c r="BP24" i="3"/>
  <c r="BC340" i="3"/>
  <c r="BC220" i="3"/>
  <c r="BC229" i="3" s="1"/>
  <c r="BC228" i="3" s="1"/>
  <c r="DN22" i="3"/>
  <c r="DO24" i="3" s="1"/>
  <c r="DN14" i="3"/>
  <c r="DN15" i="3"/>
  <c r="DQ13" i="3"/>
  <c r="DO15" i="3"/>
  <c r="FJ64" i="3"/>
  <c r="FK64" i="3"/>
  <c r="FL64" i="3" s="1"/>
  <c r="FM64" i="3" s="1"/>
  <c r="FN64" i="3" s="1"/>
  <c r="FO64" i="3" s="1"/>
  <c r="CG114" i="3"/>
  <c r="CH114" i="3" s="1"/>
  <c r="CG10" i="3"/>
  <c r="CH10" i="3" s="1"/>
  <c r="BA11" i="2"/>
  <c r="AM245" i="3"/>
  <c r="AM171" i="3"/>
  <c r="AZ338" i="3"/>
  <c r="AZ167" i="3"/>
  <c r="AZ241" i="3"/>
  <c r="AZ251" i="3" s="1"/>
  <c r="DG142" i="3"/>
  <c r="DF146" i="3"/>
  <c r="BF54" i="5"/>
  <c r="BG11" i="5"/>
  <c r="BF8" i="5"/>
  <c r="BF30" i="5"/>
  <c r="BO31" i="4"/>
  <c r="BN36" i="4"/>
  <c r="AL64" i="5"/>
  <c r="AL65" i="5"/>
  <c r="BF38" i="5"/>
  <c r="BE20" i="5"/>
  <c r="BE41" i="5"/>
  <c r="BE40" i="5"/>
  <c r="AO27" i="5"/>
  <c r="AO10" i="5"/>
  <c r="AO49" i="5"/>
  <c r="AO9" i="5"/>
  <c r="BC60" i="5"/>
  <c r="BC66" i="5"/>
  <c r="BC70" i="5"/>
  <c r="AL67" i="5"/>
  <c r="AL57" i="5"/>
  <c r="BU257" i="2"/>
  <c r="BU256" i="2"/>
  <c r="BU258" i="2"/>
  <c r="BU253" i="2"/>
  <c r="BU245" i="2"/>
  <c r="BU255" i="2"/>
  <c r="BY256" i="2"/>
  <c r="EK254" i="2"/>
  <c r="BU226" i="2"/>
  <c r="EJ82" i="2"/>
  <c r="EJ121" i="2"/>
  <c r="EJ106" i="2"/>
  <c r="EJ90" i="2"/>
  <c r="EJ118" i="2"/>
  <c r="EJ78" i="2"/>
  <c r="EJ110" i="2"/>
  <c r="EJ98" i="2"/>
  <c r="EJ86" i="2"/>
  <c r="EJ94" i="2"/>
  <c r="T71" i="3"/>
  <c r="T13" i="3"/>
  <c r="EO56" i="3"/>
  <c r="EO107" i="3" s="1"/>
  <c r="EO24" i="3"/>
  <c r="EO23" i="3"/>
  <c r="EO32" i="3"/>
  <c r="AG244" i="3"/>
  <c r="Y12" i="2"/>
  <c r="Y13" i="2"/>
  <c r="Y14" i="2"/>
  <c r="Z12" i="2"/>
  <c r="BU40" i="4"/>
  <c r="BC64" i="5"/>
  <c r="DB100" i="3"/>
  <c r="DA104" i="3"/>
  <c r="DG18" i="4"/>
  <c r="BC318" i="3"/>
  <c r="AD56" i="3"/>
  <c r="AD23" i="3"/>
  <c r="AD24" i="3"/>
  <c r="AD32" i="3"/>
  <c r="DE56" i="3"/>
  <c r="DE107" i="3" s="1"/>
  <c r="DE24" i="3"/>
  <c r="DE23" i="3"/>
  <c r="DE32" i="3"/>
  <c r="CX56" i="3"/>
  <c r="CX23" i="3"/>
  <c r="CX24" i="3"/>
  <c r="CX32" i="3"/>
  <c r="DB22" i="3"/>
  <c r="X13" i="2"/>
  <c r="X12" i="2"/>
  <c r="X14" i="2"/>
  <c r="AB13" i="2"/>
  <c r="DY11" i="2"/>
  <c r="BH71" i="3"/>
  <c r="BH13" i="3"/>
  <c r="BI13" i="3" s="1"/>
  <c r="AG8" i="2"/>
  <c r="EA8" i="2" s="1"/>
  <c r="BQ46" i="4"/>
  <c r="AK242" i="3"/>
  <c r="AK253" i="3"/>
  <c r="AK255" i="3"/>
  <c r="AK254" i="3"/>
  <c r="AK252" i="3"/>
  <c r="BW63" i="4"/>
  <c r="BX62" i="4"/>
  <c r="AA14" i="5"/>
  <c r="AA15" i="5" s="1"/>
  <c r="AA25" i="5"/>
  <c r="BC52" i="5"/>
  <c r="BC50" i="5"/>
  <c r="BC53" i="5"/>
  <c r="BZ19" i="6"/>
  <c r="BZ14" i="6"/>
  <c r="AX167" i="3"/>
  <c r="AX241" i="3"/>
  <c r="AX251" i="3" s="1"/>
  <c r="AP316" i="3"/>
  <c r="AP314" i="3"/>
  <c r="AP312" i="3"/>
  <c r="BG37" i="3"/>
  <c r="BG35" i="3"/>
  <c r="AD133" i="3"/>
  <c r="AC134" i="3"/>
  <c r="BX47" i="2"/>
  <c r="AF24" i="3"/>
  <c r="CW14" i="3"/>
  <c r="CW15" i="3"/>
  <c r="AV245" i="3"/>
  <c r="AV171" i="3"/>
  <c r="AB66" i="5"/>
  <c r="AC67" i="5" s="1"/>
  <c r="AB70" i="5"/>
  <c r="AB60" i="5"/>
  <c r="AB61" i="5" s="1"/>
  <c r="AA88" i="5"/>
  <c r="AA57" i="5"/>
  <c r="AG66" i="5"/>
  <c r="AK68" i="5" s="1"/>
  <c r="AG60" i="5"/>
  <c r="AK62" i="5" s="1"/>
  <c r="AG71" i="5"/>
  <c r="AG70" i="5"/>
  <c r="CB35" i="3"/>
  <c r="CB37" i="3"/>
  <c r="R42" i="2"/>
  <c r="R43" i="2"/>
  <c r="ET27" i="3"/>
  <c r="EU27" i="3" s="1"/>
  <c r="ES28" i="3"/>
  <c r="BO97" i="3"/>
  <c r="BP97" i="3" s="1"/>
  <c r="BQ97" i="3" s="1"/>
  <c r="BR97" i="3" s="1"/>
  <c r="BN97" i="3"/>
  <c r="U14" i="2"/>
  <c r="V12" i="2"/>
  <c r="U13" i="2"/>
  <c r="U12" i="2"/>
  <c r="CJ74" i="3"/>
  <c r="CK63" i="3"/>
  <c r="CL63" i="3" s="1"/>
  <c r="BV56" i="3"/>
  <c r="BV23" i="3"/>
  <c r="BV32" i="3"/>
  <c r="CW23" i="3"/>
  <c r="CW56" i="3"/>
  <c r="CS134" i="2"/>
  <c r="CW134" i="2"/>
  <c r="CS133" i="2"/>
  <c r="DH53" i="3"/>
  <c r="DH44" i="3"/>
  <c r="DH54" i="3"/>
  <c r="AZ96" i="3"/>
  <c r="BA96" i="3" s="1"/>
  <c r="BB96" i="3" s="1"/>
  <c r="AY96" i="3"/>
  <c r="DY62" i="2" s="1"/>
  <c r="DC32" i="3"/>
  <c r="DC24" i="3"/>
  <c r="DG22" i="3"/>
  <c r="DC56" i="3"/>
  <c r="DC107" i="3" s="1"/>
  <c r="DC23" i="3"/>
  <c r="AZ14" i="2"/>
  <c r="AZ12" i="2"/>
  <c r="AZ13" i="2"/>
  <c r="BD13" i="2"/>
  <c r="CY51" i="5"/>
  <c r="CY53" i="5"/>
  <c r="CY52" i="5"/>
  <c r="BE49" i="5"/>
  <c r="DE49" i="5" s="1"/>
  <c r="BE27" i="5"/>
  <c r="DE27" i="5" s="1"/>
  <c r="BE9" i="5"/>
  <c r="BE10" i="5"/>
  <c r="AN49" i="5"/>
  <c r="AN27" i="5"/>
  <c r="AN10" i="5"/>
  <c r="AN9" i="5"/>
  <c r="DA8" i="5"/>
  <c r="DA10" i="5" s="1"/>
  <c r="BB70" i="5"/>
  <c r="BB60" i="5"/>
  <c r="BB66" i="5"/>
  <c r="BD69" i="5"/>
  <c r="BD42" i="5"/>
  <c r="BD43" i="5"/>
  <c r="AM247" i="3"/>
  <c r="DE8" i="5"/>
  <c r="U141" i="3"/>
  <c r="AB14" i="5"/>
  <c r="AB25" i="5"/>
  <c r="AL61" i="5"/>
  <c r="BD147" i="2"/>
  <c r="BD144" i="2" s="1"/>
  <c r="BD151" i="2"/>
  <c r="BD148" i="2" s="1"/>
  <c r="BD135" i="2"/>
  <c r="BD132" i="2" s="1"/>
  <c r="BD139" i="2"/>
  <c r="BD136" i="2" s="1"/>
  <c r="CE137" i="2"/>
  <c r="CE138" i="2"/>
  <c r="DQ112" i="2"/>
  <c r="DQ113" i="2"/>
  <c r="AL44" i="2"/>
  <c r="AL47" i="2" s="1"/>
  <c r="AL43" i="2"/>
  <c r="AL41" i="2"/>
  <c r="AL42" i="2"/>
  <c r="BU249" i="2"/>
  <c r="EJ102" i="2"/>
  <c r="BN56" i="3"/>
  <c r="BN23" i="3"/>
  <c r="DM37" i="3"/>
  <c r="DM35" i="3"/>
  <c r="DM41" i="3" s="1"/>
  <c r="ES141" i="3"/>
  <c r="ER48" i="3"/>
  <c r="FE97" i="3"/>
  <c r="FF97" i="3"/>
  <c r="FG97" i="3" s="1"/>
  <c r="FH97" i="3" s="1"/>
  <c r="FI97" i="3" s="1"/>
  <c r="AX71" i="3"/>
  <c r="AX13" i="3"/>
  <c r="AZ15" i="3" s="1"/>
  <c r="Y8" i="2"/>
  <c r="Y140" i="3"/>
  <c r="X146" i="3"/>
  <c r="CB44" i="2"/>
  <c r="CB43" i="2"/>
  <c r="CB42" i="2"/>
  <c r="AX77" i="3"/>
  <c r="AW76" i="3"/>
  <c r="AS241" i="3"/>
  <c r="AS247" i="3" s="1"/>
  <c r="AS167" i="3"/>
  <c r="AH167" i="3"/>
  <c r="AH251" i="3"/>
  <c r="AH256" i="3" s="1"/>
  <c r="AW71" i="3"/>
  <c r="AW13" i="3"/>
  <c r="X8" i="2"/>
  <c r="AY10" i="3"/>
  <c r="AE152" i="3"/>
  <c r="AK251" i="3"/>
  <c r="BV64" i="4"/>
  <c r="BC24" i="5"/>
  <c r="BC28" i="5"/>
  <c r="BZ8" i="6"/>
  <c r="AU253" i="3"/>
  <c r="AU254" i="3"/>
  <c r="AU255" i="3"/>
  <c r="AU252" i="3"/>
  <c r="BK95" i="4"/>
  <c r="BK100" i="4"/>
  <c r="BK101" i="4" s="1"/>
  <c r="BQ35" i="4"/>
  <c r="BC147" i="2"/>
  <c r="BC144" i="2" s="1"/>
  <c r="BC139" i="2"/>
  <c r="BC136" i="2" s="1"/>
  <c r="BC135" i="2"/>
  <c r="BC132" i="2" s="1"/>
  <c r="BC151" i="2"/>
  <c r="BC148" i="2" s="1"/>
  <c r="CL56" i="3"/>
  <c r="CL32" i="3"/>
  <c r="CL24" i="3"/>
  <c r="CL23" i="3"/>
  <c r="AU245" i="3"/>
  <c r="AU171" i="3"/>
  <c r="BP61" i="2"/>
  <c r="CB316" i="3"/>
  <c r="CD317" i="3"/>
  <c r="CZ40" i="5"/>
  <c r="AI17" i="6"/>
  <c r="AI8" i="6" s="1"/>
  <c r="AI7" i="6"/>
  <c r="AJ5" i="6"/>
  <c r="DH51" i="4"/>
  <c r="CY65" i="5"/>
  <c r="EQ139" i="2"/>
  <c r="BK37" i="3"/>
  <c r="BK35" i="3"/>
  <c r="ES37" i="2"/>
  <c r="X37" i="3"/>
  <c r="X35" i="3"/>
  <c r="X327" i="3" s="1"/>
  <c r="X328" i="3" s="1"/>
  <c r="EE53" i="3"/>
  <c r="CO52" i="2" s="1"/>
  <c r="EE44" i="3"/>
  <c r="EE54" i="3"/>
  <c r="EK15" i="3"/>
  <c r="EK14" i="3"/>
  <c r="EL15" i="3"/>
  <c r="BT35" i="3"/>
  <c r="BT42" i="3" s="1"/>
  <c r="BT37" i="3"/>
  <c r="CQ146" i="3"/>
  <c r="AS71" i="3"/>
  <c r="AS13" i="3"/>
  <c r="U8" i="2"/>
  <c r="ED19" i="2"/>
  <c r="ED18" i="2"/>
  <c r="CE56" i="3"/>
  <c r="CE32" i="3"/>
  <c r="CE23" i="3"/>
  <c r="CE24" i="3"/>
  <c r="CC41" i="2"/>
  <c r="CP110" i="2"/>
  <c r="CQ107" i="2"/>
  <c r="L56" i="3"/>
  <c r="L23" i="3"/>
  <c r="L24" i="3"/>
  <c r="L32" i="3"/>
  <c r="P22" i="3"/>
  <c r="AC32" i="3"/>
  <c r="AC23" i="3"/>
  <c r="AC24" i="3"/>
  <c r="AC56" i="3"/>
  <c r="M24" i="3"/>
  <c r="M23" i="3"/>
  <c r="M56" i="3"/>
  <c r="M32" i="3"/>
  <c r="C37" i="3"/>
  <c r="C35" i="3"/>
  <c r="DS54" i="3"/>
  <c r="DS53" i="3"/>
  <c r="CE52" i="2" s="1"/>
  <c r="DS44" i="3"/>
  <c r="AT47" i="2"/>
  <c r="B43" i="2"/>
  <c r="CU135" i="2"/>
  <c r="CT132" i="2"/>
  <c r="CE10" i="2"/>
  <c r="BX71" i="2"/>
  <c r="CA10" i="2"/>
  <c r="CA9" i="2"/>
  <c r="BZ71" i="2"/>
  <c r="CA15" i="2"/>
  <c r="CB70" i="2"/>
  <c r="BY71" i="2"/>
  <c r="CA71" i="2"/>
  <c r="CA70" i="2"/>
  <c r="CB9" i="2"/>
  <c r="EM138" i="2"/>
  <c r="EM139" i="2"/>
  <c r="H43" i="2"/>
  <c r="CF71" i="3"/>
  <c r="CF13" i="3"/>
  <c r="AZ8" i="2"/>
  <c r="CB146" i="3"/>
  <c r="CC141" i="3"/>
  <c r="BA168" i="3"/>
  <c r="BA185" i="3"/>
  <c r="BA172" i="3" s="1"/>
  <c r="BA180" i="3"/>
  <c r="BB181" i="3"/>
  <c r="BA187" i="3"/>
  <c r="BA174" i="3" s="1"/>
  <c r="CL144" i="3"/>
  <c r="CL146" i="3" s="1"/>
  <c r="CK146" i="3"/>
  <c r="BH133" i="3"/>
  <c r="BH134" i="3" s="1"/>
  <c r="BG134" i="3"/>
  <c r="CZ69" i="5"/>
  <c r="AH66" i="5"/>
  <c r="AL68" i="5" s="1"/>
  <c r="AH70" i="5"/>
  <c r="AH71" i="5"/>
  <c r="AH60" i="5"/>
  <c r="BB64" i="5"/>
  <c r="AM253" i="3"/>
  <c r="AM254" i="3"/>
  <c r="AM255" i="3"/>
  <c r="AM242" i="3"/>
  <c r="AM252" i="3"/>
  <c r="AJ104" i="3"/>
  <c r="BZ73" i="4"/>
  <c r="U146" i="3"/>
  <c r="FH57" i="3"/>
  <c r="AL71" i="5"/>
  <c r="CE102" i="2"/>
  <c r="CE78" i="2"/>
  <c r="CE121" i="2"/>
  <c r="CE122" i="2"/>
  <c r="CE86" i="2"/>
  <c r="CE110" i="2"/>
  <c r="CE82" i="2"/>
  <c r="CE120" i="2"/>
  <c r="CE98" i="2"/>
  <c r="CE94" i="2"/>
  <c r="BC17" i="4"/>
  <c r="BC16" i="4"/>
  <c r="BC18" i="4"/>
  <c r="ET42" i="3"/>
  <c r="ET41" i="3" s="1"/>
  <c r="DB20" i="2"/>
  <c r="CR15" i="3"/>
  <c r="CR14" i="3"/>
  <c r="BJ37" i="3"/>
  <c r="BJ35" i="3"/>
  <c r="DB84" i="3"/>
  <c r="EC320" i="3"/>
  <c r="EC322" i="3" s="1"/>
  <c r="EC58" i="3"/>
  <c r="CM55" i="2" s="1"/>
  <c r="EC113" i="3"/>
  <c r="EC129" i="3" s="1"/>
  <c r="BL56" i="3"/>
  <c r="BL32" i="3"/>
  <c r="BL24" i="3"/>
  <c r="BL23" i="3"/>
  <c r="BP317" i="3"/>
  <c r="CP56" i="3"/>
  <c r="CP32" i="3"/>
  <c r="CP23" i="3"/>
  <c r="CP24" i="3"/>
  <c r="DH18" i="4"/>
  <c r="DH17" i="4"/>
  <c r="DA35" i="3"/>
  <c r="DA37" i="3"/>
  <c r="BF56" i="3"/>
  <c r="BF32" i="3"/>
  <c r="BF23" i="3"/>
  <c r="W245" i="3"/>
  <c r="CD56" i="3"/>
  <c r="CD32" i="3"/>
  <c r="CD24" i="3"/>
  <c r="CD23" i="3"/>
  <c r="AD146" i="3"/>
  <c r="AE139" i="3"/>
  <c r="AE15" i="5"/>
  <c r="AU251" i="3"/>
  <c r="T13" i="2"/>
  <c r="T12" i="2"/>
  <c r="T14" i="2"/>
  <c r="DX11" i="2"/>
  <c r="BD28" i="5"/>
  <c r="BD24" i="5"/>
  <c r="BY44" i="2"/>
  <c r="BY41" i="2"/>
  <c r="BY43" i="2"/>
  <c r="H37" i="3"/>
  <c r="H35" i="3"/>
  <c r="AU56" i="3"/>
  <c r="AU32" i="3"/>
  <c r="AU23" i="3"/>
  <c r="J330" i="3"/>
  <c r="J52" i="3" s="1"/>
  <c r="J51" i="3"/>
  <c r="J44" i="3"/>
  <c r="J331" i="3" s="1"/>
  <c r="J54" i="3"/>
  <c r="DN84" i="3"/>
  <c r="DO81" i="3"/>
  <c r="FI134" i="3"/>
  <c r="FJ134" i="3" s="1"/>
  <c r="FJ132" i="3"/>
  <c r="AG14" i="5"/>
  <c r="AG26" i="5"/>
  <c r="AG25" i="5"/>
  <c r="EQ24" i="2"/>
  <c r="EQ23" i="2"/>
  <c r="S23" i="3"/>
  <c r="S32" i="3"/>
  <c r="S56" i="3"/>
  <c r="DS96" i="3"/>
  <c r="DR106" i="3"/>
  <c r="ET17" i="3"/>
  <c r="DB35" i="2"/>
  <c r="DA37" i="2"/>
  <c r="BM32" i="3"/>
  <c r="BM56" i="3"/>
  <c r="BM23" i="3"/>
  <c r="BM24" i="3"/>
  <c r="EH56" i="3"/>
  <c r="EH107" i="3" s="1"/>
  <c r="EH23" i="3"/>
  <c r="EH24" i="3"/>
  <c r="EH32" i="3"/>
  <c r="AX100" i="3"/>
  <c r="AC25" i="5"/>
  <c r="CE44" i="2"/>
  <c r="CE43" i="2"/>
  <c r="W251" i="3"/>
  <c r="W256" i="3" s="1"/>
  <c r="W167" i="3"/>
  <c r="CG303" i="3"/>
  <c r="AM64" i="5"/>
  <c r="AN248" i="3"/>
  <c r="AN173" i="3"/>
  <c r="AH14" i="5"/>
  <c r="AH26" i="5"/>
  <c r="CZ24" i="5"/>
  <c r="AH25" i="5"/>
  <c r="AF14" i="5"/>
  <c r="AJ16" i="5" s="1"/>
  <c r="AF26" i="5"/>
  <c r="AF25" i="5"/>
  <c r="AI26" i="5"/>
  <c r="AI25" i="5"/>
  <c r="AI14" i="5"/>
  <c r="AJ15" i="5" s="1"/>
  <c r="AD88" i="5"/>
  <c r="AD67" i="5"/>
  <c r="AD57" i="5"/>
  <c r="BD44" i="2"/>
  <c r="BD43" i="2"/>
  <c r="BD41" i="2"/>
  <c r="P18" i="2"/>
  <c r="P40" i="2"/>
  <c r="V167" i="3"/>
  <c r="V251" i="3"/>
  <c r="V256" i="3" s="1"/>
  <c r="BW37" i="3"/>
  <c r="BW35" i="3"/>
  <c r="BW42" i="3" s="1"/>
  <c r="AD245" i="3"/>
  <c r="AD171" i="3"/>
  <c r="DB15" i="3"/>
  <c r="DB14" i="3"/>
  <c r="AX146" i="3"/>
  <c r="AY141" i="3"/>
  <c r="AD104" i="3"/>
  <c r="AE100" i="3"/>
  <c r="AK248" i="3"/>
  <c r="AK247" i="3" s="1"/>
  <c r="AK173" i="3"/>
  <c r="BN22" i="4"/>
  <c r="BM97" i="4"/>
  <c r="DF97" i="4" s="1"/>
  <c r="DF34" i="4" s="1"/>
  <c r="BM27" i="4"/>
  <c r="DF27" i="4" s="1"/>
  <c r="AE26" i="5"/>
  <c r="DC40" i="5"/>
  <c r="AJ11" i="6"/>
  <c r="AI13" i="6"/>
  <c r="BG24" i="3"/>
  <c r="DU14" i="2"/>
  <c r="DU13" i="2"/>
  <c r="ED24" i="3"/>
  <c r="ED23" i="3"/>
  <c r="ED32" i="3"/>
  <c r="EF32" i="3" s="1"/>
  <c r="EF35" i="3" s="1"/>
  <c r="ED56" i="3"/>
  <c r="ED107" i="3" s="1"/>
  <c r="EE24" i="3"/>
  <c r="EF22" i="3"/>
  <c r="EG24" i="3" s="1"/>
  <c r="BD50" i="5"/>
  <c r="BD53" i="5"/>
  <c r="BD52" i="5"/>
  <c r="AM56" i="3"/>
  <c r="AM23" i="3"/>
  <c r="AM32" i="3"/>
  <c r="BC42" i="2"/>
  <c r="BC41" i="2"/>
  <c r="BC44" i="2"/>
  <c r="BC43" i="2"/>
  <c r="DW23" i="2"/>
  <c r="DW24" i="2"/>
  <c r="CU47" i="2"/>
  <c r="DD143" i="2"/>
  <c r="AF37" i="3"/>
  <c r="AF35" i="3"/>
  <c r="EO177" i="2"/>
  <c r="AV23" i="3"/>
  <c r="AV24" i="3"/>
  <c r="AV32" i="3"/>
  <c r="AV56" i="3"/>
  <c r="EY91" i="3"/>
  <c r="AR242" i="3"/>
  <c r="AR254" i="3"/>
  <c r="AR255" i="3"/>
  <c r="AR253" i="3"/>
  <c r="AR252" i="3"/>
  <c r="CE76" i="4"/>
  <c r="AD16" i="5"/>
  <c r="AD15" i="5"/>
  <c r="AL83" i="5"/>
  <c r="AL78" i="5"/>
  <c r="AM77" i="5"/>
  <c r="BL19" i="5"/>
  <c r="BM17" i="5"/>
  <c r="BY37" i="5"/>
  <c r="BZ35" i="5"/>
  <c r="DJ35" i="5"/>
  <c r="BD64" i="5"/>
  <c r="BB25" i="5"/>
  <c r="BB14" i="5"/>
  <c r="DR35" i="3"/>
  <c r="DR41" i="3" s="1"/>
  <c r="DV32" i="3"/>
  <c r="DV35" i="3" s="1"/>
  <c r="DR37" i="3"/>
  <c r="BA57" i="5"/>
  <c r="BQ37" i="3"/>
  <c r="BQ35" i="3"/>
  <c r="BQ42" i="3" s="1"/>
  <c r="AD10" i="2"/>
  <c r="AE9" i="2"/>
  <c r="AH10" i="2"/>
  <c r="AD15" i="2"/>
  <c r="BT56" i="4"/>
  <c r="BT55" i="4"/>
  <c r="BX58" i="4"/>
  <c r="CZ150" i="3"/>
  <c r="DB146" i="3"/>
  <c r="CZ29" i="5"/>
  <c r="CZ17" i="5"/>
  <c r="AD61" i="5"/>
  <c r="AD62" i="5"/>
  <c r="ER121" i="2"/>
  <c r="ER102" i="2"/>
  <c r="ER78" i="2"/>
  <c r="ER94" i="2"/>
  <c r="ER82" i="2"/>
  <c r="ER98" i="2"/>
  <c r="ER86" i="2"/>
  <c r="ER90" i="2"/>
  <c r="AF43" i="2"/>
  <c r="AF41" i="2"/>
  <c r="ES41" i="3"/>
  <c r="DD82" i="3"/>
  <c r="DC84" i="3"/>
  <c r="DF81" i="3"/>
  <c r="AL26" i="5"/>
  <c r="DG44" i="4"/>
  <c r="AK61" i="5"/>
  <c r="CO37" i="3"/>
  <c r="CO35" i="3"/>
  <c r="BW24" i="3"/>
  <c r="DW24" i="3"/>
  <c r="DW23" i="3"/>
  <c r="DW56" i="3"/>
  <c r="DW107" i="3" s="1"/>
  <c r="DW32" i="3"/>
  <c r="EA22" i="3"/>
  <c r="DW95" i="3"/>
  <c r="DX95" i="3" s="1"/>
  <c r="DY95" i="3" s="1"/>
  <c r="DZ95" i="3" s="1"/>
  <c r="EA95" i="3" s="1"/>
  <c r="EB95" i="3" s="1"/>
  <c r="EC95" i="3" s="1"/>
  <c r="ED95" i="3" s="1"/>
  <c r="EE95" i="3" s="1"/>
  <c r="EF95" i="3" s="1"/>
  <c r="EG95" i="3" s="1"/>
  <c r="EH95" i="3" s="1"/>
  <c r="EI95" i="3" s="1"/>
  <c r="EJ95" i="3" s="1"/>
  <c r="EK95" i="3" s="1"/>
  <c r="EL95" i="3" s="1"/>
  <c r="EM95" i="3" s="1"/>
  <c r="EN95" i="3" s="1"/>
  <c r="EO95" i="3" s="1"/>
  <c r="EP95" i="3" s="1"/>
  <c r="EQ95" i="3" s="1"/>
  <c r="ER95" i="3" s="1"/>
  <c r="ES95" i="3" s="1"/>
  <c r="ET95" i="3" s="1"/>
  <c r="DV95" i="3"/>
  <c r="AL253" i="3"/>
  <c r="AL254" i="3"/>
  <c r="AL242" i="3"/>
  <c r="AL255" i="3"/>
  <c r="AL252" i="3"/>
  <c r="AQ23" i="5"/>
  <c r="AR21" i="5"/>
  <c r="AQ11" i="5"/>
  <c r="AQ22" i="5"/>
  <c r="CG144" i="3"/>
  <c r="CG146" i="3" s="1"/>
  <c r="CF146" i="3"/>
  <c r="BL94" i="4"/>
  <c r="BL28" i="4"/>
  <c r="AC88" i="5"/>
  <c r="AC57" i="5"/>
  <c r="BA14" i="5"/>
  <c r="AJ57" i="5"/>
  <c r="AP54" i="3"/>
  <c r="AP44" i="3"/>
  <c r="AP53" i="3"/>
  <c r="R52" i="2" s="1"/>
  <c r="AR71" i="3"/>
  <c r="AR13" i="3"/>
  <c r="T8" i="2"/>
  <c r="AT10" i="3"/>
  <c r="AK244" i="3"/>
  <c r="R58" i="2"/>
  <c r="CV56" i="3"/>
  <c r="CV32" i="3"/>
  <c r="CW32" i="3" s="1"/>
  <c r="CW35" i="3" s="1"/>
  <c r="CV24" i="3"/>
  <c r="CV23" i="3"/>
  <c r="BD95" i="3"/>
  <c r="BE95" i="3"/>
  <c r="AV242" i="3"/>
  <c r="AJ26" i="5"/>
  <c r="AA61" i="5"/>
  <c r="CS26" i="2"/>
  <c r="CS28" i="2"/>
  <c r="EQ25" i="2"/>
  <c r="CS27" i="2"/>
  <c r="CW27" i="2"/>
  <c r="BJ248" i="2"/>
  <c r="BJ247" i="2"/>
  <c r="BJ219" i="2"/>
  <c r="EI246" i="2"/>
  <c r="BJ254" i="2"/>
  <c r="DV56" i="3"/>
  <c r="DV107" i="3" s="1"/>
  <c r="DV23" i="3"/>
  <c r="BW49" i="4"/>
  <c r="CU37" i="3"/>
  <c r="CU35" i="3"/>
  <c r="EG32" i="3"/>
  <c r="EG56" i="3"/>
  <c r="EG107" i="3" s="1"/>
  <c r="EG23" i="3"/>
  <c r="EK22" i="3"/>
  <c r="BI10" i="3"/>
  <c r="BV53" i="4"/>
  <c r="BU54" i="4"/>
  <c r="DH54" i="4" s="1"/>
  <c r="CY19" i="5"/>
  <c r="CY20" i="5"/>
  <c r="CD141" i="2"/>
  <c r="CD142" i="2"/>
  <c r="EG121" i="2"/>
  <c r="EG78" i="2"/>
  <c r="EG94" i="2"/>
  <c r="EG118" i="2"/>
  <c r="EG90" i="2"/>
  <c r="EG98" i="2"/>
  <c r="EG82" i="2"/>
  <c r="BE219" i="2"/>
  <c r="BI221" i="2" s="1"/>
  <c r="BE248" i="2"/>
  <c r="BF247" i="2"/>
  <c r="BE247" i="2"/>
  <c r="BE254" i="2"/>
  <c r="P15" i="3"/>
  <c r="P14" i="3"/>
  <c r="DD56" i="3"/>
  <c r="DD107" i="3" s="1"/>
  <c r="DD32" i="3"/>
  <c r="DD24" i="3"/>
  <c r="DD23" i="3"/>
  <c r="BC71" i="3"/>
  <c r="BC13" i="3"/>
  <c r="BE15" i="3" s="1"/>
  <c r="AC8" i="2"/>
  <c r="BA56" i="3"/>
  <c r="BA32" i="3"/>
  <c r="BA23" i="3"/>
  <c r="DN88" i="3"/>
  <c r="DM93" i="3"/>
  <c r="DM100" i="3" s="1"/>
  <c r="DM104" i="3" s="1"/>
  <c r="AK35" i="3"/>
  <c r="AK41" i="3" s="1"/>
  <c r="AK37" i="3"/>
  <c r="EN32" i="3"/>
  <c r="EN24" i="3"/>
  <c r="EN23" i="3"/>
  <c r="EN56" i="3"/>
  <c r="EN107" i="3" s="1"/>
  <c r="BG151" i="2"/>
  <c r="BG148" i="2" s="1"/>
  <c r="BG147" i="2"/>
  <c r="BG144" i="2" s="1"/>
  <c r="BG139" i="2"/>
  <c r="BG136" i="2" s="1"/>
  <c r="BG135" i="2"/>
  <c r="BG132" i="2" s="1"/>
  <c r="AR44" i="2"/>
  <c r="AR43" i="2"/>
  <c r="AR42" i="2"/>
  <c r="AR41" i="2"/>
  <c r="BU56" i="3"/>
  <c r="BU24" i="3"/>
  <c r="AO15" i="2"/>
  <c r="AH43" i="2"/>
  <c r="BH22" i="2"/>
  <c r="BG25" i="2"/>
  <c r="BG24" i="2"/>
  <c r="BG23" i="2"/>
  <c r="BG22" i="2"/>
  <c r="BK23" i="2"/>
  <c r="EH21" i="2"/>
  <c r="EJ40" i="2"/>
  <c r="BN41" i="2"/>
  <c r="BN44" i="2"/>
  <c r="BN43" i="2"/>
  <c r="CX42" i="2"/>
  <c r="CX41" i="2"/>
  <c r="CX44" i="2"/>
  <c r="CX43" i="2"/>
  <c r="DL15" i="3"/>
  <c r="DL14" i="3"/>
  <c r="EF90" i="2"/>
  <c r="EF86" i="2"/>
  <c r="EF82" i="2"/>
  <c r="EF121" i="2"/>
  <c r="EF94" i="2"/>
  <c r="EF78" i="2"/>
  <c r="EF98" i="2"/>
  <c r="EF118" i="2"/>
  <c r="AZ248" i="3"/>
  <c r="AZ173" i="3"/>
  <c r="AM14" i="5"/>
  <c r="AF71" i="5"/>
  <c r="AF60" i="5"/>
  <c r="AJ62" i="5" s="1"/>
  <c r="AF66" i="5"/>
  <c r="AF70" i="5"/>
  <c r="CQ32" i="3"/>
  <c r="CQ56" i="3"/>
  <c r="CQ23" i="3"/>
  <c r="CQ24" i="3"/>
  <c r="CN24" i="3"/>
  <c r="CN23" i="3"/>
  <c r="CN56" i="3"/>
  <c r="CR22" i="3"/>
  <c r="CN32" i="3"/>
  <c r="BC218" i="3"/>
  <c r="DO56" i="3"/>
  <c r="DO107" i="3" s="1"/>
  <c r="DO32" i="3"/>
  <c r="DO23" i="3"/>
  <c r="BO305" i="3"/>
  <c r="BM308" i="3"/>
  <c r="BN14" i="3"/>
  <c r="AI167" i="3"/>
  <c r="AI251" i="3"/>
  <c r="AI256" i="3" s="1"/>
  <c r="AK57" i="5"/>
  <c r="AK67" i="5"/>
  <c r="AX44" i="2"/>
  <c r="AX43" i="2"/>
  <c r="AX41" i="2"/>
  <c r="AX42" i="2"/>
  <c r="BF313" i="3"/>
  <c r="BG313" i="3" s="1"/>
  <c r="BH313" i="3" s="1"/>
  <c r="BJ313" i="3" s="1"/>
  <c r="BK313" i="3" s="1"/>
  <c r="BL313" i="3" s="1"/>
  <c r="BM313" i="3" s="1"/>
  <c r="BE312" i="3"/>
  <c r="EA15" i="3"/>
  <c r="EA14" i="3"/>
  <c r="EB15" i="3"/>
  <c r="BQ142" i="3"/>
  <c r="BP146" i="3"/>
  <c r="CB312" i="3"/>
  <c r="CD313" i="3"/>
  <c r="AG14" i="2"/>
  <c r="AK13" i="2"/>
  <c r="AH12" i="2"/>
  <c r="AG12" i="2"/>
  <c r="EA11" i="2"/>
  <c r="BS44" i="4"/>
  <c r="BR45" i="4"/>
  <c r="AL247" i="3"/>
  <c r="AN241" i="3"/>
  <c r="AN167" i="3"/>
  <c r="DF22" i="4"/>
  <c r="AP8" i="5"/>
  <c r="AP54" i="5"/>
  <c r="AP12" i="5"/>
  <c r="BL98" i="4"/>
  <c r="BL34" i="4"/>
  <c r="BP26" i="4"/>
  <c r="AI70" i="5"/>
  <c r="AI71" i="5"/>
  <c r="AI60" i="5"/>
  <c r="AI66" i="5"/>
  <c r="BY32" i="3"/>
  <c r="BY23" i="3"/>
  <c r="BY24" i="3"/>
  <c r="BY56" i="3"/>
  <c r="BS44" i="2"/>
  <c r="BS43" i="2"/>
  <c r="BS42" i="2"/>
  <c r="BS41" i="2"/>
  <c r="DJ24" i="3"/>
  <c r="DJ23" i="3"/>
  <c r="DJ32" i="3"/>
  <c r="DJ56" i="3"/>
  <c r="DJ107" i="3" s="1"/>
  <c r="DK24" i="3"/>
  <c r="EU82" i="3"/>
  <c r="EV82" i="3"/>
  <c r="EW82" i="3" s="1"/>
  <c r="EX82" i="3" s="1"/>
  <c r="EY82" i="3" s="1"/>
  <c r="DF56" i="3"/>
  <c r="DF107" i="3" s="1"/>
  <c r="DF24" i="3"/>
  <c r="DF23" i="3"/>
  <c r="DF32" i="3"/>
  <c r="DH24" i="3"/>
  <c r="CY24" i="5"/>
  <c r="AK84" i="5"/>
  <c r="AK88" i="5"/>
  <c r="AH19" i="6"/>
  <c r="AH18" i="6"/>
  <c r="DE54" i="5"/>
  <c r="E330" i="3"/>
  <c r="E52" i="3" s="1"/>
  <c r="E51" i="3"/>
  <c r="E54" i="3"/>
  <c r="E44" i="3"/>
  <c r="E331" i="3" s="1"/>
  <c r="ER139" i="2"/>
  <c r="ER138" i="2"/>
  <c r="CK56" i="3"/>
  <c r="CK32" i="3"/>
  <c r="CK23" i="3"/>
  <c r="BE14" i="3"/>
  <c r="BE22" i="3"/>
  <c r="BF24" i="3" s="1"/>
  <c r="AP256" i="3"/>
  <c r="DZ56" i="3"/>
  <c r="DZ107" i="3" s="1"/>
  <c r="DZ32" i="3"/>
  <c r="DZ23" i="3"/>
  <c r="DZ24" i="3"/>
  <c r="CF67" i="4"/>
  <c r="EN18" i="2"/>
  <c r="EN19" i="2"/>
  <c r="CW42" i="2" l="1"/>
  <c r="CR41" i="2"/>
  <c r="CQ27" i="2"/>
  <c r="EJ18" i="2"/>
  <c r="CO42" i="2"/>
  <c r="EF23" i="2"/>
  <c r="CR42" i="2"/>
  <c r="D43" i="2"/>
  <c r="EP25" i="2"/>
  <c r="EP28" i="2" s="1"/>
  <c r="CS42" i="2"/>
  <c r="EQ40" i="2"/>
  <c r="EQ43" i="2" s="1"/>
  <c r="H42" i="2"/>
  <c r="CM27" i="2"/>
  <c r="CO45" i="2"/>
  <c r="CN26" i="2"/>
  <c r="BL42" i="2"/>
  <c r="CV42" i="2"/>
  <c r="DZ24" i="2"/>
  <c r="CS41" i="2"/>
  <c r="BF139" i="2"/>
  <c r="BF136" i="2" s="1"/>
  <c r="BF138" i="2" s="1"/>
  <c r="EO23" i="2"/>
  <c r="EC13" i="2"/>
  <c r="CM28" i="2"/>
  <c r="CT41" i="2"/>
  <c r="EA23" i="2"/>
  <c r="CG27" i="2"/>
  <c r="EP23" i="2"/>
  <c r="AU26" i="2"/>
  <c r="EJ17" i="2"/>
  <c r="CP41" i="2"/>
  <c r="O70" i="2"/>
  <c r="E41" i="2"/>
  <c r="J71" i="2"/>
  <c r="AV26" i="2"/>
  <c r="CM41" i="2"/>
  <c r="EC8" i="2"/>
  <c r="BH147" i="2"/>
  <c r="BH144" i="2" s="1"/>
  <c r="AO10" i="2"/>
  <c r="DZ8" i="2"/>
  <c r="AJ41" i="2"/>
  <c r="EI19" i="2"/>
  <c r="BH135" i="2"/>
  <c r="BH132" i="2" s="1"/>
  <c r="EE23" i="2"/>
  <c r="AP9" i="2"/>
  <c r="AU28" i="2"/>
  <c r="AG13" i="2"/>
  <c r="CW24" i="3"/>
  <c r="EB40" i="2"/>
  <c r="BU32" i="3"/>
  <c r="DT54" i="3"/>
  <c r="DT325" i="3" s="1"/>
  <c r="CC42" i="2"/>
  <c r="BV24" i="3"/>
  <c r="CM42" i="2"/>
  <c r="AJ42" i="2"/>
  <c r="CN41" i="2"/>
  <c r="DK58" i="3"/>
  <c r="BY55" i="2" s="1"/>
  <c r="EI18" i="2"/>
  <c r="BX42" i="2"/>
  <c r="EL27" i="2"/>
  <c r="L71" i="2"/>
  <c r="AD12" i="2"/>
  <c r="BE27" i="2"/>
  <c r="AK41" i="2"/>
  <c r="BX22" i="3"/>
  <c r="BX24" i="3" s="1"/>
  <c r="AJ43" i="2"/>
  <c r="AR70" i="2"/>
  <c r="DT44" i="3"/>
  <c r="DT40" i="2"/>
  <c r="DT43" i="2" s="1"/>
  <c r="CC43" i="2"/>
  <c r="CQ42" i="2"/>
  <c r="BV41" i="2"/>
  <c r="BI27" i="2"/>
  <c r="EH40" i="2"/>
  <c r="EH44" i="2" s="1"/>
  <c r="CD42" i="2"/>
  <c r="EC325" i="3"/>
  <c r="AL71" i="2"/>
  <c r="AO71" i="2"/>
  <c r="AS10" i="2"/>
  <c r="AM81" i="5"/>
  <c r="AU242" i="3"/>
  <c r="CB71" i="4"/>
  <c r="CC71" i="4" s="1"/>
  <c r="CM43" i="2"/>
  <c r="EP40" i="2"/>
  <c r="EP43" i="2" s="1"/>
  <c r="BU41" i="2"/>
  <c r="AM71" i="2"/>
  <c r="AO70" i="2"/>
  <c r="CE41" i="2"/>
  <c r="CA80" i="4"/>
  <c r="CM49" i="2"/>
  <c r="EQ17" i="2"/>
  <c r="F41" i="2"/>
  <c r="CM44" i="2"/>
  <c r="EP17" i="2"/>
  <c r="I42" i="2"/>
  <c r="BU42" i="2"/>
  <c r="AN71" i="2"/>
  <c r="BH139" i="2"/>
  <c r="BH136" i="2" s="1"/>
  <c r="EH136" i="2" s="1"/>
  <c r="EH139" i="2" s="1"/>
  <c r="AP70" i="2"/>
  <c r="AQ70" i="2"/>
  <c r="BI41" i="2"/>
  <c r="AM71" i="5"/>
  <c r="CB318" i="3"/>
  <c r="AE68" i="5"/>
  <c r="AZ100" i="3"/>
  <c r="AZ104" i="3" s="1"/>
  <c r="AM60" i="5"/>
  <c r="AM61" i="5" s="1"/>
  <c r="CC44" i="2"/>
  <c r="CC46" i="2" s="1"/>
  <c r="BH44" i="2"/>
  <c r="BL46" i="2" s="1"/>
  <c r="CY35" i="3"/>
  <c r="CV45" i="2"/>
  <c r="EE25" i="2"/>
  <c r="EE28" i="2" s="1"/>
  <c r="K71" i="2"/>
  <c r="CD44" i="2"/>
  <c r="CD47" i="2" s="1"/>
  <c r="CD43" i="2"/>
  <c r="BH43" i="2"/>
  <c r="AM82" i="5"/>
  <c r="AM70" i="5"/>
  <c r="BM226" i="2"/>
  <c r="BH41" i="2"/>
  <c r="BU43" i="2"/>
  <c r="CZ37" i="3"/>
  <c r="CZ53" i="3" s="1"/>
  <c r="BP52" i="2" s="1"/>
  <c r="DY35" i="3"/>
  <c r="DY41" i="3" s="1"/>
  <c r="CD41" i="2"/>
  <c r="BY42" i="2"/>
  <c r="BM245" i="2"/>
  <c r="EK40" i="2"/>
  <c r="EK44" i="2" s="1"/>
  <c r="CH42" i="2"/>
  <c r="CV46" i="2"/>
  <c r="AY27" i="2"/>
  <c r="AX28" i="2"/>
  <c r="CP45" i="2"/>
  <c r="ER23" i="2"/>
  <c r="AX27" i="2"/>
  <c r="EM23" i="2"/>
  <c r="EM27" i="2"/>
  <c r="AI14" i="6"/>
  <c r="AE57" i="5"/>
  <c r="AL15" i="5"/>
  <c r="AE88" i="5"/>
  <c r="AB15" i="5"/>
  <c r="AM25" i="5"/>
  <c r="DA63" i="5"/>
  <c r="DA65" i="5" s="1"/>
  <c r="AE16" i="5"/>
  <c r="Z57" i="5"/>
  <c r="AA58" i="5" s="1"/>
  <c r="AD68" i="5"/>
  <c r="AA67" i="5"/>
  <c r="CY60" i="5"/>
  <c r="CY62" i="5" s="1"/>
  <c r="AE62" i="5"/>
  <c r="CX66" i="5"/>
  <c r="CX57" i="5" s="1"/>
  <c r="BM25" i="4"/>
  <c r="EK17" i="2"/>
  <c r="CM56" i="3"/>
  <c r="BJ41" i="2"/>
  <c r="DN86" i="3"/>
  <c r="CK24" i="3"/>
  <c r="DV13" i="2"/>
  <c r="AP318" i="3"/>
  <c r="EK19" i="2"/>
  <c r="BJ43" i="2"/>
  <c r="EH17" i="2"/>
  <c r="CP46" i="2"/>
  <c r="AY26" i="2"/>
  <c r="V245" i="3"/>
  <c r="V244" i="3" s="1"/>
  <c r="EL23" i="2"/>
  <c r="CC26" i="2"/>
  <c r="CJ24" i="3"/>
  <c r="EH19" i="2"/>
  <c r="EN23" i="2"/>
  <c r="CJ23" i="3"/>
  <c r="BA100" i="3"/>
  <c r="BA104" i="3" s="1"/>
  <c r="AD71" i="2"/>
  <c r="DK325" i="3"/>
  <c r="EI17" i="2"/>
  <c r="EL17" i="2"/>
  <c r="BJ44" i="2"/>
  <c r="EF25" i="2"/>
  <c r="EF28" i="2" s="1"/>
  <c r="BK41" i="2"/>
  <c r="CJ32" i="3"/>
  <c r="CM32" i="3" s="1"/>
  <c r="CM35" i="3" s="1"/>
  <c r="I71" i="2"/>
  <c r="AJ13" i="3"/>
  <c r="AJ14" i="3" s="1"/>
  <c r="CO28" i="2"/>
  <c r="CP26" i="2"/>
  <c r="BY28" i="2"/>
  <c r="BZ26" i="2"/>
  <c r="BY26" i="2"/>
  <c r="CC28" i="2"/>
  <c r="CC27" i="2"/>
  <c r="BN42" i="2"/>
  <c r="BX15" i="3"/>
  <c r="BF42" i="2"/>
  <c r="EK23" i="2"/>
  <c r="EM24" i="2"/>
  <c r="CD26" i="2"/>
  <c r="CJ56" i="3"/>
  <c r="DV8" i="2"/>
  <c r="DV10" i="2" s="1"/>
  <c r="BJ42" i="2"/>
  <c r="BG41" i="2"/>
  <c r="BN32" i="3"/>
  <c r="BN35" i="3" s="1"/>
  <c r="BF41" i="2"/>
  <c r="AN247" i="3"/>
  <c r="AR256" i="3"/>
  <c r="DG146" i="3"/>
  <c r="BF151" i="2"/>
  <c r="BF148" i="2" s="1"/>
  <c r="BF147" i="2"/>
  <c r="BF144" i="2" s="1"/>
  <c r="BF146" i="2" s="1"/>
  <c r="AS251" i="3"/>
  <c r="P140" i="3"/>
  <c r="AZ247" i="3"/>
  <c r="BF134" i="2"/>
  <c r="BF44" i="2"/>
  <c r="BF47" i="2" s="1"/>
  <c r="BF43" i="2"/>
  <c r="DP63" i="3"/>
  <c r="DO74" i="3"/>
  <c r="AF251" i="3"/>
  <c r="AF256" i="3" s="1"/>
  <c r="AF167" i="3"/>
  <c r="AM256" i="3"/>
  <c r="CX27" i="2"/>
  <c r="CT27" i="2"/>
  <c r="CT28" i="2"/>
  <c r="CA14" i="3"/>
  <c r="CB15" i="3"/>
  <c r="CA15" i="3"/>
  <c r="CA22" i="3"/>
  <c r="CC13" i="3"/>
  <c r="EL35" i="3"/>
  <c r="EL41" i="3" s="1"/>
  <c r="EL37" i="3"/>
  <c r="AU71" i="2"/>
  <c r="AH172" i="3"/>
  <c r="AH15" i="3"/>
  <c r="AH14" i="3"/>
  <c r="AH22" i="3"/>
  <c r="CJ37" i="3"/>
  <c r="K40" i="2"/>
  <c r="K18" i="2"/>
  <c r="K16" i="2"/>
  <c r="BD133" i="3"/>
  <c r="BC134" i="3"/>
  <c r="BD134" i="3" s="1"/>
  <c r="AF245" i="3"/>
  <c r="AF171" i="3"/>
  <c r="EE8" i="2"/>
  <c r="EE10" i="2" s="1"/>
  <c r="EE14" i="2"/>
  <c r="EE13" i="2"/>
  <c r="AW9" i="2"/>
  <c r="AV9" i="2"/>
  <c r="AV70" i="2"/>
  <c r="AV10" i="2"/>
  <c r="AV71" i="2"/>
  <c r="AV15" i="2"/>
  <c r="EE15" i="2" s="1"/>
  <c r="AY70" i="2"/>
  <c r="AW70" i="2"/>
  <c r="AX70" i="2"/>
  <c r="R23" i="3"/>
  <c r="R32" i="3"/>
  <c r="R56" i="3"/>
  <c r="AT71" i="2"/>
  <c r="AU19" i="2"/>
  <c r="AY17" i="2"/>
  <c r="AU18" i="2"/>
  <c r="AU40" i="2"/>
  <c r="AU16" i="2"/>
  <c r="AU17" i="2"/>
  <c r="L10" i="2"/>
  <c r="L9" i="2"/>
  <c r="L70" i="2"/>
  <c r="L15" i="2"/>
  <c r="P10" i="2"/>
  <c r="AQ256" i="3"/>
  <c r="BB22" i="3"/>
  <c r="BB14" i="3"/>
  <c r="BB15" i="3"/>
  <c r="AL256" i="3"/>
  <c r="AG23" i="3"/>
  <c r="AG32" i="3"/>
  <c r="AG24" i="3"/>
  <c r="AG56" i="3"/>
  <c r="BZ24" i="3"/>
  <c r="BZ32" i="3"/>
  <c r="BZ56" i="3"/>
  <c r="BZ23" i="3"/>
  <c r="AK15" i="3"/>
  <c r="AI172" i="3"/>
  <c r="AI22" i="3"/>
  <c r="AI14" i="3"/>
  <c r="AI15" i="3"/>
  <c r="AB15" i="2"/>
  <c r="AF10" i="2"/>
  <c r="AB9" i="2"/>
  <c r="BE318" i="3"/>
  <c r="CU26" i="2"/>
  <c r="M15" i="2"/>
  <c r="M70" i="2"/>
  <c r="N70" i="2"/>
  <c r="M10" i="2"/>
  <c r="N9" i="2"/>
  <c r="M9" i="2"/>
  <c r="CT26" i="2"/>
  <c r="FJ72" i="3"/>
  <c r="FK72" i="3"/>
  <c r="FL72" i="3" s="1"/>
  <c r="FM72" i="3" s="1"/>
  <c r="FN72" i="3" s="1"/>
  <c r="FO72" i="3" s="1"/>
  <c r="Y35" i="3"/>
  <c r="Y327" i="3" s="1"/>
  <c r="Y328" i="3" s="1"/>
  <c r="Y37" i="3"/>
  <c r="BM258" i="2"/>
  <c r="BM253" i="2"/>
  <c r="BC220" i="2"/>
  <c r="BB255" i="2"/>
  <c r="BM255" i="2"/>
  <c r="ER27" i="2"/>
  <c r="BM256" i="2"/>
  <c r="BF137" i="2"/>
  <c r="BQ256" i="2"/>
  <c r="BB253" i="2"/>
  <c r="BM257" i="2"/>
  <c r="DG17" i="4"/>
  <c r="BN255" i="2"/>
  <c r="CS46" i="2"/>
  <c r="EJ234" i="2"/>
  <c r="BB111" i="2"/>
  <c r="BB114" i="2" s="1"/>
  <c r="EM10" i="2"/>
  <c r="DC34" i="2"/>
  <c r="DC39" i="2" s="1"/>
  <c r="DA32" i="2"/>
  <c r="EQ121" i="2"/>
  <c r="DB30" i="2"/>
  <c r="EV19" i="3" s="1"/>
  <c r="AA70" i="2"/>
  <c r="DA21" i="2"/>
  <c r="DA25" i="2" s="1"/>
  <c r="ES25" i="2" s="1"/>
  <c r="BO256" i="2"/>
  <c r="EQ138" i="2"/>
  <c r="ET19" i="3"/>
  <c r="EU19" i="3" s="1"/>
  <c r="EJ248" i="2"/>
  <c r="EJ249" i="2"/>
  <c r="EJ238" i="2"/>
  <c r="BB245" i="2"/>
  <c r="BC129" i="2"/>
  <c r="CG144" i="2"/>
  <c r="CG145" i="2" s="1"/>
  <c r="CZ23" i="2"/>
  <c r="BB256" i="2"/>
  <c r="AT45" i="2"/>
  <c r="BC137" i="2"/>
  <c r="BB249" i="2"/>
  <c r="CZ22" i="2"/>
  <c r="BB257" i="2"/>
  <c r="Z71" i="2"/>
  <c r="EJ253" i="2"/>
  <c r="BB222" i="2"/>
  <c r="EM28" i="2"/>
  <c r="BD145" i="2"/>
  <c r="AE70" i="2"/>
  <c r="Z70" i="2"/>
  <c r="BC133" i="2"/>
  <c r="O71" i="2"/>
  <c r="CA151" i="2"/>
  <c r="BZ148" i="2"/>
  <c r="EL148" i="2"/>
  <c r="CC150" i="2"/>
  <c r="BY149" i="2"/>
  <c r="BY150" i="2"/>
  <c r="BG221" i="2"/>
  <c r="BG111" i="2"/>
  <c r="BG114" i="2" s="1"/>
  <c r="BG220" i="2"/>
  <c r="EG254" i="2"/>
  <c r="EG234" i="2" s="1"/>
  <c r="BG222" i="2"/>
  <c r="BF256" i="2"/>
  <c r="EH43" i="2"/>
  <c r="BC145" i="2"/>
  <c r="EE27" i="2"/>
  <c r="BF221" i="2"/>
  <c r="BE249" i="2"/>
  <c r="EP27" i="2"/>
  <c r="EH219" i="2"/>
  <c r="EU42" i="3"/>
  <c r="DX70" i="2"/>
  <c r="BL226" i="2"/>
  <c r="BL258" i="2"/>
  <c r="BL245" i="2"/>
  <c r="BL257" i="2"/>
  <c r="BL253" i="2"/>
  <c r="BP256" i="2"/>
  <c r="BI220" i="2"/>
  <c r="BL249" i="2"/>
  <c r="BD137" i="2"/>
  <c r="BF245" i="2"/>
  <c r="BF257" i="2"/>
  <c r="BF253" i="2"/>
  <c r="BG255" i="2"/>
  <c r="EH128" i="2"/>
  <c r="EH131" i="2" s="1"/>
  <c r="BE133" i="2"/>
  <c r="BF227" i="2"/>
  <c r="BF111" i="2"/>
  <c r="BF222" i="2"/>
  <c r="EN143" i="2"/>
  <c r="EN142" i="2"/>
  <c r="ES142" i="2"/>
  <c r="ES143" i="2"/>
  <c r="EN89" i="2"/>
  <c r="ES81" i="2"/>
  <c r="DH56" i="4"/>
  <c r="DF26" i="4"/>
  <c r="AI68" i="5"/>
  <c r="AI57" i="5"/>
  <c r="AJ58" i="5" s="1"/>
  <c r="AI67" i="5"/>
  <c r="AI88" i="5"/>
  <c r="AV35" i="3"/>
  <c r="AV37" i="3"/>
  <c r="CM146" i="3"/>
  <c r="DP37" i="3"/>
  <c r="DP35" i="3"/>
  <c r="DP41" i="3" s="1"/>
  <c r="CZ27" i="2"/>
  <c r="CZ26" i="2"/>
  <c r="DA99" i="2"/>
  <c r="ES99" i="2" s="1"/>
  <c r="CZ148" i="2"/>
  <c r="CZ101" i="2"/>
  <c r="BD227" i="2"/>
  <c r="BD222" i="2"/>
  <c r="BD220" i="2"/>
  <c r="BD111" i="2"/>
  <c r="BM19" i="5"/>
  <c r="BN17" i="5"/>
  <c r="AD244" i="3"/>
  <c r="BD14" i="5"/>
  <c r="BD25" i="5"/>
  <c r="EC156" i="3"/>
  <c r="CM58" i="2" s="1"/>
  <c r="EC150" i="3"/>
  <c r="AI19" i="6"/>
  <c r="AI18" i="6"/>
  <c r="BC149" i="2"/>
  <c r="BC156" i="2"/>
  <c r="AN50" i="5"/>
  <c r="AN53" i="5"/>
  <c r="AN52" i="5"/>
  <c r="AN51" i="5"/>
  <c r="DA49" i="5"/>
  <c r="DC37" i="3"/>
  <c r="DC35" i="3"/>
  <c r="DG32" i="3"/>
  <c r="DG35" i="3" s="1"/>
  <c r="BW64" i="4"/>
  <c r="DY14" i="2"/>
  <c r="DY13" i="2"/>
  <c r="DB32" i="3"/>
  <c r="DB35" i="3" s="1"/>
  <c r="CX37" i="3"/>
  <c r="CX35" i="3"/>
  <c r="EO37" i="3"/>
  <c r="EO35" i="3"/>
  <c r="EO41" i="3" s="1"/>
  <c r="T22" i="3"/>
  <c r="U22" i="3" s="1"/>
  <c r="T15" i="3"/>
  <c r="T14" i="3"/>
  <c r="V15" i="3"/>
  <c r="AL58" i="5"/>
  <c r="BC67" i="5"/>
  <c r="BC57" i="5"/>
  <c r="AO53" i="5"/>
  <c r="AO52" i="5"/>
  <c r="AO51" i="5"/>
  <c r="AO50" i="5"/>
  <c r="BP31" i="4"/>
  <c r="BO36" i="4"/>
  <c r="AZ242" i="3"/>
  <c r="AZ255" i="3"/>
  <c r="AZ253" i="3"/>
  <c r="AZ254" i="3"/>
  <c r="AZ252" i="3"/>
  <c r="BA13" i="2"/>
  <c r="BA14" i="2"/>
  <c r="BA12" i="2"/>
  <c r="BB12" i="2"/>
  <c r="BE13" i="2"/>
  <c r="DN56" i="3"/>
  <c r="DN107" i="3" s="1"/>
  <c r="DN32" i="3"/>
  <c r="DN24" i="3"/>
  <c r="DN23" i="3"/>
  <c r="DQ22" i="3"/>
  <c r="CH87" i="2"/>
  <c r="CH119" i="2" s="1"/>
  <c r="CI91" i="2"/>
  <c r="CH140" i="2"/>
  <c r="CH93" i="2"/>
  <c r="CL93" i="2"/>
  <c r="EM37" i="3"/>
  <c r="EM35" i="3"/>
  <c r="EM41" i="3" s="1"/>
  <c r="EP32" i="3"/>
  <c r="EP35" i="3" s="1"/>
  <c r="CI41" i="2"/>
  <c r="CI44" i="2"/>
  <c r="CM46" i="2" s="1"/>
  <c r="CI43" i="2"/>
  <c r="CI42" i="2"/>
  <c r="B330" i="3"/>
  <c r="B52" i="3" s="1"/>
  <c r="B54" i="3"/>
  <c r="B51" i="3"/>
  <c r="B44" i="3"/>
  <c r="F37" i="3"/>
  <c r="EK43" i="2"/>
  <c r="FK92" i="3"/>
  <c r="FL92" i="3" s="1"/>
  <c r="FM92" i="3" s="1"/>
  <c r="FN92" i="3" s="1"/>
  <c r="FO92" i="3" s="1"/>
  <c r="FJ92" i="3"/>
  <c r="BD17" i="4"/>
  <c r="BD16" i="4"/>
  <c r="BD18" i="4"/>
  <c r="AL56" i="3"/>
  <c r="AL24" i="3"/>
  <c r="AL23" i="3"/>
  <c r="AL32" i="3"/>
  <c r="EN44" i="2"/>
  <c r="EN43" i="2"/>
  <c r="CT53" i="3"/>
  <c r="BK52" i="2" s="1"/>
  <c r="CT44" i="3"/>
  <c r="CT54" i="3"/>
  <c r="CQ46" i="2"/>
  <c r="CQ45" i="2"/>
  <c r="CQ47" i="2"/>
  <c r="FJ98" i="3"/>
  <c r="FK98" i="3"/>
  <c r="FL98" i="3" s="1"/>
  <c r="FM98" i="3" s="1"/>
  <c r="FN98" i="3" s="1"/>
  <c r="FO98" i="3" s="1"/>
  <c r="DL24" i="3"/>
  <c r="DL23" i="3"/>
  <c r="DL56" i="3"/>
  <c r="DL107" i="3" s="1"/>
  <c r="BR56" i="3"/>
  <c r="BR32" i="3"/>
  <c r="BS32" i="3" s="1"/>
  <c r="BS35" i="3" s="1"/>
  <c r="BR24" i="3"/>
  <c r="BR23" i="3"/>
  <c r="BT24" i="3"/>
  <c r="EQ150" i="2"/>
  <c r="EQ151" i="2"/>
  <c r="EG144" i="2"/>
  <c r="EG147" i="2" s="1"/>
  <c r="BJ45" i="2"/>
  <c r="EX57" i="3"/>
  <c r="CP114" i="2"/>
  <c r="CP113" i="2"/>
  <c r="CP112" i="2"/>
  <c r="CQ111" i="2"/>
  <c r="BZ45" i="2"/>
  <c r="BZ46" i="2"/>
  <c r="BZ47" i="2"/>
  <c r="CF84" i="3"/>
  <c r="CF86" i="3" s="1"/>
  <c r="CG82" i="3"/>
  <c r="N330" i="3"/>
  <c r="N52" i="3" s="1"/>
  <c r="N54" i="3"/>
  <c r="N44" i="3"/>
  <c r="N51" i="3"/>
  <c r="AZ245" i="3"/>
  <c r="AZ171" i="3"/>
  <c r="EN27" i="2"/>
  <c r="EN28" i="2"/>
  <c r="CJ113" i="2"/>
  <c r="CF112" i="2"/>
  <c r="CF113" i="2"/>
  <c r="CF103" i="2"/>
  <c r="CF114" i="2"/>
  <c r="CG111" i="2"/>
  <c r="EN111" i="2" s="1"/>
  <c r="Q56" i="3"/>
  <c r="Q32" i="3"/>
  <c r="Q24" i="3"/>
  <c r="Q23" i="3"/>
  <c r="R24" i="3"/>
  <c r="O16" i="2"/>
  <c r="O17" i="2"/>
  <c r="O40" i="2"/>
  <c r="P41" i="2" s="1"/>
  <c r="O18" i="2"/>
  <c r="S17" i="2"/>
  <c r="AM47" i="2"/>
  <c r="AM45" i="2"/>
  <c r="AQ46" i="2"/>
  <c r="BJ134" i="2"/>
  <c r="BN134" i="2"/>
  <c r="EI132" i="2"/>
  <c r="BJ133" i="2"/>
  <c r="BK133" i="2"/>
  <c r="BW42" i="2"/>
  <c r="BW43" i="2"/>
  <c r="BW44" i="2"/>
  <c r="BW41" i="2"/>
  <c r="BX41" i="2"/>
  <c r="BE137" i="2"/>
  <c r="CN93" i="3"/>
  <c r="CO88" i="3"/>
  <c r="BH129" i="2"/>
  <c r="BH130" i="2"/>
  <c r="G330" i="3"/>
  <c r="G52" i="3" s="1"/>
  <c r="G54" i="3"/>
  <c r="K37" i="3"/>
  <c r="G51" i="3"/>
  <c r="G44" i="3"/>
  <c r="EH47" i="2"/>
  <c r="BR142" i="3"/>
  <c r="BS142" i="3" s="1"/>
  <c r="BQ146" i="3"/>
  <c r="DO88" i="3"/>
  <c r="DN93" i="3"/>
  <c r="DN100" i="3" s="1"/>
  <c r="DN104" i="3" s="1"/>
  <c r="AM37" i="3"/>
  <c r="AM35" i="3"/>
  <c r="AM41" i="3" s="1"/>
  <c r="AH15" i="5"/>
  <c r="AH16" i="5"/>
  <c r="AN28" i="5"/>
  <c r="AN29" i="5"/>
  <c r="AN24" i="5"/>
  <c r="AN69" i="5"/>
  <c r="DA27" i="5"/>
  <c r="DB56" i="3"/>
  <c r="DB24" i="3"/>
  <c r="DB23" i="3"/>
  <c r="BC63" i="3"/>
  <c r="BB74" i="3"/>
  <c r="BB86" i="3" s="1"/>
  <c r="FA82" i="3"/>
  <c r="FB82" i="3" s="1"/>
  <c r="FC82" i="3" s="1"/>
  <c r="FD82" i="3" s="1"/>
  <c r="EZ82" i="3"/>
  <c r="AI62" i="5"/>
  <c r="AI61" i="5"/>
  <c r="BR46" i="4"/>
  <c r="EN37" i="3"/>
  <c r="EN35" i="3"/>
  <c r="EN41" i="3" s="1"/>
  <c r="BO22" i="4"/>
  <c r="BN97" i="4"/>
  <c r="BN25" i="4" s="1"/>
  <c r="BN27" i="4"/>
  <c r="AD90" i="5"/>
  <c r="AD89" i="5"/>
  <c r="DO84" i="3"/>
  <c r="DP81" i="3"/>
  <c r="H330" i="3"/>
  <c r="H52" i="3" s="1"/>
  <c r="H54" i="3"/>
  <c r="H51" i="3"/>
  <c r="H44" i="3"/>
  <c r="H331" i="3" s="1"/>
  <c r="W244" i="3"/>
  <c r="DA53" i="3"/>
  <c r="BQ52" i="2" s="1"/>
  <c r="DA44" i="3"/>
  <c r="DA54" i="3"/>
  <c r="CZ60" i="5"/>
  <c r="CZ71" i="5"/>
  <c r="CA16" i="2"/>
  <c r="CA17" i="2"/>
  <c r="CA19" i="2"/>
  <c r="CA40" i="2"/>
  <c r="CA18" i="2"/>
  <c r="CB16" i="2"/>
  <c r="CE17" i="2"/>
  <c r="EM15" i="2"/>
  <c r="CT134" i="2"/>
  <c r="CT133" i="2"/>
  <c r="CX134" i="2"/>
  <c r="M37" i="3"/>
  <c r="M35" i="3"/>
  <c r="DZ37" i="3"/>
  <c r="DZ35" i="3"/>
  <c r="DZ41" i="3" s="1"/>
  <c r="DE17" i="5"/>
  <c r="DF25" i="4"/>
  <c r="BT44" i="4"/>
  <c r="BS45" i="4"/>
  <c r="AK58" i="5"/>
  <c r="BP305" i="3"/>
  <c r="EH23" i="2"/>
  <c r="EH24" i="2"/>
  <c r="EC10" i="2"/>
  <c r="ED10" i="2"/>
  <c r="BG146" i="2"/>
  <c r="BK146" i="2"/>
  <c r="AK54" i="3"/>
  <c r="AK44" i="3"/>
  <c r="AK53" i="3"/>
  <c r="N52" i="2" s="1"/>
  <c r="R54" i="2" s="1"/>
  <c r="CF53" i="2"/>
  <c r="BV54" i="4"/>
  <c r="BW53" i="4"/>
  <c r="EG37" i="3"/>
  <c r="EK32" i="3"/>
  <c r="EK35" i="3" s="1"/>
  <c r="EG35" i="3"/>
  <c r="EG41" i="3" s="1"/>
  <c r="BJ255" i="2"/>
  <c r="BJ245" i="2"/>
  <c r="EI254" i="2"/>
  <c r="EI249" i="2" s="1"/>
  <c r="BJ257" i="2"/>
  <c r="BJ256" i="2"/>
  <c r="BJ253" i="2"/>
  <c r="BN256" i="2"/>
  <c r="CH146" i="3"/>
  <c r="DE82" i="3"/>
  <c r="DD84" i="3"/>
  <c r="BX60" i="4"/>
  <c r="BY58" i="4"/>
  <c r="AD9" i="2"/>
  <c r="AL84" i="5"/>
  <c r="AL88" i="5"/>
  <c r="DE143" i="2"/>
  <c r="AY146" i="3"/>
  <c r="AF15" i="5"/>
  <c r="AF16" i="5"/>
  <c r="BP316" i="3"/>
  <c r="BQ317" i="3"/>
  <c r="EV42" i="3"/>
  <c r="DC20" i="2"/>
  <c r="BA248" i="3"/>
  <c r="BA173" i="3"/>
  <c r="CV135" i="2"/>
  <c r="CV132" i="2" s="1"/>
  <c r="CZ134" i="2" s="1"/>
  <c r="CU132" i="2"/>
  <c r="DS320" i="3"/>
  <c r="DS322" i="3" s="1"/>
  <c r="DS113" i="3"/>
  <c r="DS129" i="3" s="1"/>
  <c r="DS58" i="3"/>
  <c r="CE55" i="2" s="1"/>
  <c r="AC34" i="3"/>
  <c r="CR107" i="2"/>
  <c r="CQ110" i="2"/>
  <c r="BT54" i="3"/>
  <c r="BT44" i="3"/>
  <c r="BT53" i="3"/>
  <c r="AP52" i="2" s="1"/>
  <c r="EE325" i="3"/>
  <c r="CO49" i="2"/>
  <c r="BK319" i="3"/>
  <c r="BK53" i="3"/>
  <c r="AI52" i="2" s="1"/>
  <c r="BK44" i="3"/>
  <c r="BK54" i="3"/>
  <c r="CE317" i="3"/>
  <c r="CD316" i="3"/>
  <c r="AU244" i="3"/>
  <c r="BR35" i="4"/>
  <c r="X10" i="2"/>
  <c r="X9" i="2"/>
  <c r="V71" i="2"/>
  <c r="X70" i="2"/>
  <c r="DY8" i="2"/>
  <c r="DZ10" i="2" s="1"/>
  <c r="X71" i="2"/>
  <c r="AB10" i="2"/>
  <c r="W71" i="2"/>
  <c r="X15" i="2"/>
  <c r="AS253" i="3"/>
  <c r="AS255" i="3"/>
  <c r="AS242" i="3"/>
  <c r="AS254" i="3"/>
  <c r="AS252" i="3"/>
  <c r="Y10" i="2"/>
  <c r="Y9" i="2"/>
  <c r="Y70" i="2"/>
  <c r="Y15" i="2"/>
  <c r="Z16" i="2" s="1"/>
  <c r="Y71" i="2"/>
  <c r="CA73" i="4"/>
  <c r="DH320" i="3"/>
  <c r="DH322" i="3" s="1"/>
  <c r="DH113" i="3"/>
  <c r="DH58" i="3"/>
  <c r="BV55" i="2" s="1"/>
  <c r="EV27" i="3"/>
  <c r="ET28" i="3"/>
  <c r="EU28" i="3" s="1"/>
  <c r="AB88" i="5"/>
  <c r="AC89" i="5" s="1"/>
  <c r="AB67" i="5"/>
  <c r="AB57" i="5"/>
  <c r="AB58" i="5" s="1"/>
  <c r="BC61" i="5"/>
  <c r="BI134" i="3"/>
  <c r="CG71" i="3"/>
  <c r="CG13" i="3"/>
  <c r="CH13" i="3" s="1"/>
  <c r="BA8" i="2"/>
  <c r="EF8" i="2" s="1"/>
  <c r="Z9" i="2"/>
  <c r="CH146" i="2"/>
  <c r="CL146" i="2"/>
  <c r="EO144" i="2"/>
  <c r="CI145" i="2"/>
  <c r="EW11" i="3"/>
  <c r="EW114" i="3" s="1"/>
  <c r="DD11" i="2"/>
  <c r="DC13" i="2"/>
  <c r="DC12" i="2"/>
  <c r="AA330" i="3"/>
  <c r="AA52" i="3" s="1"/>
  <c r="AA44" i="3"/>
  <c r="AA54" i="3"/>
  <c r="F49" i="2" s="1"/>
  <c r="AA51" i="3"/>
  <c r="P146" i="3"/>
  <c r="AL171" i="3"/>
  <c r="AL245" i="3"/>
  <c r="AB56" i="3"/>
  <c r="AB32" i="3"/>
  <c r="AB24" i="3"/>
  <c r="AB23" i="3"/>
  <c r="AE22" i="3"/>
  <c r="CW46" i="2"/>
  <c r="CW45" i="2"/>
  <c r="CW47" i="2"/>
  <c r="BI149" i="2"/>
  <c r="BI150" i="2"/>
  <c r="BM150" i="2"/>
  <c r="CJ47" i="2"/>
  <c r="CJ46" i="2"/>
  <c r="CN46" i="2"/>
  <c r="EO40" i="2"/>
  <c r="AS47" i="2"/>
  <c r="AS45" i="2"/>
  <c r="EG148" i="2"/>
  <c r="EG151" i="2" s="1"/>
  <c r="BB156" i="2"/>
  <c r="EP110" i="2"/>
  <c r="EU41" i="3"/>
  <c r="CY88" i="2"/>
  <c r="CY89" i="2"/>
  <c r="CY136" i="2"/>
  <c r="CY83" i="2"/>
  <c r="ED44" i="2"/>
  <c r="ED47" i="2" s="1"/>
  <c r="ED43" i="2"/>
  <c r="AQ54" i="3"/>
  <c r="AQ53" i="3"/>
  <c r="S52" i="2" s="1"/>
  <c r="AQ44" i="3"/>
  <c r="CY149" i="2"/>
  <c r="CY150" i="2"/>
  <c r="U13" i="3"/>
  <c r="EG44" i="2"/>
  <c r="EG43" i="2"/>
  <c r="BM314" i="3"/>
  <c r="BO315" i="3"/>
  <c r="DU10" i="2"/>
  <c r="BP46" i="2"/>
  <c r="BP47" i="2"/>
  <c r="BP45" i="2"/>
  <c r="CF315" i="3"/>
  <c r="CE314" i="3"/>
  <c r="BJ149" i="2"/>
  <c r="EI148" i="2"/>
  <c r="BK149" i="2"/>
  <c r="BN150" i="2"/>
  <c r="BE129" i="2"/>
  <c r="EO27" i="2"/>
  <c r="BH137" i="2"/>
  <c r="BG129" i="2"/>
  <c r="BG130" i="2"/>
  <c r="BK130" i="2"/>
  <c r="AD40" i="2"/>
  <c r="AD18" i="2"/>
  <c r="AD17" i="2"/>
  <c r="AE16" i="2"/>
  <c r="AH17" i="2"/>
  <c r="BA167" i="3"/>
  <c r="BA241" i="3"/>
  <c r="BA251" i="3" s="1"/>
  <c r="BA338" i="3"/>
  <c r="C330" i="3"/>
  <c r="C52" i="3" s="1"/>
  <c r="C51" i="3"/>
  <c r="C44" i="3"/>
  <c r="C331" i="3" s="1"/>
  <c r="C54" i="3"/>
  <c r="AS15" i="3"/>
  <c r="AS14" i="3"/>
  <c r="AS172" i="3"/>
  <c r="AS22" i="3"/>
  <c r="AU15" i="3"/>
  <c r="AJ152" i="3"/>
  <c r="FK97" i="3"/>
  <c r="FL97" i="3" s="1"/>
  <c r="FM97" i="3" s="1"/>
  <c r="FN97" i="3" s="1"/>
  <c r="FO97" i="3" s="1"/>
  <c r="FJ97" i="3"/>
  <c r="AM244" i="3"/>
  <c r="CS44" i="3"/>
  <c r="CS53" i="3"/>
  <c r="BJ52" i="2" s="1"/>
  <c r="CS54" i="3"/>
  <c r="BT45" i="2"/>
  <c r="BT46" i="2"/>
  <c r="BT47" i="2"/>
  <c r="EK28" i="2"/>
  <c r="EK27" i="2"/>
  <c r="Z23" i="3"/>
  <c r="Z56" i="3"/>
  <c r="EP44" i="2"/>
  <c r="DW14" i="2"/>
  <c r="DW13" i="2"/>
  <c r="EL43" i="2"/>
  <c r="EL44" i="2"/>
  <c r="CK46" i="2"/>
  <c r="CK45" i="2"/>
  <c r="CK47" i="2"/>
  <c r="CM93" i="3"/>
  <c r="BH133" i="2"/>
  <c r="BH134" i="2"/>
  <c r="BL134" i="2"/>
  <c r="BS24" i="3"/>
  <c r="BS56" i="3"/>
  <c r="BS23" i="3"/>
  <c r="BG137" i="2"/>
  <c r="BG138" i="2"/>
  <c r="BK138" i="2"/>
  <c r="DT320" i="3"/>
  <c r="DT322" i="3" s="1"/>
  <c r="DT113" i="3"/>
  <c r="DT129" i="3" s="1"/>
  <c r="DT58" i="3"/>
  <c r="CF55" i="2" s="1"/>
  <c r="AE59" i="5"/>
  <c r="AE58" i="5"/>
  <c r="BW53" i="3"/>
  <c r="AS52" i="2" s="1"/>
  <c r="BW44" i="3"/>
  <c r="BW54" i="3"/>
  <c r="P43" i="2"/>
  <c r="EV17" i="3"/>
  <c r="DC35" i="2"/>
  <c r="DB37" i="2"/>
  <c r="DT96" i="3"/>
  <c r="DS106" i="3"/>
  <c r="AG15" i="5"/>
  <c r="AG16" i="5"/>
  <c r="DX14" i="2"/>
  <c r="DX13" i="2"/>
  <c r="AU256" i="3"/>
  <c r="AE146" i="3"/>
  <c r="ET118" i="3"/>
  <c r="AH62" i="5"/>
  <c r="AH61" i="5"/>
  <c r="BB168" i="3"/>
  <c r="BB185" i="3"/>
  <c r="BB172" i="3" s="1"/>
  <c r="BB180" i="3"/>
  <c r="BC181" i="3"/>
  <c r="BB187" i="3"/>
  <c r="BB174" i="3" s="1"/>
  <c r="P56" i="3"/>
  <c r="P24" i="3"/>
  <c r="P23" i="3"/>
  <c r="EE320" i="3"/>
  <c r="EE322" i="3" s="1"/>
  <c r="EE113" i="3"/>
  <c r="EE129" i="3" s="1"/>
  <c r="EE58" i="3"/>
  <c r="CO55" i="2" s="1"/>
  <c r="BC25" i="5"/>
  <c r="BC14" i="5"/>
  <c r="AW172" i="3"/>
  <c r="AW22" i="3"/>
  <c r="AW15" i="3"/>
  <c r="AW14" i="3"/>
  <c r="AY13" i="3"/>
  <c r="CB46" i="2"/>
  <c r="CB47" i="2"/>
  <c r="AX172" i="3"/>
  <c r="AX22" i="3"/>
  <c r="AZ24" i="3" s="1"/>
  <c r="AX15" i="3"/>
  <c r="AX14" i="3"/>
  <c r="DM53" i="3"/>
  <c r="DM44" i="3"/>
  <c r="DM54" i="3"/>
  <c r="CB72" i="4"/>
  <c r="BC96" i="3"/>
  <c r="BB100" i="3"/>
  <c r="BB104" i="3" s="1"/>
  <c r="BV52" i="2"/>
  <c r="CN63" i="3"/>
  <c r="CO63" i="3" s="1"/>
  <c r="CP63" i="3" s="1"/>
  <c r="CQ63" i="3" s="1"/>
  <c r="CM63" i="3"/>
  <c r="CB54" i="3"/>
  <c r="CB53" i="3"/>
  <c r="AW52" i="2" s="1"/>
  <c r="CB44" i="3"/>
  <c r="AG62" i="5"/>
  <c r="AG61" i="5"/>
  <c r="AA89" i="5"/>
  <c r="AD134" i="3"/>
  <c r="AE134" i="3" s="1"/>
  <c r="AE133" i="3"/>
  <c r="DE53" i="5"/>
  <c r="DE52" i="5"/>
  <c r="AD37" i="3"/>
  <c r="AD35" i="3"/>
  <c r="AD327" i="3" s="1"/>
  <c r="AD328" i="3" s="1"/>
  <c r="BV40" i="4"/>
  <c r="DH40" i="4"/>
  <c r="EK256" i="2"/>
  <c r="EK253" i="2"/>
  <c r="EK245" i="2"/>
  <c r="EK249" i="2"/>
  <c r="AO28" i="5"/>
  <c r="AO29" i="5"/>
  <c r="AO24" i="5"/>
  <c r="AO69" i="5"/>
  <c r="BE43" i="5"/>
  <c r="BE69" i="5"/>
  <c r="BE42" i="5"/>
  <c r="BE44" i="5"/>
  <c r="DE41" i="5"/>
  <c r="BE15" i="4"/>
  <c r="CG88" i="2"/>
  <c r="CG89" i="2"/>
  <c r="CG136" i="2"/>
  <c r="EP56" i="3"/>
  <c r="EP107" i="3" s="1"/>
  <c r="EP24" i="3"/>
  <c r="EP23" i="3"/>
  <c r="EQ24" i="3"/>
  <c r="BI114" i="2"/>
  <c r="BI223" i="2"/>
  <c r="EV114" i="3"/>
  <c r="BB26" i="2"/>
  <c r="EG25" i="2"/>
  <c r="BB27" i="2"/>
  <c r="BB28" i="2"/>
  <c r="BF27" i="2"/>
  <c r="BC26" i="2"/>
  <c r="AB171" i="3"/>
  <c r="AB245" i="3"/>
  <c r="BI134" i="2"/>
  <c r="BM134" i="2"/>
  <c r="BI133" i="2"/>
  <c r="EP82" i="2"/>
  <c r="EP102" i="2"/>
  <c r="EP98" i="2"/>
  <c r="EP78" i="2"/>
  <c r="EP86" i="2"/>
  <c r="EP90" i="2"/>
  <c r="EP94" i="2"/>
  <c r="EI24" i="2"/>
  <c r="EI23" i="2"/>
  <c r="EJ23" i="2"/>
  <c r="W331" i="3"/>
  <c r="W321" i="3" s="1"/>
  <c r="W320" i="3"/>
  <c r="W113" i="3"/>
  <c r="W129" i="3" s="1"/>
  <c r="DK104" i="3"/>
  <c r="DL100" i="3"/>
  <c r="DB93" i="2"/>
  <c r="DC91" i="2"/>
  <c r="DB140" i="2"/>
  <c r="EG132" i="2"/>
  <c r="EG135" i="2" s="1"/>
  <c r="CL45" i="2"/>
  <c r="CL46" i="2"/>
  <c r="CL47" i="2"/>
  <c r="CZ133" i="2"/>
  <c r="EQ53" i="3"/>
  <c r="EQ44" i="3"/>
  <c r="EQ54" i="3"/>
  <c r="BX18" i="4"/>
  <c r="BY15" i="4"/>
  <c r="BX17" i="4"/>
  <c r="CZ87" i="2"/>
  <c r="BG153" i="2"/>
  <c r="BG154" i="2"/>
  <c r="BG156" i="2"/>
  <c r="AQ316" i="3"/>
  <c r="AQ314" i="3"/>
  <c r="AQ312" i="3"/>
  <c r="G17" i="2"/>
  <c r="G16" i="2"/>
  <c r="G40" i="2"/>
  <c r="G18" i="2"/>
  <c r="H16" i="2"/>
  <c r="DU15" i="2"/>
  <c r="K17" i="2"/>
  <c r="BC223" i="2"/>
  <c r="BC114" i="2"/>
  <c r="BJ145" i="2"/>
  <c r="BN146" i="2"/>
  <c r="EI144" i="2"/>
  <c r="BK145" i="2"/>
  <c r="DY54" i="3"/>
  <c r="DY53" i="3"/>
  <c r="CJ52" i="2" s="1"/>
  <c r="DY44" i="3"/>
  <c r="BE145" i="2"/>
  <c r="EY26" i="3"/>
  <c r="EZ26" i="3"/>
  <c r="CO46" i="2"/>
  <c r="BK47" i="2"/>
  <c r="BK46" i="2"/>
  <c r="BK45" i="2"/>
  <c r="BG46" i="2"/>
  <c r="BG47" i="2"/>
  <c r="AN45" i="2"/>
  <c r="BH220" i="2"/>
  <c r="BH227" i="2"/>
  <c r="BH222" i="2"/>
  <c r="BH221" i="2"/>
  <c r="BH111" i="2"/>
  <c r="BI112" i="2" s="1"/>
  <c r="EQ42" i="2"/>
  <c r="BC22" i="3"/>
  <c r="BE24" i="3" s="1"/>
  <c r="BC14" i="3"/>
  <c r="BC15" i="3"/>
  <c r="AR23" i="5"/>
  <c r="AS21" i="5"/>
  <c r="AR22" i="5"/>
  <c r="BQ53" i="3"/>
  <c r="AN52" i="2" s="1"/>
  <c r="BQ44" i="3"/>
  <c r="BQ54" i="3"/>
  <c r="BZ37" i="5"/>
  <c r="CA35" i="5"/>
  <c r="AM83" i="5"/>
  <c r="AM79" i="5"/>
  <c r="AM78" i="5"/>
  <c r="AN77" i="5"/>
  <c r="AE104" i="3"/>
  <c r="BM37" i="3"/>
  <c r="BM35" i="3"/>
  <c r="AN64" i="5"/>
  <c r="AN65" i="5"/>
  <c r="AH88" i="5"/>
  <c r="AH67" i="5"/>
  <c r="AH68" i="5"/>
  <c r="AH57" i="5"/>
  <c r="CZ66" i="5"/>
  <c r="BD149" i="2"/>
  <c r="BD156" i="2"/>
  <c r="AO65" i="5"/>
  <c r="AO64" i="5"/>
  <c r="DH325" i="3"/>
  <c r="BV49" i="2"/>
  <c r="BY62" i="4"/>
  <c r="BX63" i="4"/>
  <c r="BR47" i="2"/>
  <c r="BR46" i="2"/>
  <c r="BR45" i="2"/>
  <c r="EP114" i="2"/>
  <c r="BI146" i="2"/>
  <c r="BI145" i="2"/>
  <c r="BM146" i="2"/>
  <c r="CY26" i="5"/>
  <c r="CY14" i="5"/>
  <c r="CY16" i="5" s="1"/>
  <c r="DF35" i="3"/>
  <c r="DF41" i="3" s="1"/>
  <c r="DF37" i="3"/>
  <c r="BY37" i="3"/>
  <c r="BY35" i="3"/>
  <c r="EJ44" i="2"/>
  <c r="EJ43" i="2"/>
  <c r="EJ42" i="2"/>
  <c r="BU56" i="4"/>
  <c r="BU55" i="4"/>
  <c r="CV37" i="3"/>
  <c r="CW37" i="3" s="1"/>
  <c r="CW53" i="3" s="1"/>
  <c r="CV35" i="3"/>
  <c r="CO54" i="3"/>
  <c r="CO53" i="3"/>
  <c r="BG52" i="2" s="1"/>
  <c r="CO44" i="3"/>
  <c r="ED35" i="3"/>
  <c r="ED41" i="3" s="1"/>
  <c r="EF41" i="3" s="1"/>
  <c r="ED37" i="3"/>
  <c r="EF37" i="3" s="1"/>
  <c r="EA14" i="2"/>
  <c r="EA13" i="2"/>
  <c r="EB13" i="2"/>
  <c r="BU35" i="3"/>
  <c r="BU42" i="3" s="1"/>
  <c r="BU37" i="3"/>
  <c r="EI248" i="2"/>
  <c r="BF95" i="3"/>
  <c r="AJ67" i="5"/>
  <c r="BC45" i="2"/>
  <c r="BC47" i="2"/>
  <c r="BC46" i="2"/>
  <c r="AI16" i="5"/>
  <c r="AI15" i="5"/>
  <c r="CR146" i="3"/>
  <c r="AJ61" i="5"/>
  <c r="AN253" i="3"/>
  <c r="AN242" i="3"/>
  <c r="AN255" i="3"/>
  <c r="AN254" i="3"/>
  <c r="AN252" i="3"/>
  <c r="AP242" i="3"/>
  <c r="CR56" i="3"/>
  <c r="CR24" i="3"/>
  <c r="CR23" i="3"/>
  <c r="AF88" i="5"/>
  <c r="AF67" i="5"/>
  <c r="AF57" i="5"/>
  <c r="AF68" i="5"/>
  <c r="BN45" i="2"/>
  <c r="BN47" i="2"/>
  <c r="AR46" i="2"/>
  <c r="AR47" i="2"/>
  <c r="AR45" i="2"/>
  <c r="DD37" i="3"/>
  <c r="DD35" i="3"/>
  <c r="BE227" i="2"/>
  <c r="EG227" i="2" s="1"/>
  <c r="BE222" i="2"/>
  <c r="BE220" i="2"/>
  <c r="BF220" i="2"/>
  <c r="BE111" i="2"/>
  <c r="EK56" i="3"/>
  <c r="EK107" i="3" s="1"/>
  <c r="EK23" i="3"/>
  <c r="EK24" i="3"/>
  <c r="EL24" i="3"/>
  <c r="CU53" i="3"/>
  <c r="BL52" i="2" s="1"/>
  <c r="CU44" i="3"/>
  <c r="CU54" i="3"/>
  <c r="BJ249" i="2"/>
  <c r="EQ27" i="2"/>
  <c r="EQ28" i="2"/>
  <c r="AJ68" i="5"/>
  <c r="EV95" i="3"/>
  <c r="EW95" i="3" s="1"/>
  <c r="EX95" i="3" s="1"/>
  <c r="EY95" i="3" s="1"/>
  <c r="EU95" i="3"/>
  <c r="ES118" i="3"/>
  <c r="AF70" i="2"/>
  <c r="DR54" i="3"/>
  <c r="DR53" i="3"/>
  <c r="DR44" i="3"/>
  <c r="DV37" i="3"/>
  <c r="DJ37" i="5"/>
  <c r="AM67" i="5"/>
  <c r="AM68" i="5"/>
  <c r="AM57" i="5"/>
  <c r="FA91" i="3"/>
  <c r="EZ91" i="3"/>
  <c r="AF327" i="3"/>
  <c r="AF328" i="3" s="1"/>
  <c r="AF330" i="3" s="1"/>
  <c r="AF52" i="3" s="1"/>
  <c r="AF41" i="3"/>
  <c r="EF56" i="3"/>
  <c r="EF107" i="3" s="1"/>
  <c r="EF24" i="3"/>
  <c r="EF23" i="3"/>
  <c r="BF133" i="2"/>
  <c r="AJ13" i="6"/>
  <c r="AK11" i="6"/>
  <c r="CA11" i="6" s="1"/>
  <c r="BM94" i="4"/>
  <c r="DF94" i="4" s="1"/>
  <c r="BM28" i="4"/>
  <c r="BD47" i="2"/>
  <c r="BD45" i="2"/>
  <c r="AD58" i="5"/>
  <c r="CZ26" i="5"/>
  <c r="CZ14" i="5"/>
  <c r="DE63" i="5"/>
  <c r="CI303" i="3"/>
  <c r="CE47" i="2"/>
  <c r="AY100" i="3"/>
  <c r="AX104" i="3"/>
  <c r="AU37" i="3"/>
  <c r="AU35" i="3"/>
  <c r="CD37" i="3"/>
  <c r="CD35" i="3"/>
  <c r="CP37" i="3"/>
  <c r="CP35" i="3"/>
  <c r="BJ319" i="3"/>
  <c r="BJ53" i="3"/>
  <c r="AH52" i="2" s="1"/>
  <c r="BJ44" i="3"/>
  <c r="BJ54" i="3"/>
  <c r="DS325" i="3"/>
  <c r="CE49" i="2"/>
  <c r="L35" i="3"/>
  <c r="P32" i="3"/>
  <c r="P35" i="3" s="1"/>
  <c r="L37" i="3"/>
  <c r="CE37" i="3"/>
  <c r="CE35" i="3"/>
  <c r="AC15" i="5"/>
  <c r="BX32" i="3"/>
  <c r="BX35" i="3" s="1"/>
  <c r="AJ17" i="6"/>
  <c r="AK5" i="6"/>
  <c r="AJ7" i="6"/>
  <c r="AK256" i="3"/>
  <c r="ER310" i="3"/>
  <c r="ES48" i="3"/>
  <c r="ER46" i="3"/>
  <c r="ER49" i="3"/>
  <c r="BD129" i="2"/>
  <c r="AL62" i="5"/>
  <c r="CB80" i="4"/>
  <c r="CA81" i="4"/>
  <c r="BD60" i="5"/>
  <c r="BD66" i="5"/>
  <c r="BD70" i="5"/>
  <c r="BB57" i="5"/>
  <c r="BB67" i="5"/>
  <c r="BE28" i="5"/>
  <c r="BE24" i="5"/>
  <c r="BE29" i="5"/>
  <c r="EF11" i="2"/>
  <c r="BH47" i="2"/>
  <c r="AG88" i="5"/>
  <c r="AK90" i="5" s="1"/>
  <c r="AG67" i="5"/>
  <c r="AG57" i="5"/>
  <c r="AK59" i="5" s="1"/>
  <c r="AG68" i="5"/>
  <c r="BX46" i="2"/>
  <c r="AG70" i="2"/>
  <c r="AG71" i="2"/>
  <c r="AI70" i="2"/>
  <c r="AK10" i="2"/>
  <c r="AG10" i="2"/>
  <c r="AG9" i="2"/>
  <c r="AJ70" i="2"/>
  <c r="AF71" i="2"/>
  <c r="AH9" i="2"/>
  <c r="AE71" i="2"/>
  <c r="AG15" i="2"/>
  <c r="AH70" i="2"/>
  <c r="DB104" i="3"/>
  <c r="BN38" i="4"/>
  <c r="BN37" i="4"/>
  <c r="BF72" i="5"/>
  <c r="DQ15" i="3"/>
  <c r="DQ14" i="3"/>
  <c r="DV15" i="3"/>
  <c r="AB70" i="2"/>
  <c r="EN93" i="2"/>
  <c r="CF45" i="2"/>
  <c r="CF47" i="2"/>
  <c r="CF46" i="2"/>
  <c r="ER43" i="2"/>
  <c r="ER44" i="2"/>
  <c r="O330" i="3"/>
  <c r="O52" i="3" s="1"/>
  <c r="O44" i="3"/>
  <c r="O51" i="3"/>
  <c r="O54" i="3"/>
  <c r="BW133" i="2"/>
  <c r="BW134" i="2"/>
  <c r="CM144" i="3"/>
  <c r="BE47" i="2"/>
  <c r="BE45" i="2"/>
  <c r="CM45" i="2"/>
  <c r="CM47" i="2"/>
  <c r="CN45" i="2"/>
  <c r="EG24" i="2"/>
  <c r="EG23" i="2"/>
  <c r="AY47" i="2"/>
  <c r="AY45" i="2"/>
  <c r="DK156" i="3"/>
  <c r="BY58" i="2" s="1"/>
  <c r="DK130" i="3"/>
  <c r="DK150" i="3"/>
  <c r="AO14" i="3"/>
  <c r="BK227" i="2"/>
  <c r="BK222" i="2"/>
  <c r="BK220" i="2"/>
  <c r="BK221" i="2"/>
  <c r="BK111" i="2"/>
  <c r="BI129" i="2"/>
  <c r="BI130" i="2"/>
  <c r="Q10" i="2"/>
  <c r="Q9" i="2"/>
  <c r="Q70" i="2"/>
  <c r="S70" i="2"/>
  <c r="Q15" i="2"/>
  <c r="DW15" i="2" s="1"/>
  <c r="Q71" i="2"/>
  <c r="R9" i="2"/>
  <c r="R70" i="2"/>
  <c r="P71" i="2"/>
  <c r="CO106" i="2"/>
  <c r="CP103" i="2"/>
  <c r="CO105" i="2"/>
  <c r="EP103" i="2"/>
  <c r="DX35" i="3"/>
  <c r="DX41" i="3" s="1"/>
  <c r="DX37" i="3"/>
  <c r="CH47" i="2"/>
  <c r="CH45" i="2"/>
  <c r="BO45" i="2"/>
  <c r="BO47" i="2"/>
  <c r="BO46" i="2"/>
  <c r="EG128" i="2"/>
  <c r="EG131" i="2" s="1"/>
  <c r="EI54" i="3"/>
  <c r="EI53" i="3"/>
  <c r="CR52" i="2" s="1"/>
  <c r="EI44" i="3"/>
  <c r="EJ35" i="3"/>
  <c r="EJ41" i="3" s="1"/>
  <c r="EJ37" i="3"/>
  <c r="I51" i="3"/>
  <c r="I44" i="3"/>
  <c r="I331" i="3" s="1"/>
  <c r="I330" i="3"/>
  <c r="I52" i="3" s="1"/>
  <c r="I54" i="3"/>
  <c r="CZ44" i="3"/>
  <c r="AZ56" i="3"/>
  <c r="AZ32" i="3"/>
  <c r="AZ23" i="3"/>
  <c r="CR45" i="2"/>
  <c r="CR46" i="2"/>
  <c r="CR47" i="2"/>
  <c r="CS45" i="2"/>
  <c r="BH152" i="2"/>
  <c r="BI155" i="2"/>
  <c r="CE104" i="2"/>
  <c r="CE105" i="2"/>
  <c r="CE106" i="2"/>
  <c r="DU53" i="3"/>
  <c r="CG52" i="2" s="1"/>
  <c r="DU54" i="3"/>
  <c r="DU44" i="3"/>
  <c r="BD255" i="2"/>
  <c r="BD256" i="2"/>
  <c r="BD245" i="2"/>
  <c r="BD257" i="2"/>
  <c r="BD253" i="2"/>
  <c r="BV47" i="2"/>
  <c r="BV46" i="2"/>
  <c r="BV45" i="2"/>
  <c r="BB46" i="2"/>
  <c r="BB47" i="2"/>
  <c r="CI54" i="3"/>
  <c r="CI53" i="3"/>
  <c r="BB52" i="2" s="1"/>
  <c r="CI44" i="3"/>
  <c r="BJ130" i="2"/>
  <c r="BJ129" i="2"/>
  <c r="BK129" i="2"/>
  <c r="EB54" i="3"/>
  <c r="EB44" i="3"/>
  <c r="EB53" i="3"/>
  <c r="AC244" i="3"/>
  <c r="BE149" i="2"/>
  <c r="BE156" i="2"/>
  <c r="CH144" i="3"/>
  <c r="CV118" i="3"/>
  <c r="CW118" i="3" s="1"/>
  <c r="CU129" i="3"/>
  <c r="BH149" i="2"/>
  <c r="BH150" i="2"/>
  <c r="BL150" i="2"/>
  <c r="DZ14" i="2"/>
  <c r="DZ13" i="2"/>
  <c r="EH248" i="2"/>
  <c r="BE23" i="3"/>
  <c r="BE56" i="3"/>
  <c r="BE32" i="3"/>
  <c r="AX47" i="2"/>
  <c r="AX46" i="2"/>
  <c r="AX45" i="2"/>
  <c r="CQ37" i="3"/>
  <c r="CQ35" i="3"/>
  <c r="AR172" i="3"/>
  <c r="AR22" i="3"/>
  <c r="AR15" i="3"/>
  <c r="AR14" i="3"/>
  <c r="AT13" i="3"/>
  <c r="EA56" i="3"/>
  <c r="EA107" i="3" s="1"/>
  <c r="EA23" i="3"/>
  <c r="EA24" i="3"/>
  <c r="EB24" i="3"/>
  <c r="DV41" i="3"/>
  <c r="CF14" i="3"/>
  <c r="CF15" i="3"/>
  <c r="CF22" i="3"/>
  <c r="X330" i="3"/>
  <c r="X52" i="3" s="1"/>
  <c r="X51" i="3"/>
  <c r="X54" i="3"/>
  <c r="D49" i="2" s="1"/>
  <c r="D50" i="2" s="1"/>
  <c r="X44" i="3"/>
  <c r="BG54" i="5"/>
  <c r="BH11" i="5"/>
  <c r="BG30" i="5"/>
  <c r="BG72" i="5" s="1"/>
  <c r="BG8" i="5"/>
  <c r="CG142" i="2"/>
  <c r="CG141" i="2"/>
  <c r="CT46" i="2"/>
  <c r="CT47" i="2"/>
  <c r="CT45" i="2"/>
  <c r="AP49" i="5"/>
  <c r="AP10" i="5"/>
  <c r="AP9" i="5"/>
  <c r="AP27" i="5"/>
  <c r="BO313" i="3"/>
  <c r="BM312" i="3"/>
  <c r="BM318" i="3" s="1"/>
  <c r="BG27" i="2"/>
  <c r="BG26" i="2"/>
  <c r="BG28" i="2"/>
  <c r="BK27" i="2"/>
  <c r="EH25" i="2"/>
  <c r="BH26" i="2"/>
  <c r="AN82" i="5"/>
  <c r="AN81" i="5"/>
  <c r="AO80" i="5"/>
  <c r="BL100" i="4"/>
  <c r="BL101" i="4" s="1"/>
  <c r="BL95" i="4"/>
  <c r="EA32" i="3"/>
  <c r="EA35" i="3" s="1"/>
  <c r="DW37" i="3"/>
  <c r="DW35" i="3"/>
  <c r="DW41" i="3" s="1"/>
  <c r="EA10" i="2"/>
  <c r="EB10" i="2"/>
  <c r="CE313" i="3"/>
  <c r="CD312" i="3"/>
  <c r="CN35" i="3"/>
  <c r="CN37" i="3"/>
  <c r="CR32" i="3"/>
  <c r="CR35" i="3" s="1"/>
  <c r="AM15" i="5"/>
  <c r="AM16" i="5"/>
  <c r="AO19" i="2"/>
  <c r="AO18" i="2"/>
  <c r="AO40" i="2"/>
  <c r="AO17" i="2"/>
  <c r="AO16" i="2"/>
  <c r="EC15" i="2"/>
  <c r="AP16" i="2"/>
  <c r="AS17" i="2"/>
  <c r="BG150" i="2"/>
  <c r="BK150" i="2"/>
  <c r="BA37" i="3"/>
  <c r="BA35" i="3"/>
  <c r="BX49" i="4"/>
  <c r="R61" i="2"/>
  <c r="AP320" i="3"/>
  <c r="AP322" i="3" s="1"/>
  <c r="AP58" i="3"/>
  <c r="R55" i="2" s="1"/>
  <c r="BB15" i="5"/>
  <c r="EH132" i="2"/>
  <c r="AC61" i="5"/>
  <c r="BL219" i="2"/>
  <c r="CG67" i="4"/>
  <c r="BI14" i="3"/>
  <c r="CK37" i="3"/>
  <c r="CK35" i="3"/>
  <c r="AK89" i="5"/>
  <c r="DJ35" i="3"/>
  <c r="DJ41" i="3" s="1"/>
  <c r="DJ37" i="3"/>
  <c r="BS46" i="2"/>
  <c r="BS45" i="2"/>
  <c r="BS47" i="2"/>
  <c r="BQ26" i="4"/>
  <c r="AN251" i="3"/>
  <c r="BN15" i="3"/>
  <c r="DO37" i="3"/>
  <c r="DO35" i="3"/>
  <c r="DO41" i="3" s="1"/>
  <c r="AF61" i="5"/>
  <c r="AF62" i="5"/>
  <c r="CX45" i="2"/>
  <c r="CX47" i="2"/>
  <c r="CX46" i="2"/>
  <c r="EB43" i="2"/>
  <c r="BG133" i="2"/>
  <c r="BG134" i="2"/>
  <c r="BK134" i="2"/>
  <c r="AC10" i="2"/>
  <c r="AC9" i="2"/>
  <c r="AB71" i="2"/>
  <c r="AA71" i="2"/>
  <c r="AC70" i="2"/>
  <c r="AC15" i="2"/>
  <c r="AC71" i="2"/>
  <c r="BE255" i="2"/>
  <c r="BE257" i="2"/>
  <c r="BE256" i="2"/>
  <c r="BE245" i="2"/>
  <c r="BE253" i="2"/>
  <c r="BF255" i="2"/>
  <c r="BI256" i="2"/>
  <c r="BJ221" i="2"/>
  <c r="BJ227" i="2"/>
  <c r="BJ222" i="2"/>
  <c r="BJ220" i="2"/>
  <c r="BJ111" i="2"/>
  <c r="T10" i="2"/>
  <c r="T9" i="2"/>
  <c r="T71" i="2"/>
  <c r="T15" i="2"/>
  <c r="R71" i="2"/>
  <c r="DX8" i="2"/>
  <c r="S71" i="2"/>
  <c r="T70" i="2"/>
  <c r="AP325" i="3"/>
  <c r="R49" i="2"/>
  <c r="AE90" i="5"/>
  <c r="AE89" i="5"/>
  <c r="AQ54" i="5"/>
  <c r="AQ8" i="5"/>
  <c r="AQ12" i="5"/>
  <c r="AR11" i="5"/>
  <c r="DG81" i="3"/>
  <c r="DH81" i="3"/>
  <c r="CZ20" i="5"/>
  <c r="CZ19" i="5"/>
  <c r="AD70" i="2"/>
  <c r="CF76" i="4"/>
  <c r="AF54" i="3"/>
  <c r="AF51" i="3"/>
  <c r="AF44" i="3"/>
  <c r="BM98" i="4"/>
  <c r="BM34" i="4"/>
  <c r="CY66" i="5"/>
  <c r="EH37" i="3"/>
  <c r="EH35" i="3"/>
  <c r="EH41" i="3" s="1"/>
  <c r="EU17" i="3"/>
  <c r="S35" i="3"/>
  <c r="S327" i="3" s="1"/>
  <c r="S328" i="3" s="1"/>
  <c r="S37" i="3"/>
  <c r="BY46" i="2"/>
  <c r="BY45" i="2"/>
  <c r="BY47" i="2"/>
  <c r="BF37" i="3"/>
  <c r="BF35" i="3"/>
  <c r="BL37" i="3"/>
  <c r="BL35" i="3"/>
  <c r="FI57" i="3"/>
  <c r="BE64" i="5"/>
  <c r="BE65" i="5"/>
  <c r="BA171" i="3"/>
  <c r="BA245" i="3"/>
  <c r="AZ10" i="2"/>
  <c r="AZ9" i="2"/>
  <c r="AZ70" i="2"/>
  <c r="AW71" i="2"/>
  <c r="BD10" i="2"/>
  <c r="AZ15" i="2"/>
  <c r="U70" i="2"/>
  <c r="W70" i="2"/>
  <c r="U10" i="2"/>
  <c r="U9" i="2"/>
  <c r="U71" i="2"/>
  <c r="V70" i="2"/>
  <c r="U15" i="2"/>
  <c r="V9" i="2"/>
  <c r="CL37" i="3"/>
  <c r="CL35" i="3"/>
  <c r="AK16" i="5"/>
  <c r="AZ77" i="3"/>
  <c r="AY77" i="3"/>
  <c r="AX76" i="3"/>
  <c r="AY76" i="3" s="1"/>
  <c r="Y146" i="3"/>
  <c r="Z140" i="3"/>
  <c r="ET141" i="3"/>
  <c r="EU141" i="3" s="1"/>
  <c r="BD133" i="2"/>
  <c r="BB61" i="5"/>
  <c r="BE50" i="5"/>
  <c r="BE53" i="5"/>
  <c r="BE52" i="5"/>
  <c r="BE51" i="5"/>
  <c r="DG56" i="3"/>
  <c r="DG107" i="3" s="1"/>
  <c r="DG23" i="3"/>
  <c r="DG24" i="3"/>
  <c r="BV35" i="3"/>
  <c r="BV42" i="3" s="1"/>
  <c r="BV37" i="3"/>
  <c r="BS97" i="3"/>
  <c r="BT97" i="3"/>
  <c r="BU97" i="3" s="1"/>
  <c r="BV97" i="3" s="1"/>
  <c r="BW97" i="3" s="1"/>
  <c r="AV244" i="3"/>
  <c r="BG44" i="3"/>
  <c r="BG54" i="3"/>
  <c r="BG53" i="3"/>
  <c r="AF52" i="2" s="1"/>
  <c r="AX255" i="3"/>
  <c r="AX242" i="3"/>
  <c r="AX253" i="3"/>
  <c r="AX254" i="3"/>
  <c r="AX252" i="3"/>
  <c r="BH15" i="3"/>
  <c r="BH14" i="3"/>
  <c r="BH22" i="3"/>
  <c r="BJ15" i="3"/>
  <c r="DE37" i="3"/>
  <c r="DE35" i="3"/>
  <c r="DE41" i="3" s="1"/>
  <c r="AL16" i="5"/>
  <c r="BF40" i="5"/>
  <c r="BG38" i="5"/>
  <c r="BF20" i="5"/>
  <c r="BF41" i="5"/>
  <c r="BF44" i="5" s="1"/>
  <c r="BF49" i="5"/>
  <c r="BF27" i="5"/>
  <c r="BF10" i="5"/>
  <c r="BF9" i="5"/>
  <c r="Z18" i="2"/>
  <c r="Z17" i="2"/>
  <c r="Z40" i="2"/>
  <c r="AA16" i="2"/>
  <c r="CG119" i="2"/>
  <c r="DE29" i="2"/>
  <c r="DD34" i="2"/>
  <c r="DD39" i="2" s="1"/>
  <c r="BI228" i="2"/>
  <c r="BI229" i="2" s="1"/>
  <c r="BI47" i="2"/>
  <c r="BI46" i="2"/>
  <c r="BY135" i="2"/>
  <c r="BX132" i="2"/>
  <c r="CF138" i="2"/>
  <c r="CF137" i="2"/>
  <c r="EL256" i="2"/>
  <c r="EL253" i="2"/>
  <c r="EL245" i="2"/>
  <c r="FK83" i="3"/>
  <c r="FL83" i="3" s="1"/>
  <c r="FM83" i="3" s="1"/>
  <c r="FN83" i="3" s="1"/>
  <c r="FO83" i="3" s="1"/>
  <c r="FJ83" i="3"/>
  <c r="BK255" i="2"/>
  <c r="BK245" i="2"/>
  <c r="BK256" i="2"/>
  <c r="BK258" i="2"/>
  <c r="BK253" i="2"/>
  <c r="BK257" i="2"/>
  <c r="BL255" i="2"/>
  <c r="AE15" i="3"/>
  <c r="AE14" i="3"/>
  <c r="BI138" i="2"/>
  <c r="BM138" i="2"/>
  <c r="BI137" i="2"/>
  <c r="CJ41" i="2"/>
  <c r="AN172" i="3"/>
  <c r="AN14" i="3"/>
  <c r="AN15" i="3"/>
  <c r="AN22" i="3"/>
  <c r="AO22" i="3" s="1"/>
  <c r="AP15" i="3"/>
  <c r="BM46" i="2"/>
  <c r="BM45" i="2"/>
  <c r="BM47" i="2"/>
  <c r="BM27" i="2"/>
  <c r="BM26" i="2"/>
  <c r="BM28" i="2"/>
  <c r="BQ27" i="2"/>
  <c r="EI25" i="2"/>
  <c r="BN26" i="2"/>
  <c r="BI133" i="3"/>
  <c r="DI37" i="3"/>
  <c r="DI35" i="3"/>
  <c r="DI41" i="3" s="1"/>
  <c r="DL32" i="3"/>
  <c r="DL35" i="3" s="1"/>
  <c r="BP53" i="3"/>
  <c r="AM52" i="2" s="1"/>
  <c r="BP44" i="3"/>
  <c r="BP54" i="3"/>
  <c r="DA141" i="2"/>
  <c r="DA142" i="2"/>
  <c r="EG136" i="2"/>
  <c r="EG139" i="2" s="1"/>
  <c r="V37" i="3"/>
  <c r="Z32" i="3"/>
  <c r="Z35" i="3" s="1"/>
  <c r="V35" i="3"/>
  <c r="V327" i="3" s="1"/>
  <c r="V328" i="3" s="1"/>
  <c r="EI44" i="2"/>
  <c r="EI43" i="2"/>
  <c r="EI42" i="2"/>
  <c r="AX247" i="3"/>
  <c r="CY44" i="3"/>
  <c r="CY53" i="3"/>
  <c r="BO52" i="2" s="1"/>
  <c r="CY54" i="3"/>
  <c r="DB79" i="2"/>
  <c r="DA132" i="2"/>
  <c r="DA81" i="2"/>
  <c r="BU45" i="2"/>
  <c r="BU47" i="2"/>
  <c r="BU46" i="2"/>
  <c r="EG219" i="2"/>
  <c r="CP91" i="3"/>
  <c r="AP46" i="2"/>
  <c r="AP47" i="2"/>
  <c r="AQ45" i="2"/>
  <c r="BD13" i="3"/>
  <c r="DW8" i="2"/>
  <c r="BD249" i="2"/>
  <c r="ER150" i="2"/>
  <c r="ER151" i="2"/>
  <c r="BC228" i="2"/>
  <c r="BC229" i="2" s="1"/>
  <c r="EI136" i="2"/>
  <c r="BJ138" i="2"/>
  <c r="BJ137" i="2"/>
  <c r="BN138" i="2"/>
  <c r="BK137" i="2"/>
  <c r="BQ47" i="2"/>
  <c r="BQ46" i="2"/>
  <c r="BQ45" i="2"/>
  <c r="BH145" i="2"/>
  <c r="BH146" i="2"/>
  <c r="BL146" i="2"/>
  <c r="BH257" i="2"/>
  <c r="BH256" i="2"/>
  <c r="BH245" i="2"/>
  <c r="BH255" i="2"/>
  <c r="BH253" i="2"/>
  <c r="BL256" i="2"/>
  <c r="EH254" i="2"/>
  <c r="EH249" i="2" s="1"/>
  <c r="BI255" i="2"/>
  <c r="BO35" i="3"/>
  <c r="BO41" i="3" s="1"/>
  <c r="BO37" i="3"/>
  <c r="CG45" i="2"/>
  <c r="CG47" i="2"/>
  <c r="EH42" i="2"/>
  <c r="BH46" i="2" l="1"/>
  <c r="EL42" i="2"/>
  <c r="BH45" i="2"/>
  <c r="BI45" i="2"/>
  <c r="EQ44" i="2"/>
  <c r="EQ47" i="2" s="1"/>
  <c r="ER42" i="2"/>
  <c r="EK42" i="2"/>
  <c r="BJ46" i="2"/>
  <c r="CC47" i="2"/>
  <c r="CG46" i="2"/>
  <c r="BJ47" i="2"/>
  <c r="BX23" i="3"/>
  <c r="BX56" i="3"/>
  <c r="BN46" i="2"/>
  <c r="CF49" i="2"/>
  <c r="CF50" i="2" s="1"/>
  <c r="CH46" i="2"/>
  <c r="CZ54" i="3"/>
  <c r="AD59" i="5"/>
  <c r="BL138" i="2"/>
  <c r="BH138" i="2"/>
  <c r="BG145" i="2"/>
  <c r="AM62" i="5"/>
  <c r="CD46" i="2"/>
  <c r="CE45" i="2"/>
  <c r="CD45" i="2"/>
  <c r="CC45" i="2"/>
  <c r="DW10" i="2"/>
  <c r="BX42" i="3"/>
  <c r="EF27" i="2"/>
  <c r="CX88" i="5"/>
  <c r="CZ62" i="5"/>
  <c r="AC58" i="5"/>
  <c r="AJ15" i="3"/>
  <c r="BF156" i="2"/>
  <c r="BF159" i="2" s="1"/>
  <c r="AO15" i="3"/>
  <c r="AX256" i="3"/>
  <c r="BG45" i="2"/>
  <c r="AZ256" i="3"/>
  <c r="EH144" i="2"/>
  <c r="EH147" i="2" s="1"/>
  <c r="CJ35" i="3"/>
  <c r="BJ146" i="2"/>
  <c r="DV15" i="2"/>
  <c r="DV18" i="2" s="1"/>
  <c r="BN37" i="3"/>
  <c r="AF53" i="3"/>
  <c r="J52" i="2" s="1"/>
  <c r="N54" i="2" s="1"/>
  <c r="DC30" i="2"/>
  <c r="EW19" i="3" s="1"/>
  <c r="BF45" i="2"/>
  <c r="BF145" i="2"/>
  <c r="BG149" i="2"/>
  <c r="DO86" i="3"/>
  <c r="BF149" i="2"/>
  <c r="BX37" i="3"/>
  <c r="BX54" i="3" s="1"/>
  <c r="BJ150" i="2"/>
  <c r="AS256" i="3"/>
  <c r="EH148" i="2"/>
  <c r="EH151" i="2" s="1"/>
  <c r="BF150" i="2"/>
  <c r="BF46" i="2"/>
  <c r="AB40" i="2"/>
  <c r="AB16" i="2"/>
  <c r="AB18" i="2"/>
  <c r="AF17" i="2"/>
  <c r="AG35" i="3"/>
  <c r="AG37" i="3"/>
  <c r="EE19" i="2"/>
  <c r="EE17" i="2"/>
  <c r="EE18" i="2"/>
  <c r="M18" i="2"/>
  <c r="M16" i="2"/>
  <c r="M40" i="2"/>
  <c r="N16" i="2"/>
  <c r="M17" i="2"/>
  <c r="CJ53" i="3"/>
  <c r="BC52" i="2" s="1"/>
  <c r="BC53" i="2" s="1"/>
  <c r="CJ44" i="3"/>
  <c r="CJ54" i="3"/>
  <c r="AF244" i="3"/>
  <c r="BZ37" i="3"/>
  <c r="BZ35" i="3"/>
  <c r="L40" i="2"/>
  <c r="L16" i="2"/>
  <c r="L18" i="2"/>
  <c r="L17" i="2"/>
  <c r="P17" i="2"/>
  <c r="AV16" i="2"/>
  <c r="AV19" i="2"/>
  <c r="AV40" i="2"/>
  <c r="AW16" i="2"/>
  <c r="AV18" i="2"/>
  <c r="AV17" i="2"/>
  <c r="EL54" i="3"/>
  <c r="EL53" i="3"/>
  <c r="CT52" i="2" s="1"/>
  <c r="EL44" i="3"/>
  <c r="AH245" i="3"/>
  <c r="AH171" i="3"/>
  <c r="Y44" i="3"/>
  <c r="Y54" i="3"/>
  <c r="E49" i="2" s="1"/>
  <c r="E50" i="2" s="1"/>
  <c r="Y330" i="3"/>
  <c r="Y52" i="3" s="1"/>
  <c r="Y51" i="3"/>
  <c r="AI56" i="3"/>
  <c r="AI23" i="3"/>
  <c r="AI24" i="3"/>
  <c r="AK24" i="3"/>
  <c r="AI32" i="3"/>
  <c r="EE40" i="2"/>
  <c r="AU43" i="2"/>
  <c r="AU42" i="2"/>
  <c r="AY42" i="2"/>
  <c r="AU41" i="2"/>
  <c r="AU44" i="2"/>
  <c r="R37" i="3"/>
  <c r="R35" i="3"/>
  <c r="AJ22" i="3"/>
  <c r="AH56" i="3"/>
  <c r="AH32" i="3"/>
  <c r="AH24" i="3"/>
  <c r="AH23" i="3"/>
  <c r="DZ15" i="2"/>
  <c r="DZ18" i="2" s="1"/>
  <c r="AQ318" i="3"/>
  <c r="AI245" i="3"/>
  <c r="AI171" i="3"/>
  <c r="CC15" i="3"/>
  <c r="CC14" i="3"/>
  <c r="BB56" i="3"/>
  <c r="BB32" i="3"/>
  <c r="BB23" i="3"/>
  <c r="BB24" i="3"/>
  <c r="K41" i="2"/>
  <c r="K43" i="2"/>
  <c r="CA24" i="3"/>
  <c r="CA56" i="3"/>
  <c r="CA23" i="3"/>
  <c r="CB24" i="3"/>
  <c r="CA32" i="3"/>
  <c r="CC22" i="3"/>
  <c r="DP74" i="3"/>
  <c r="DQ74" i="3" s="1"/>
  <c r="DQ63" i="3"/>
  <c r="EM62" i="2" s="1"/>
  <c r="DR63" i="3"/>
  <c r="BB223" i="2"/>
  <c r="BC224" i="2" s="1"/>
  <c r="BC112" i="2"/>
  <c r="BB228" i="2"/>
  <c r="BB229" i="2" s="1"/>
  <c r="BF113" i="2"/>
  <c r="CK146" i="2"/>
  <c r="ES21" i="2"/>
  <c r="ES23" i="2" s="1"/>
  <c r="EQ46" i="2"/>
  <c r="BG223" i="2"/>
  <c r="BG226" i="2" s="1"/>
  <c r="DA22" i="2"/>
  <c r="DA23" i="2"/>
  <c r="BG113" i="2"/>
  <c r="EH221" i="2"/>
  <c r="DB32" i="2"/>
  <c r="CG146" i="2"/>
  <c r="DB21" i="2"/>
  <c r="DB23" i="2" s="1"/>
  <c r="CH94" i="2"/>
  <c r="AY71" i="2"/>
  <c r="BG228" i="2"/>
  <c r="BG229" i="2" s="1"/>
  <c r="AZ71" i="2"/>
  <c r="AX71" i="2"/>
  <c r="EN144" i="2"/>
  <c r="EO146" i="2" s="1"/>
  <c r="CH145" i="2"/>
  <c r="EG256" i="2"/>
  <c r="EG245" i="2"/>
  <c r="EL151" i="2"/>
  <c r="EL150" i="2"/>
  <c r="BZ150" i="2"/>
  <c r="BZ149" i="2"/>
  <c r="CD150" i="2"/>
  <c r="CB151" i="2"/>
  <c r="CB148" i="2" s="1"/>
  <c r="CA148" i="2"/>
  <c r="EG238" i="2"/>
  <c r="EG249" i="2"/>
  <c r="EG253" i="2"/>
  <c r="CJ45" i="2"/>
  <c r="EH138" i="2"/>
  <c r="BK228" i="2"/>
  <c r="BK229" i="2" s="1"/>
  <c r="EG111" i="2"/>
  <c r="BF228" i="2"/>
  <c r="BF229" i="2" s="1"/>
  <c r="BF223" i="2"/>
  <c r="BF226" i="2" s="1"/>
  <c r="BF114" i="2"/>
  <c r="EH111" i="2"/>
  <c r="EH114" i="2" s="1"/>
  <c r="BG112" i="2"/>
  <c r="BH228" i="2"/>
  <c r="BH229" i="2" s="1"/>
  <c r="CH15" i="3"/>
  <c r="CH14" i="3"/>
  <c r="CM15" i="3"/>
  <c r="U56" i="3"/>
  <c r="U23" i="3"/>
  <c r="U24" i="3"/>
  <c r="Z24" i="3"/>
  <c r="BN54" i="3"/>
  <c r="BN53" i="3"/>
  <c r="AO56" i="3"/>
  <c r="AO23" i="3"/>
  <c r="DW18" i="2"/>
  <c r="DW17" i="2"/>
  <c r="BD15" i="3"/>
  <c r="BD14" i="3"/>
  <c r="BF28" i="5"/>
  <c r="BF24" i="5"/>
  <c r="BF29" i="5"/>
  <c r="BF54" i="3"/>
  <c r="BF53" i="3"/>
  <c r="AE52" i="2" s="1"/>
  <c r="AI54" i="2" s="1"/>
  <c r="BF44" i="3"/>
  <c r="AR54" i="5"/>
  <c r="AR13" i="5"/>
  <c r="AS11" i="5"/>
  <c r="AS30" i="5" s="1"/>
  <c r="AS72" i="5" s="1"/>
  <c r="AR8" i="5"/>
  <c r="T18" i="2"/>
  <c r="T17" i="2"/>
  <c r="T16" i="2"/>
  <c r="T40" i="2"/>
  <c r="DX15" i="2"/>
  <c r="CN54" i="3"/>
  <c r="CN53" i="3"/>
  <c r="BF52" i="2" s="1"/>
  <c r="BG53" i="2" s="1"/>
  <c r="CN44" i="3"/>
  <c r="CR37" i="3"/>
  <c r="CR53" i="3" s="1"/>
  <c r="CI325" i="3"/>
  <c r="BB49" i="2"/>
  <c r="BI152" i="2"/>
  <c r="EH152" i="2" s="1"/>
  <c r="BJ155" i="2"/>
  <c r="AJ18" i="6"/>
  <c r="AJ19" i="6"/>
  <c r="CO320" i="3"/>
  <c r="CO322" i="3" s="1"/>
  <c r="CO113" i="3"/>
  <c r="CO129" i="3" s="1"/>
  <c r="CO58" i="3"/>
  <c r="BG55" i="2" s="1"/>
  <c r="BG159" i="2"/>
  <c r="BG158" i="2"/>
  <c r="BC15" i="5"/>
  <c r="BB241" i="3"/>
  <c r="BB251" i="3" s="1"/>
  <c r="BB167" i="3"/>
  <c r="BB338" i="3"/>
  <c r="AD42" i="2"/>
  <c r="AD43" i="2"/>
  <c r="AE41" i="2"/>
  <c r="AH42" i="2"/>
  <c r="EO44" i="2"/>
  <c r="EO43" i="2"/>
  <c r="EO42" i="2"/>
  <c r="EO147" i="2"/>
  <c r="EP146" i="2"/>
  <c r="EH227" i="2"/>
  <c r="BW54" i="4"/>
  <c r="BX53" i="4"/>
  <c r="BU44" i="4"/>
  <c r="BT45" i="4"/>
  <c r="G331" i="3"/>
  <c r="K44" i="3"/>
  <c r="K58" i="3" s="1"/>
  <c r="ES27" i="2"/>
  <c r="BF50" i="5"/>
  <c r="BF53" i="5"/>
  <c r="BF52" i="5"/>
  <c r="BF51" i="5"/>
  <c r="BH153" i="2"/>
  <c r="BH156" i="2"/>
  <c r="BH154" i="2"/>
  <c r="EI325" i="3"/>
  <c r="CR49" i="2"/>
  <c r="BE14" i="5"/>
  <c r="BE26" i="5"/>
  <c r="BE25" i="5"/>
  <c r="BL53" i="2"/>
  <c r="CY84" i="2"/>
  <c r="CY85" i="2"/>
  <c r="AN53" i="2"/>
  <c r="G42" i="2"/>
  <c r="G41" i="2"/>
  <c r="G43" i="2"/>
  <c r="DU40" i="2"/>
  <c r="K42" i="2"/>
  <c r="H41" i="2"/>
  <c r="EQ325" i="3"/>
  <c r="CX49" i="2"/>
  <c r="BI226" i="2"/>
  <c r="BM225" i="2"/>
  <c r="CG138" i="2"/>
  <c r="CG137" i="2"/>
  <c r="EN136" i="2"/>
  <c r="DE43" i="5"/>
  <c r="DE38" i="5"/>
  <c r="DE40" i="5" s="1"/>
  <c r="AX245" i="3"/>
  <c r="AX171" i="3"/>
  <c r="BB248" i="3"/>
  <c r="BB173" i="3"/>
  <c r="AD150" i="3"/>
  <c r="DT106" i="3"/>
  <c r="DU96" i="3"/>
  <c r="BW325" i="3"/>
  <c r="AS49" i="2"/>
  <c r="CF56" i="2"/>
  <c r="EL47" i="2"/>
  <c r="EL46" i="2"/>
  <c r="S53" i="2"/>
  <c r="AB37" i="3"/>
  <c r="AB35" i="3"/>
  <c r="AB327" i="3" s="1"/>
  <c r="AB328" i="3" s="1"/>
  <c r="AE32" i="3"/>
  <c r="ES101" i="2"/>
  <c r="EX11" i="3"/>
  <c r="DE11" i="2"/>
  <c r="DD13" i="2"/>
  <c r="DD12" i="2"/>
  <c r="DH129" i="3"/>
  <c r="CF317" i="3"/>
  <c r="CE316" i="3"/>
  <c r="BT325" i="3"/>
  <c r="AP49" i="2"/>
  <c r="AC39" i="3"/>
  <c r="AE39" i="3" s="1"/>
  <c r="AC35" i="3"/>
  <c r="AC327" i="3" s="1"/>
  <c r="AC328" i="3" s="1"/>
  <c r="AE34" i="3"/>
  <c r="CV133" i="2"/>
  <c r="CV134" i="2"/>
  <c r="CW133" i="2"/>
  <c r="EV41" i="3"/>
  <c r="BZ58" i="4"/>
  <c r="BY60" i="4"/>
  <c r="DI58" i="4"/>
  <c r="DF82" i="3"/>
  <c r="DE84" i="3"/>
  <c r="BQ305" i="3"/>
  <c r="CA42" i="2"/>
  <c r="CA41" i="2"/>
  <c r="CA44" i="2"/>
  <c r="CA43" i="2"/>
  <c r="CE42" i="2"/>
  <c r="CB41" i="2"/>
  <c r="EM40" i="2"/>
  <c r="FE82" i="3"/>
  <c r="FF82" i="3"/>
  <c r="FG82" i="3" s="1"/>
  <c r="FH82" i="3" s="1"/>
  <c r="FI82" i="3" s="1"/>
  <c r="DA29" i="5"/>
  <c r="DA17" i="5"/>
  <c r="BT142" i="3"/>
  <c r="BR146" i="3"/>
  <c r="K53" i="3"/>
  <c r="K54" i="3"/>
  <c r="CG112" i="2"/>
  <c r="CG103" i="2"/>
  <c r="CG113" i="2"/>
  <c r="CG114" i="2"/>
  <c r="CH111" i="2"/>
  <c r="CK113" i="2"/>
  <c r="BK53" i="2"/>
  <c r="BK54" i="2"/>
  <c r="F54" i="3"/>
  <c r="F53" i="3"/>
  <c r="CH122" i="2"/>
  <c r="CH120" i="2"/>
  <c r="CH110" i="2"/>
  <c r="CH98" i="2"/>
  <c r="CH121" i="2"/>
  <c r="CH102" i="2"/>
  <c r="CH82" i="2"/>
  <c r="CH78" i="2"/>
  <c r="CH86" i="2"/>
  <c r="CL121" i="2"/>
  <c r="DQ24" i="3"/>
  <c r="DQ23" i="3"/>
  <c r="DQ56" i="3"/>
  <c r="DQ107" i="3" s="1"/>
  <c r="DV24" i="3"/>
  <c r="BQ31" i="4"/>
  <c r="DG31" i="4" s="1"/>
  <c r="BP36" i="4"/>
  <c r="CM61" i="2"/>
  <c r="DB99" i="2"/>
  <c r="DA148" i="2"/>
  <c r="ES148" i="2" s="1"/>
  <c r="DA101" i="2"/>
  <c r="DP54" i="3"/>
  <c r="DP44" i="3"/>
  <c r="DP53" i="3"/>
  <c r="CC52" i="2" s="1"/>
  <c r="CG54" i="2" s="1"/>
  <c r="BP325" i="3"/>
  <c r="AM49" i="2"/>
  <c r="DF29" i="2"/>
  <c r="DE34" i="2"/>
  <c r="ET34" i="2" s="1"/>
  <c r="AT14" i="3"/>
  <c r="AT15" i="3"/>
  <c r="EB320" i="3"/>
  <c r="EB322" i="3" s="1"/>
  <c r="EB113" i="3"/>
  <c r="EB58" i="3"/>
  <c r="CL55" i="2" s="1"/>
  <c r="DU320" i="3"/>
  <c r="DU322" i="3" s="1"/>
  <c r="DU113" i="3"/>
  <c r="DU129" i="3" s="1"/>
  <c r="DU58" i="3"/>
  <c r="CG55" i="2" s="1"/>
  <c r="BY61" i="2"/>
  <c r="CD53" i="3"/>
  <c r="AX52" i="2" s="1"/>
  <c r="BB54" i="2" s="1"/>
  <c r="CD44" i="3"/>
  <c r="CD54" i="3"/>
  <c r="CU320" i="3"/>
  <c r="CU322" i="3" s="1"/>
  <c r="CU58" i="3"/>
  <c r="BL55" i="2" s="1"/>
  <c r="BM54" i="3"/>
  <c r="BM53" i="3"/>
  <c r="AK52" i="2" s="1"/>
  <c r="BM44" i="3"/>
  <c r="BQ325" i="3"/>
  <c r="AN49" i="2"/>
  <c r="BE17" i="4"/>
  <c r="BE18" i="4"/>
  <c r="BE16" i="4"/>
  <c r="CG84" i="3"/>
  <c r="CI82" i="3"/>
  <c r="CH82" i="3"/>
  <c r="CT325" i="3"/>
  <c r="BK49" i="2"/>
  <c r="BC58" i="5"/>
  <c r="AZ17" i="2"/>
  <c r="AZ16" i="2"/>
  <c r="AZ18" i="2"/>
  <c r="AZ19" i="2"/>
  <c r="AZ40" i="2"/>
  <c r="BD17" i="2"/>
  <c r="FK57" i="3"/>
  <c r="FJ57" i="3"/>
  <c r="AF331" i="3"/>
  <c r="AF321" i="3" s="1"/>
  <c r="AF113" i="3"/>
  <c r="AF320" i="3"/>
  <c r="AF58" i="3"/>
  <c r="J55" i="2" s="1"/>
  <c r="BE159" i="2"/>
  <c r="BE157" i="2"/>
  <c r="ER47" i="2"/>
  <c r="ER46" i="2"/>
  <c r="L330" i="3"/>
  <c r="L52" i="3" s="1"/>
  <c r="L54" i="3"/>
  <c r="P37" i="3"/>
  <c r="L51" i="3"/>
  <c r="L44" i="3"/>
  <c r="CA13" i="6"/>
  <c r="DR320" i="3"/>
  <c r="DR322" i="3" s="1"/>
  <c r="DR113" i="3"/>
  <c r="DR58" i="3"/>
  <c r="CD55" i="2" s="1"/>
  <c r="CE56" i="2" s="1"/>
  <c r="DV44" i="3"/>
  <c r="CZ57" i="5"/>
  <c r="CZ68" i="5"/>
  <c r="DB141" i="2"/>
  <c r="DB142" i="2"/>
  <c r="DM325" i="3"/>
  <c r="BZ49" i="2"/>
  <c r="AY15" i="3"/>
  <c r="AY14" i="3"/>
  <c r="EP42" i="2"/>
  <c r="CS320" i="3"/>
  <c r="CS322" i="3" s="1"/>
  <c r="CS113" i="3"/>
  <c r="CS58" i="3"/>
  <c r="BJ55" i="2" s="1"/>
  <c r="AS245" i="3"/>
  <c r="AS171" i="3"/>
  <c r="EG47" i="2"/>
  <c r="EG156" i="2"/>
  <c r="EG159" i="2" s="1"/>
  <c r="BB159" i="2"/>
  <c r="AA320" i="3"/>
  <c r="AA331" i="3"/>
  <c r="AA321" i="3" s="1"/>
  <c r="AA113" i="3"/>
  <c r="CU133" i="2"/>
  <c r="CU134" i="2"/>
  <c r="CY134" i="2"/>
  <c r="BW47" i="2"/>
  <c r="BW46" i="2"/>
  <c r="BW45" i="2"/>
  <c r="BX45" i="2"/>
  <c r="EN113" i="2"/>
  <c r="BD223" i="2"/>
  <c r="BD112" i="2"/>
  <c r="BD114" i="2"/>
  <c r="V330" i="3"/>
  <c r="V52" i="3" s="1"/>
  <c r="V44" i="3"/>
  <c r="V51" i="3"/>
  <c r="V54" i="3"/>
  <c r="B49" i="2" s="1"/>
  <c r="F51" i="2" s="1"/>
  <c r="Z37" i="3"/>
  <c r="EI28" i="2"/>
  <c r="EI27" i="2"/>
  <c r="EJ27" i="2"/>
  <c r="BC168" i="3"/>
  <c r="BH56" i="3"/>
  <c r="BH24" i="3"/>
  <c r="BH23" i="3"/>
  <c r="BH32" i="3"/>
  <c r="BJ24" i="3"/>
  <c r="AQ49" i="5"/>
  <c r="AQ9" i="5"/>
  <c r="AQ10" i="5"/>
  <c r="AQ27" i="5"/>
  <c r="CK53" i="3"/>
  <c r="BD52" i="2" s="1"/>
  <c r="CK54" i="3"/>
  <c r="CK44" i="3"/>
  <c r="BY49" i="4"/>
  <c r="DF100" i="4"/>
  <c r="BI22" i="3"/>
  <c r="AZ37" i="3"/>
  <c r="AZ35" i="3"/>
  <c r="EJ53" i="3"/>
  <c r="CS52" i="2" s="1"/>
  <c r="CT53" i="2" s="1"/>
  <c r="EJ44" i="3"/>
  <c r="EJ54" i="3"/>
  <c r="DV53" i="3"/>
  <c r="EN52" i="2" s="1"/>
  <c r="CD52" i="2"/>
  <c r="BU54" i="3"/>
  <c r="BU44" i="3"/>
  <c r="BU53" i="3"/>
  <c r="AQ52" i="2" s="1"/>
  <c r="CO325" i="3"/>
  <c r="BG49" i="2"/>
  <c r="BZ62" i="4"/>
  <c r="BY63" i="4"/>
  <c r="AH58" i="5"/>
  <c r="AH59" i="5"/>
  <c r="AM85" i="5"/>
  <c r="AM84" i="5"/>
  <c r="AM88" i="5"/>
  <c r="BC226" i="2"/>
  <c r="BW40" i="4"/>
  <c r="CY325" i="3"/>
  <c r="BO49" i="2"/>
  <c r="BX133" i="2"/>
  <c r="BX134" i="2"/>
  <c r="ET29" i="2"/>
  <c r="Z43" i="2"/>
  <c r="Z42" i="2"/>
  <c r="AA41" i="2"/>
  <c r="EV141" i="3"/>
  <c r="BA77" i="3"/>
  <c r="AZ76" i="3"/>
  <c r="CL54" i="3"/>
  <c r="CL44" i="3"/>
  <c r="CL53" i="3"/>
  <c r="BE52" i="2" s="1"/>
  <c r="EH54" i="3"/>
  <c r="EH44" i="3"/>
  <c r="EH53" i="3"/>
  <c r="CQ52" i="2" s="1"/>
  <c r="CR53" i="2" s="1"/>
  <c r="J49" i="2"/>
  <c r="DE24" i="5"/>
  <c r="BJ228" i="2"/>
  <c r="BJ229" i="2" s="1"/>
  <c r="DJ54" i="3"/>
  <c r="DJ44" i="3"/>
  <c r="DJ53" i="3"/>
  <c r="BX52" i="2" s="1"/>
  <c r="BI15" i="3"/>
  <c r="CE312" i="3"/>
  <c r="CF313" i="3"/>
  <c r="BG27" i="5"/>
  <c r="BG10" i="5"/>
  <c r="BG9" i="5"/>
  <c r="BG49" i="5"/>
  <c r="AR24" i="3"/>
  <c r="AR23" i="3"/>
  <c r="AR56" i="3"/>
  <c r="AR32" i="3"/>
  <c r="AT22" i="3"/>
  <c r="CM37" i="3"/>
  <c r="CM53" i="3" s="1"/>
  <c r="BD22" i="3"/>
  <c r="DX54" i="3"/>
  <c r="DX53" i="3"/>
  <c r="CI52" i="2" s="1"/>
  <c r="DX44" i="3"/>
  <c r="BK223" i="2"/>
  <c r="BK114" i="2"/>
  <c r="BK113" i="2"/>
  <c r="BK112" i="2"/>
  <c r="AG17" i="2"/>
  <c r="AG16" i="2"/>
  <c r="AG40" i="2"/>
  <c r="AG18" i="2"/>
  <c r="AK17" i="2"/>
  <c r="AH16" i="2"/>
  <c r="BD67" i="5"/>
  <c r="BD57" i="5"/>
  <c r="CC80" i="4"/>
  <c r="CB81" i="4"/>
  <c r="CP54" i="3"/>
  <c r="CP53" i="3"/>
  <c r="BH52" i="2" s="1"/>
  <c r="BL54" i="2" s="1"/>
  <c r="CP44" i="3"/>
  <c r="AU54" i="3"/>
  <c r="AU44" i="3"/>
  <c r="AU53" i="3"/>
  <c r="V52" i="2" s="1"/>
  <c r="AJ14" i="6"/>
  <c r="AM58" i="5"/>
  <c r="AM59" i="5"/>
  <c r="DR325" i="3"/>
  <c r="DV54" i="3"/>
  <c r="EN49" i="2" s="1"/>
  <c r="CD49" i="2"/>
  <c r="CE50" i="2" s="1"/>
  <c r="EU118" i="3"/>
  <c r="AF59" i="5"/>
  <c r="AF58" i="5"/>
  <c r="BM219" i="2"/>
  <c r="BG95" i="3"/>
  <c r="BY54" i="3"/>
  <c r="BY53" i="3"/>
  <c r="AT52" i="2" s="1"/>
  <c r="BY44" i="3"/>
  <c r="CB35" i="5"/>
  <c r="CA37" i="5"/>
  <c r="AR30" i="5"/>
  <c r="BH112" i="2"/>
  <c r="BH113" i="2"/>
  <c r="BH114" i="2"/>
  <c r="BH223" i="2"/>
  <c r="FA26" i="3"/>
  <c r="EI147" i="2"/>
  <c r="EJ146" i="2"/>
  <c r="CZ88" i="2"/>
  <c r="CZ136" i="2"/>
  <c r="CZ89" i="2"/>
  <c r="CZ83" i="2"/>
  <c r="EQ320" i="3"/>
  <c r="EQ322" i="3" s="1"/>
  <c r="EQ113" i="3"/>
  <c r="EQ58" i="3"/>
  <c r="CX55" i="2" s="1"/>
  <c r="DL104" i="3"/>
  <c r="CB320" i="3"/>
  <c r="CB322" i="3" s="1"/>
  <c r="CB113" i="3"/>
  <c r="CB129" i="3" s="1"/>
  <c r="CB58" i="3"/>
  <c r="AW55" i="2" s="1"/>
  <c r="CR63" i="3"/>
  <c r="CS63" i="3"/>
  <c r="CT63" i="3" s="1"/>
  <c r="CU63" i="3" s="1"/>
  <c r="CV63" i="3" s="1"/>
  <c r="DA27" i="2"/>
  <c r="DA26" i="2"/>
  <c r="BE96" i="3"/>
  <c r="BD96" i="3"/>
  <c r="BC100" i="3"/>
  <c r="CB73" i="4"/>
  <c r="DM320" i="3"/>
  <c r="DM322" i="3" s="1"/>
  <c r="DM58" i="3"/>
  <c r="BZ55" i="2" s="1"/>
  <c r="DM113" i="3"/>
  <c r="BC185" i="3"/>
  <c r="BC172" i="3" s="1"/>
  <c r="BC180" i="3"/>
  <c r="BC187" i="3"/>
  <c r="BC174" i="3" s="1"/>
  <c r="BW113" i="3"/>
  <c r="BW129" i="3" s="1"/>
  <c r="BW156" i="3" s="1"/>
  <c r="AS58" i="2" s="1"/>
  <c r="BW320" i="3"/>
  <c r="BW322" i="3" s="1"/>
  <c r="BW58" i="3"/>
  <c r="AS55" i="2" s="1"/>
  <c r="DT156" i="3"/>
  <c r="CF58" i="2" s="1"/>
  <c r="DT150" i="3"/>
  <c r="EP47" i="2"/>
  <c r="BA253" i="3"/>
  <c r="BA255" i="3"/>
  <c r="BA242" i="3"/>
  <c r="BA254" i="3"/>
  <c r="BA252" i="3"/>
  <c r="CG315" i="3"/>
  <c r="CF314" i="3"/>
  <c r="BP315" i="3"/>
  <c r="BO314" i="3"/>
  <c r="U15" i="3"/>
  <c r="U14" i="3"/>
  <c r="Z15" i="3"/>
  <c r="AQ325" i="3"/>
  <c r="S49" i="2"/>
  <c r="CY138" i="2"/>
  <c r="CY137" i="2"/>
  <c r="EW27" i="3"/>
  <c r="EV28" i="3"/>
  <c r="Y17" i="2"/>
  <c r="Y16" i="2"/>
  <c r="Y40" i="2"/>
  <c r="Y18" i="2"/>
  <c r="AC37" i="3"/>
  <c r="EK41" i="3"/>
  <c r="DP84" i="3"/>
  <c r="DR81" i="3"/>
  <c r="DQ81" i="3"/>
  <c r="BO97" i="4"/>
  <c r="BO25" i="4" s="1"/>
  <c r="BP22" i="4"/>
  <c r="BO27" i="4"/>
  <c r="AN66" i="5"/>
  <c r="AN70" i="5"/>
  <c r="AN60" i="5"/>
  <c r="AN71" i="5"/>
  <c r="DA69" i="5"/>
  <c r="DO93" i="3"/>
  <c r="DO100" i="3" s="1"/>
  <c r="DO104" i="3" s="1"/>
  <c r="DP88" i="3"/>
  <c r="N113" i="3"/>
  <c r="N129" i="3" s="1"/>
  <c r="N331" i="3"/>
  <c r="N321" i="3" s="1"/>
  <c r="N320" i="3"/>
  <c r="AL37" i="3"/>
  <c r="AL35" i="3"/>
  <c r="AL41" i="3" s="1"/>
  <c r="B331" i="3"/>
  <c r="F44" i="3"/>
  <c r="F58" i="3" s="1"/>
  <c r="CI47" i="2"/>
  <c r="CI46" i="2"/>
  <c r="CI45" i="2"/>
  <c r="CH141" i="2"/>
  <c r="CH142" i="2"/>
  <c r="CL142" i="2"/>
  <c r="AL59" i="5"/>
  <c r="EO54" i="3"/>
  <c r="EO44" i="3"/>
  <c r="EO53" i="3"/>
  <c r="CW52" i="2" s="1"/>
  <c r="BC157" i="2"/>
  <c r="BC159" i="2"/>
  <c r="DA133" i="2"/>
  <c r="DA134" i="2"/>
  <c r="DE54" i="3"/>
  <c r="DE44" i="3"/>
  <c r="DE53" i="3"/>
  <c r="BT52" i="2" s="1"/>
  <c r="Z146" i="3"/>
  <c r="EA37" i="3"/>
  <c r="DW54" i="3"/>
  <c r="DW44" i="3"/>
  <c r="DW53" i="3"/>
  <c r="AP52" i="5"/>
  <c r="AP51" i="5"/>
  <c r="AP50" i="5"/>
  <c r="AP53" i="5"/>
  <c r="CQ54" i="3"/>
  <c r="CQ44" i="3"/>
  <c r="CQ53" i="3"/>
  <c r="BI52" i="2" s="1"/>
  <c r="BJ53" i="2" s="1"/>
  <c r="AG89" i="5"/>
  <c r="AG90" i="5"/>
  <c r="BE223" i="2"/>
  <c r="BE114" i="2"/>
  <c r="BE112" i="2"/>
  <c r="BF112" i="2"/>
  <c r="CJ54" i="2"/>
  <c r="DH42" i="4"/>
  <c r="CG22" i="3"/>
  <c r="CH22" i="3" s="1"/>
  <c r="CG15" i="3"/>
  <c r="CG14" i="3"/>
  <c r="CI15" i="3"/>
  <c r="BK320" i="3"/>
  <c r="BK322" i="3" s="1"/>
  <c r="BK113" i="3"/>
  <c r="BK129" i="3" s="1"/>
  <c r="BK58" i="3"/>
  <c r="AI55" i="2" s="1"/>
  <c r="BO37" i="4"/>
  <c r="BO38" i="4"/>
  <c r="DC79" i="2"/>
  <c r="DB132" i="2"/>
  <c r="DB81" i="2"/>
  <c r="BP320" i="3"/>
  <c r="BP322" i="3" s="1"/>
  <c r="BP113" i="3"/>
  <c r="BP129" i="3" s="1"/>
  <c r="BP58" i="3"/>
  <c r="AM55" i="2" s="1"/>
  <c r="EF10" i="2"/>
  <c r="EG10" i="2"/>
  <c r="AC18" i="2"/>
  <c r="AC40" i="2"/>
  <c r="AD41" i="2" s="1"/>
  <c r="AC16" i="2"/>
  <c r="AC17" i="2"/>
  <c r="AO43" i="2"/>
  <c r="AO44" i="2"/>
  <c r="AO42" i="2"/>
  <c r="AO41" i="2"/>
  <c r="AS42" i="2"/>
  <c r="EC40" i="2"/>
  <c r="AP41" i="2"/>
  <c r="BP313" i="3"/>
  <c r="BO312" i="3"/>
  <c r="DU325" i="3"/>
  <c r="CG49" i="2"/>
  <c r="CZ16" i="5"/>
  <c r="FB91" i="3"/>
  <c r="DY325" i="3"/>
  <c r="CJ49" i="2"/>
  <c r="EG27" i="2"/>
  <c r="EG28" i="2"/>
  <c r="AO152" i="3"/>
  <c r="AQ320" i="3"/>
  <c r="AQ322" i="3" s="1"/>
  <c r="AQ113" i="3"/>
  <c r="AQ58" i="3"/>
  <c r="S55" i="2" s="1"/>
  <c r="AK325" i="3"/>
  <c r="N49" i="2"/>
  <c r="EN54" i="3"/>
  <c r="EN44" i="3"/>
  <c r="EN53" i="3"/>
  <c r="CV52" i="2" s="1"/>
  <c r="T24" i="3"/>
  <c r="T23" i="3"/>
  <c r="T56" i="3"/>
  <c r="T32" i="3"/>
  <c r="V24" i="3"/>
  <c r="CZ150" i="2"/>
  <c r="CZ149" i="2"/>
  <c r="AI59" i="5"/>
  <c r="AI58" i="5"/>
  <c r="EH238" i="2"/>
  <c r="EH234" i="2"/>
  <c r="EH256" i="2"/>
  <c r="EH245" i="2"/>
  <c r="EH253" i="2"/>
  <c r="AN245" i="3"/>
  <c r="AN171" i="3"/>
  <c r="BF69" i="5"/>
  <c r="BF43" i="5"/>
  <c r="BF42" i="5"/>
  <c r="BV53" i="3"/>
  <c r="AR52" i="2" s="1"/>
  <c r="BV44" i="3"/>
  <c r="BV54" i="3"/>
  <c r="AP65" i="5"/>
  <c r="AP64" i="5"/>
  <c r="AP29" i="5"/>
  <c r="AP24" i="5"/>
  <c r="AP28" i="5"/>
  <c r="AP69" i="5"/>
  <c r="EB325" i="3"/>
  <c r="CL49" i="2"/>
  <c r="DL41" i="3"/>
  <c r="BA244" i="3"/>
  <c r="BL319" i="3"/>
  <c r="BL53" i="3"/>
  <c r="AJ52" i="2" s="1"/>
  <c r="BL44" i="3"/>
  <c r="BN44" i="3" s="1"/>
  <c r="BN58" i="3" s="1"/>
  <c r="BL54" i="3"/>
  <c r="S330" i="3"/>
  <c r="S52" i="3" s="1"/>
  <c r="S54" i="3"/>
  <c r="S51" i="3"/>
  <c r="S44" i="3"/>
  <c r="DX10" i="2"/>
  <c r="BA53" i="3"/>
  <c r="AA52" i="2" s="1"/>
  <c r="BA44" i="3"/>
  <c r="BA54" i="3"/>
  <c r="EC18" i="2"/>
  <c r="EC17" i="2"/>
  <c r="ED17" i="2"/>
  <c r="CF56" i="3"/>
  <c r="CF23" i="3"/>
  <c r="CF24" i="3"/>
  <c r="CF32" i="3"/>
  <c r="AR171" i="3"/>
  <c r="AR245" i="3"/>
  <c r="CU156" i="3"/>
  <c r="BL58" i="2" s="1"/>
  <c r="CU150" i="3"/>
  <c r="CI320" i="3"/>
  <c r="CI322" i="3" s="1"/>
  <c r="CI113" i="3"/>
  <c r="CI58" i="3"/>
  <c r="BB55" i="2" s="1"/>
  <c r="Q18" i="2"/>
  <c r="Q40" i="2"/>
  <c r="DW40" i="2" s="1"/>
  <c r="Q17" i="2"/>
  <c r="Q16" i="2"/>
  <c r="R16" i="2"/>
  <c r="AG59" i="5"/>
  <c r="AG58" i="5"/>
  <c r="BD61" i="5"/>
  <c r="AK17" i="6"/>
  <c r="AK14" i="6" s="1"/>
  <c r="AK7" i="6"/>
  <c r="AL5" i="6"/>
  <c r="CA5" i="6"/>
  <c r="BJ325" i="3"/>
  <c r="AH49" i="2"/>
  <c r="AY104" i="3"/>
  <c r="CJ303" i="3"/>
  <c r="AK13" i="6"/>
  <c r="AL11" i="6"/>
  <c r="BE228" i="2"/>
  <c r="BE229" i="2" s="1"/>
  <c r="ED53" i="3"/>
  <c r="CN52" i="2" s="1"/>
  <c r="CR54" i="2" s="1"/>
  <c r="ED44" i="3"/>
  <c r="EF44" i="3" s="1"/>
  <c r="EF58" i="3" s="1"/>
  <c r="ED54" i="3"/>
  <c r="CV53" i="3"/>
  <c r="BM52" i="2" s="1"/>
  <c r="CV44" i="3"/>
  <c r="CW44" i="3" s="1"/>
  <c r="CW58" i="3" s="1"/>
  <c r="CV54" i="3"/>
  <c r="CW54" i="3" s="1"/>
  <c r="EJ47" i="2"/>
  <c r="EJ46" i="2"/>
  <c r="DF53" i="3"/>
  <c r="BU52" i="2" s="1"/>
  <c r="DF44" i="3"/>
  <c r="DF54" i="3"/>
  <c r="BD159" i="2"/>
  <c r="BD157" i="2"/>
  <c r="CX52" i="2"/>
  <c r="DD91" i="2"/>
  <c r="DC93" i="2"/>
  <c r="DC140" i="2"/>
  <c r="W156" i="3"/>
  <c r="C58" i="2" s="1"/>
  <c r="W150" i="3"/>
  <c r="BI113" i="2"/>
  <c r="AO70" i="5"/>
  <c r="AO60" i="5"/>
  <c r="AO66" i="5"/>
  <c r="AO71" i="5"/>
  <c r="AD330" i="3"/>
  <c r="AD52" i="3" s="1"/>
  <c r="AD54" i="3"/>
  <c r="I49" i="2" s="1"/>
  <c r="AD51" i="3"/>
  <c r="AD44" i="3"/>
  <c r="AW54" i="2"/>
  <c r="CD71" i="4"/>
  <c r="CC72" i="4"/>
  <c r="BZ52" i="2"/>
  <c r="AW24" i="3"/>
  <c r="AW23" i="3"/>
  <c r="AW56" i="3"/>
  <c r="AW32" i="3"/>
  <c r="AY22" i="3"/>
  <c r="AD16" i="2"/>
  <c r="AL244" i="3"/>
  <c r="AB89" i="5"/>
  <c r="BS35" i="4"/>
  <c r="BA247" i="3"/>
  <c r="AL89" i="5"/>
  <c r="AL90" i="5"/>
  <c r="EM19" i="2"/>
  <c r="EM18" i="2"/>
  <c r="EM17" i="2"/>
  <c r="EN17" i="2"/>
  <c r="DA325" i="3"/>
  <c r="BQ49" i="2"/>
  <c r="AN14" i="5"/>
  <c r="AN26" i="5"/>
  <c r="AN25" i="5"/>
  <c r="DA24" i="5"/>
  <c r="O41" i="2"/>
  <c r="O43" i="2"/>
  <c r="O42" i="2"/>
  <c r="S42" i="2"/>
  <c r="CF105" i="2"/>
  <c r="CF106" i="2"/>
  <c r="CF104" i="2"/>
  <c r="CJ105" i="2"/>
  <c r="EP41" i="3"/>
  <c r="CJ91" i="2"/>
  <c r="CI93" i="2"/>
  <c r="CM93" i="2"/>
  <c r="CI87" i="2"/>
  <c r="CI119" i="2" s="1"/>
  <c r="CI140" i="2"/>
  <c r="DC54" i="3"/>
  <c r="DG37" i="3"/>
  <c r="DC44" i="3"/>
  <c r="DC53" i="3"/>
  <c r="BD228" i="2"/>
  <c r="BD229" i="2" s="1"/>
  <c r="AV54" i="3"/>
  <c r="AV44" i="3"/>
  <c r="AV53" i="3"/>
  <c r="W52" i="2" s="1"/>
  <c r="EH130" i="2"/>
  <c r="BX97" i="3"/>
  <c r="BY97" i="3"/>
  <c r="BZ97" i="3" s="1"/>
  <c r="CA97" i="3" s="1"/>
  <c r="CB97" i="3" s="1"/>
  <c r="BL220" i="2"/>
  <c r="BL111" i="2"/>
  <c r="BL222" i="2"/>
  <c r="BL221" i="2"/>
  <c r="BL227" i="2"/>
  <c r="AO82" i="5"/>
  <c r="AO81" i="5"/>
  <c r="AP80" i="5"/>
  <c r="EH27" i="2"/>
  <c r="EH28" i="2"/>
  <c r="CZ320" i="3"/>
  <c r="CZ322" i="3" s="1"/>
  <c r="CZ58" i="3"/>
  <c r="BP55" i="2" s="1"/>
  <c r="CE44" i="3"/>
  <c r="CE53" i="3"/>
  <c r="AY52" i="2" s="1"/>
  <c r="CE54" i="3"/>
  <c r="DV48" i="3"/>
  <c r="DV49" i="3" s="1"/>
  <c r="DD54" i="3"/>
  <c r="DD44" i="3"/>
  <c r="DD53" i="3"/>
  <c r="BS52" i="2" s="1"/>
  <c r="BC24" i="3"/>
  <c r="BC23" i="3"/>
  <c r="BC56" i="3"/>
  <c r="BC32" i="3"/>
  <c r="BE66" i="5"/>
  <c r="BE71" i="5"/>
  <c r="BE60" i="5"/>
  <c r="BE70" i="5"/>
  <c r="DE69" i="5"/>
  <c r="EW17" i="3"/>
  <c r="DD35" i="2"/>
  <c r="DC37" i="2"/>
  <c r="AS56" i="3"/>
  <c r="AS32" i="3"/>
  <c r="AS24" i="3"/>
  <c r="AS23" i="3"/>
  <c r="AU24" i="3"/>
  <c r="BT320" i="3"/>
  <c r="BT322" i="3" s="1"/>
  <c r="BT58" i="3"/>
  <c r="AP55" i="2" s="1"/>
  <c r="BT113" i="3"/>
  <c r="BT129" i="3" s="1"/>
  <c r="EW42" i="3"/>
  <c r="EW41" i="3" s="1"/>
  <c r="DD20" i="2"/>
  <c r="EI256" i="2"/>
  <c r="EI238" i="2"/>
  <c r="EI253" i="2"/>
  <c r="EI234" i="2"/>
  <c r="EI245" i="2"/>
  <c r="EJ256" i="2"/>
  <c r="BQ53" i="2"/>
  <c r="BN99" i="4"/>
  <c r="BN98" i="4"/>
  <c r="BN34" i="4"/>
  <c r="EI135" i="2"/>
  <c r="EI134" i="2"/>
  <c r="EJ134" i="2"/>
  <c r="CQ112" i="2"/>
  <c r="CQ113" i="2"/>
  <c r="CQ114" i="2"/>
  <c r="CR111" i="2"/>
  <c r="BR37" i="3"/>
  <c r="BS37" i="3" s="1"/>
  <c r="BR35" i="3"/>
  <c r="CG122" i="2"/>
  <c r="CG120" i="2"/>
  <c r="CG110" i="2"/>
  <c r="CG98" i="2"/>
  <c r="CG121" i="2"/>
  <c r="CG82" i="2"/>
  <c r="CG102" i="2"/>
  <c r="CG78" i="2"/>
  <c r="CG86" i="2"/>
  <c r="EN119" i="2"/>
  <c r="CG94" i="2"/>
  <c r="BP53" i="2"/>
  <c r="BP54" i="2"/>
  <c r="CP106" i="2"/>
  <c r="CP105" i="2"/>
  <c r="CQ103" i="2"/>
  <c r="ER144" i="3"/>
  <c r="ES46" i="3"/>
  <c r="BX65" i="4"/>
  <c r="BX64" i="4"/>
  <c r="BQ320" i="3"/>
  <c r="BQ322" i="3" s="1"/>
  <c r="BQ113" i="3"/>
  <c r="BQ129" i="3" s="1"/>
  <c r="BQ156" i="3" s="1"/>
  <c r="AN58" i="2" s="1"/>
  <c r="BQ58" i="3"/>
  <c r="AN55" i="2" s="1"/>
  <c r="CG90" i="2"/>
  <c r="AX24" i="3"/>
  <c r="AX23" i="3"/>
  <c r="AX56" i="3"/>
  <c r="AX32" i="3"/>
  <c r="X40" i="2"/>
  <c r="X16" i="2"/>
  <c r="X18" i="2"/>
  <c r="X17" i="2"/>
  <c r="AB17" i="2"/>
  <c r="DY15" i="2"/>
  <c r="DZ17" i="2" s="1"/>
  <c r="AI53" i="2"/>
  <c r="CS107" i="2"/>
  <c r="EQ107" i="2" s="1"/>
  <c r="EQ110" i="2" s="1"/>
  <c r="CR110" i="2"/>
  <c r="BV55" i="4"/>
  <c r="BV56" i="4"/>
  <c r="ER132" i="2"/>
  <c r="CP88" i="3"/>
  <c r="CO93" i="3"/>
  <c r="AZ244" i="3"/>
  <c r="CT320" i="3"/>
  <c r="CT322" i="3" s="1"/>
  <c r="CT113" i="3"/>
  <c r="CT58" i="3"/>
  <c r="BK55" i="2" s="1"/>
  <c r="AM54" i="2"/>
  <c r="DO54" i="3"/>
  <c r="DO44" i="3"/>
  <c r="DO53" i="3"/>
  <c r="CB52" i="2" s="1"/>
  <c r="CD318" i="3"/>
  <c r="CG53" i="2"/>
  <c r="ES310" i="3"/>
  <c r="ES49" i="3"/>
  <c r="ET48" i="3"/>
  <c r="BO54" i="3"/>
  <c r="BO53" i="3"/>
  <c r="AL52" i="2" s="1"/>
  <c r="AM53" i="2" s="1"/>
  <c r="BO44" i="3"/>
  <c r="BO54" i="2"/>
  <c r="BY132" i="2"/>
  <c r="EL132" i="2" s="1"/>
  <c r="BZ135" i="2"/>
  <c r="BG40" i="5"/>
  <c r="BG41" i="5"/>
  <c r="BG20" i="5"/>
  <c r="BH38" i="5"/>
  <c r="BG325" i="3"/>
  <c r="AF49" i="2"/>
  <c r="BR41" i="3"/>
  <c r="BS41" i="3" s="1"/>
  <c r="BO316" i="3"/>
  <c r="EI138" i="2"/>
  <c r="EI139" i="2"/>
  <c r="EJ138" i="2"/>
  <c r="CQ91" i="3"/>
  <c r="CY320" i="3"/>
  <c r="CY322" i="3" s="1"/>
  <c r="CY113" i="3"/>
  <c r="CY129" i="3" s="1"/>
  <c r="CY58" i="3"/>
  <c r="BO55" i="2" s="1"/>
  <c r="EI47" i="2"/>
  <c r="EI46" i="2"/>
  <c r="DI54" i="3"/>
  <c r="DI53" i="3"/>
  <c r="DI44" i="3"/>
  <c r="DL37" i="3"/>
  <c r="AN56" i="3"/>
  <c r="AN32" i="3"/>
  <c r="AN23" i="3"/>
  <c r="AN24" i="3"/>
  <c r="AP24" i="3"/>
  <c r="DG41" i="3"/>
  <c r="BG58" i="3"/>
  <c r="AF55" i="2" s="1"/>
  <c r="BG320" i="3"/>
  <c r="BG322" i="3" s="1"/>
  <c r="BG113" i="3"/>
  <c r="BG129" i="3" s="1"/>
  <c r="U17" i="2"/>
  <c r="U16" i="2"/>
  <c r="U18" i="2"/>
  <c r="U40" i="2"/>
  <c r="V16" i="2"/>
  <c r="CY68" i="5"/>
  <c r="CY57" i="5"/>
  <c r="CY59" i="5" s="1"/>
  <c r="CG76" i="4"/>
  <c r="BJ223" i="2"/>
  <c r="BJ112" i="2"/>
  <c r="BJ114" i="2"/>
  <c r="BJ113" i="2"/>
  <c r="AN256" i="3"/>
  <c r="BR26" i="4"/>
  <c r="DK67" i="4"/>
  <c r="EH134" i="2"/>
  <c r="EH135" i="2"/>
  <c r="EA41" i="3"/>
  <c r="BH54" i="5"/>
  <c r="BI11" i="5"/>
  <c r="BH30" i="5"/>
  <c r="BH72" i="5" s="1"/>
  <c r="BH8" i="5"/>
  <c r="X331" i="3"/>
  <c r="X321" i="3" s="1"/>
  <c r="X320" i="3"/>
  <c r="X113" i="3"/>
  <c r="X129" i="3" s="1"/>
  <c r="BE37" i="3"/>
  <c r="BE35" i="3"/>
  <c r="BI32" i="3"/>
  <c r="BI35" i="3" s="1"/>
  <c r="CL52" i="2"/>
  <c r="CZ325" i="3"/>
  <c r="BP49" i="2"/>
  <c r="EI320" i="3"/>
  <c r="EI322" i="3" s="1"/>
  <c r="EI113" i="3"/>
  <c r="EI129" i="3" s="1"/>
  <c r="EI58" i="3"/>
  <c r="CR55" i="2" s="1"/>
  <c r="EP106" i="2"/>
  <c r="O331" i="3"/>
  <c r="O321" i="3" s="1"/>
  <c r="O320" i="3"/>
  <c r="O113" i="3"/>
  <c r="O129" i="3" s="1"/>
  <c r="EF14" i="2"/>
  <c r="EF13" i="2"/>
  <c r="EG13" i="2"/>
  <c r="BB58" i="5"/>
  <c r="AJ8" i="6"/>
  <c r="BJ113" i="3"/>
  <c r="BJ320" i="3"/>
  <c r="BJ322" i="3" s="1"/>
  <c r="BJ58" i="3"/>
  <c r="AH55" i="2" s="1"/>
  <c r="BM100" i="4"/>
  <c r="BM101" i="4" s="1"/>
  <c r="BM95" i="4"/>
  <c r="EZ95" i="3"/>
  <c r="FA95" i="3"/>
  <c r="FB95" i="3" s="1"/>
  <c r="FC95" i="3" s="1"/>
  <c r="FD95" i="3" s="1"/>
  <c r="CU325" i="3"/>
  <c r="BL49" i="2"/>
  <c r="AF89" i="5"/>
  <c r="AF90" i="5"/>
  <c r="AJ90" i="5"/>
  <c r="AH89" i="5"/>
  <c r="AH90" i="5"/>
  <c r="CZ88" i="5"/>
  <c r="AN83" i="5"/>
  <c r="AN79" i="5"/>
  <c r="AN78" i="5"/>
  <c r="AO77" i="5"/>
  <c r="AS23" i="5"/>
  <c r="AT21" i="5"/>
  <c r="AS22" i="5"/>
  <c r="DY320" i="3"/>
  <c r="DY322" i="3" s="1"/>
  <c r="DY58" i="3"/>
  <c r="CJ55" i="2" s="1"/>
  <c r="DY113" i="3"/>
  <c r="DY129" i="3" s="1"/>
  <c r="DU18" i="2"/>
  <c r="DU17" i="2"/>
  <c r="BY18" i="4"/>
  <c r="BZ15" i="4"/>
  <c r="BY17" i="4"/>
  <c r="DA87" i="2"/>
  <c r="DI15" i="4"/>
  <c r="ES132" i="2"/>
  <c r="W322" i="3"/>
  <c r="AB244" i="3"/>
  <c r="AO26" i="5"/>
  <c r="AO25" i="5"/>
  <c r="AO14" i="5"/>
  <c r="CB325" i="3"/>
  <c r="AW49" i="2"/>
  <c r="AW245" i="3"/>
  <c r="AW171" i="3"/>
  <c r="EE156" i="3"/>
  <c r="CO58" i="2" s="1"/>
  <c r="EE150" i="3"/>
  <c r="BB245" i="3"/>
  <c r="BB171" i="3"/>
  <c r="CS325" i="3"/>
  <c r="BJ49" i="2"/>
  <c r="EA15" i="2"/>
  <c r="EI151" i="2"/>
  <c r="EJ150" i="2"/>
  <c r="AE56" i="3"/>
  <c r="AE24" i="3"/>
  <c r="AE23" i="3"/>
  <c r="BA10" i="2"/>
  <c r="BA9" i="2"/>
  <c r="BE10" i="2"/>
  <c r="BA70" i="2"/>
  <c r="BC70" i="2"/>
  <c r="BB70" i="2"/>
  <c r="BA71" i="2"/>
  <c r="BA15" i="2"/>
  <c r="EF15" i="2" s="1"/>
  <c r="BB9" i="2"/>
  <c r="BD70" i="2"/>
  <c r="DY10" i="2"/>
  <c r="BK325" i="3"/>
  <c r="AI49" i="2"/>
  <c r="DS156" i="3"/>
  <c r="CE58" i="2" s="1"/>
  <c r="DS150" i="3"/>
  <c r="BQ316" i="3"/>
  <c r="BR317" i="3"/>
  <c r="DF143" i="2"/>
  <c r="AJ59" i="5"/>
  <c r="EG54" i="3"/>
  <c r="EG53" i="3"/>
  <c r="EG44" i="3"/>
  <c r="EK37" i="3"/>
  <c r="AK320" i="3"/>
  <c r="AK322" i="3" s="1"/>
  <c r="AK113" i="3"/>
  <c r="AK58" i="3"/>
  <c r="N55" i="2" s="1"/>
  <c r="BS47" i="4"/>
  <c r="BS46" i="4"/>
  <c r="DZ54" i="3"/>
  <c r="DZ53" i="3"/>
  <c r="CK52" i="2" s="1"/>
  <c r="DZ44" i="3"/>
  <c r="M330" i="3"/>
  <c r="M52" i="3" s="1"/>
  <c r="M54" i="3"/>
  <c r="M44" i="3"/>
  <c r="M51" i="3"/>
  <c r="DA320" i="3"/>
  <c r="DA322" i="3" s="1"/>
  <c r="DA113" i="3"/>
  <c r="DA129" i="3" s="1"/>
  <c r="DA58" i="3"/>
  <c r="BQ55" i="2" s="1"/>
  <c r="CY88" i="5"/>
  <c r="BN29" i="4"/>
  <c r="BN28" i="4"/>
  <c r="BN94" i="4"/>
  <c r="BE63" i="3"/>
  <c r="BD63" i="3"/>
  <c r="DZ62" i="2" s="1"/>
  <c r="BC74" i="3"/>
  <c r="AM53" i="3"/>
  <c r="P52" i="2" s="1"/>
  <c r="AM44" i="3"/>
  <c r="AM54" i="3"/>
  <c r="EH46" i="2"/>
  <c r="Q37" i="3"/>
  <c r="Q35" i="3"/>
  <c r="EY57" i="3"/>
  <c r="EN47" i="2"/>
  <c r="DD15" i="4"/>
  <c r="EK46" i="2"/>
  <c r="EK47" i="2"/>
  <c r="EM54" i="3"/>
  <c r="EM44" i="3"/>
  <c r="EM53" i="3"/>
  <c r="EP37" i="3"/>
  <c r="BF15" i="4"/>
  <c r="CH88" i="2"/>
  <c r="CH136" i="2"/>
  <c r="CH90" i="2"/>
  <c r="CH89" i="2"/>
  <c r="CL89" i="2"/>
  <c r="DN37" i="3"/>
  <c r="DN35" i="3"/>
  <c r="DN41" i="3" s="1"/>
  <c r="DQ32" i="3"/>
  <c r="DQ35" i="3" s="1"/>
  <c r="CX54" i="3"/>
  <c r="DB37" i="3"/>
  <c r="CX44" i="3"/>
  <c r="CX53" i="3"/>
  <c r="DA51" i="5"/>
  <c r="DA53" i="5"/>
  <c r="DA52" i="5"/>
  <c r="BD15" i="5"/>
  <c r="BO17" i="5"/>
  <c r="BN19" i="5"/>
  <c r="AI90" i="5"/>
  <c r="AI89" i="5"/>
  <c r="AJ89" i="5"/>
  <c r="EH150" i="2" l="1"/>
  <c r="DV17" i="2"/>
  <c r="EI150" i="2"/>
  <c r="DV40" i="2"/>
  <c r="DV43" i="2" s="1"/>
  <c r="BX53" i="3"/>
  <c r="CM44" i="3"/>
  <c r="CM58" i="3" s="1"/>
  <c r="EI146" i="2"/>
  <c r="J54" i="2"/>
  <c r="BF158" i="2"/>
  <c r="DC21" i="2"/>
  <c r="DC25" i="2" s="1"/>
  <c r="BG157" i="2"/>
  <c r="DC32" i="2"/>
  <c r="DD30" i="2"/>
  <c r="BB226" i="2"/>
  <c r="BF157" i="2"/>
  <c r="EH146" i="2"/>
  <c r="DE20" i="5"/>
  <c r="DK76" i="4"/>
  <c r="O322" i="3"/>
  <c r="AF325" i="3"/>
  <c r="AF322" i="3"/>
  <c r="EF53" i="3"/>
  <c r="EP52" i="2" s="1"/>
  <c r="BX44" i="3"/>
  <c r="BX113" i="3" s="1"/>
  <c r="AA322" i="3"/>
  <c r="BB247" i="3"/>
  <c r="BR316" i="3"/>
  <c r="BG54" i="2"/>
  <c r="CM54" i="3"/>
  <c r="BA256" i="3"/>
  <c r="AH37" i="3"/>
  <c r="AH35" i="3"/>
  <c r="AH41" i="3" s="1"/>
  <c r="EL325" i="3"/>
  <c r="CT49" i="2"/>
  <c r="CX51" i="2" s="1"/>
  <c r="AG54" i="3"/>
  <c r="AG51" i="3"/>
  <c r="AG44" i="3"/>
  <c r="F50" i="2"/>
  <c r="AI244" i="3"/>
  <c r="Y113" i="3"/>
  <c r="Y129" i="3" s="1"/>
  <c r="Y331" i="3"/>
  <c r="Y321" i="3" s="1"/>
  <c r="Y320" i="3"/>
  <c r="BZ54" i="3"/>
  <c r="BZ44" i="3"/>
  <c r="BZ53" i="3"/>
  <c r="AU52" i="2" s="1"/>
  <c r="AU53" i="2" s="1"/>
  <c r="CJ320" i="3"/>
  <c r="CJ322" i="3" s="1"/>
  <c r="CJ113" i="3"/>
  <c r="CJ129" i="3" s="1"/>
  <c r="CJ58" i="3"/>
  <c r="BC55" i="2" s="1"/>
  <c r="BG57" i="2" s="1"/>
  <c r="AG327" i="3"/>
  <c r="AG328" i="3" s="1"/>
  <c r="AG330" i="3" s="1"/>
  <c r="AG52" i="3" s="1"/>
  <c r="AG41" i="3"/>
  <c r="BB35" i="3"/>
  <c r="BB37" i="3"/>
  <c r="AJ56" i="3"/>
  <c r="AJ23" i="3"/>
  <c r="AJ24" i="3"/>
  <c r="CJ325" i="3"/>
  <c r="BC49" i="2"/>
  <c r="BC50" i="2" s="1"/>
  <c r="CC24" i="3"/>
  <c r="CC23" i="3"/>
  <c r="CC56" i="3"/>
  <c r="AH244" i="3"/>
  <c r="AD53" i="3"/>
  <c r="I52" i="2" s="1"/>
  <c r="BO318" i="3"/>
  <c r="AO24" i="3"/>
  <c r="CA35" i="3"/>
  <c r="CA37" i="3"/>
  <c r="CC32" i="3"/>
  <c r="CC35" i="3" s="1"/>
  <c r="R330" i="3"/>
  <c r="R52" i="3" s="1"/>
  <c r="R51" i="3"/>
  <c r="R54" i="3"/>
  <c r="R44" i="3"/>
  <c r="EE44" i="2"/>
  <c r="EE43" i="2"/>
  <c r="EE42" i="2"/>
  <c r="EL113" i="3"/>
  <c r="EL129" i="3" s="1"/>
  <c r="EL156" i="3" s="1"/>
  <c r="EL58" i="3"/>
  <c r="CT55" i="2" s="1"/>
  <c r="CX57" i="2" s="1"/>
  <c r="EL320" i="3"/>
  <c r="EL322" i="3" s="1"/>
  <c r="AV43" i="2"/>
  <c r="AV44" i="2"/>
  <c r="AW41" i="2"/>
  <c r="AV42" i="2"/>
  <c r="AV41" i="2"/>
  <c r="DS63" i="3"/>
  <c r="DR74" i="3"/>
  <c r="AY46" i="2"/>
  <c r="AU46" i="2"/>
  <c r="AU45" i="2"/>
  <c r="AU47" i="2"/>
  <c r="AI37" i="3"/>
  <c r="AI35" i="3"/>
  <c r="AI41" i="3" s="1"/>
  <c r="L42" i="2"/>
  <c r="L41" i="2"/>
  <c r="L43" i="2"/>
  <c r="P42" i="2"/>
  <c r="N41" i="2"/>
  <c r="M43" i="2"/>
  <c r="M42" i="2"/>
  <c r="M41" i="2"/>
  <c r="AJ32" i="3"/>
  <c r="AJ35" i="3" s="1"/>
  <c r="AB43" i="2"/>
  <c r="AB41" i="2"/>
  <c r="AF42" i="2"/>
  <c r="DB25" i="2"/>
  <c r="DB26" i="2" s="1"/>
  <c r="EN147" i="2"/>
  <c r="DB22" i="2"/>
  <c r="BG225" i="2"/>
  <c r="EN146" i="2"/>
  <c r="BJ54" i="2"/>
  <c r="EG223" i="2"/>
  <c r="ED52" i="2"/>
  <c r="AP54" i="2"/>
  <c r="CA149" i="2"/>
  <c r="CA150" i="2"/>
  <c r="EM148" i="2"/>
  <c r="CE150" i="2"/>
  <c r="CB149" i="2"/>
  <c r="CF150" i="2"/>
  <c r="CC149" i="2"/>
  <c r="CB150" i="2"/>
  <c r="BG224" i="2"/>
  <c r="BF225" i="2"/>
  <c r="EH223" i="2"/>
  <c r="EH113" i="2"/>
  <c r="DE39" i="2"/>
  <c r="ET39" i="2" s="1"/>
  <c r="EL134" i="2"/>
  <c r="EL135" i="2"/>
  <c r="BC248" i="3"/>
  <c r="BC173" i="3"/>
  <c r="AM320" i="3"/>
  <c r="AM322" i="3" s="1"/>
  <c r="AM113" i="3"/>
  <c r="AM129" i="3" s="1"/>
  <c r="AM58" i="3"/>
  <c r="P55" i="2" s="1"/>
  <c r="N57" i="2"/>
  <c r="AN61" i="2"/>
  <c r="W54" i="2"/>
  <c r="W53" i="2"/>
  <c r="BA320" i="3"/>
  <c r="BA322" i="3" s="1"/>
  <c r="BA113" i="3"/>
  <c r="BA129" i="3" s="1"/>
  <c r="BA58" i="3"/>
  <c r="AA55" i="2" s="1"/>
  <c r="T37" i="3"/>
  <c r="U37" i="3" s="1"/>
  <c r="T35" i="3"/>
  <c r="T327" i="3" s="1"/>
  <c r="T328" i="3" s="1"/>
  <c r="DC132" i="2"/>
  <c r="DC81" i="2"/>
  <c r="DD79" i="2"/>
  <c r="DJ325" i="3"/>
  <c r="BX49" i="2"/>
  <c r="J51" i="2"/>
  <c r="J50" i="2"/>
  <c r="AZ53" i="3"/>
  <c r="Z52" i="2" s="1"/>
  <c r="AA53" i="2" s="1"/>
  <c r="AZ44" i="3"/>
  <c r="AZ54" i="3"/>
  <c r="BC338" i="3"/>
  <c r="BC241" i="3"/>
  <c r="BC251" i="3" s="1"/>
  <c r="BC167" i="3"/>
  <c r="CI84" i="3"/>
  <c r="CI86" i="3" s="1"/>
  <c r="CJ82" i="3"/>
  <c r="AK53" i="2"/>
  <c r="BS146" i="3"/>
  <c r="CA58" i="4"/>
  <c r="BZ60" i="4"/>
  <c r="EO47" i="2"/>
  <c r="EO46" i="2"/>
  <c r="BF320" i="3"/>
  <c r="BF322" i="3" s="1"/>
  <c r="BF113" i="3"/>
  <c r="BF129" i="3" s="1"/>
  <c r="BF58" i="3"/>
  <c r="AE55" i="2" s="1"/>
  <c r="AI57" i="2" s="1"/>
  <c r="AO61" i="5"/>
  <c r="AO62" i="5"/>
  <c r="BK156" i="3"/>
  <c r="AI58" i="2" s="1"/>
  <c r="BK150" i="3"/>
  <c r="BO98" i="4"/>
  <c r="BO99" i="4"/>
  <c r="BO43" i="4"/>
  <c r="BO34" i="4"/>
  <c r="Y42" i="2"/>
  <c r="Y41" i="2"/>
  <c r="Y43" i="2"/>
  <c r="DM129" i="3"/>
  <c r="BC104" i="3"/>
  <c r="BD100" i="3"/>
  <c r="CX63" i="3"/>
  <c r="CY63" i="3" s="1"/>
  <c r="CZ63" i="3" s="1"/>
  <c r="DA63" i="3" s="1"/>
  <c r="CW63" i="3"/>
  <c r="EQ129" i="3"/>
  <c r="FB26" i="3"/>
  <c r="AR72" i="5"/>
  <c r="DB30" i="5"/>
  <c r="EI128" i="2"/>
  <c r="AU325" i="3"/>
  <c r="V49" i="2"/>
  <c r="AG41" i="2"/>
  <c r="AG43" i="2"/>
  <c r="AG42" i="2"/>
  <c r="AK42" i="2"/>
  <c r="AH41" i="2"/>
  <c r="DX325" i="3"/>
  <c r="CI49" i="2"/>
  <c r="CJ50" i="2" s="1"/>
  <c r="BG53" i="5"/>
  <c r="BG52" i="5"/>
  <c r="BG51" i="5"/>
  <c r="BG50" i="5"/>
  <c r="CG313" i="3"/>
  <c r="CF312" i="3"/>
  <c r="AQ65" i="5"/>
  <c r="AQ64" i="5"/>
  <c r="BE53" i="2"/>
  <c r="BY64" i="4"/>
  <c r="BY65" i="4"/>
  <c r="AQ54" i="2"/>
  <c r="AQ53" i="2"/>
  <c r="EJ325" i="3"/>
  <c r="CS49" i="2"/>
  <c r="BI56" i="3"/>
  <c r="BI24" i="3"/>
  <c r="BI23" i="3"/>
  <c r="BN24" i="3"/>
  <c r="BZ49" i="4"/>
  <c r="V320" i="3"/>
  <c r="V331" i="3"/>
  <c r="V321" i="3" s="1"/>
  <c r="V113" i="3"/>
  <c r="Z44" i="3"/>
  <c r="Z58" i="3" s="1"/>
  <c r="AA129" i="3"/>
  <c r="BZ50" i="2"/>
  <c r="BZ51" i="2"/>
  <c r="P53" i="3"/>
  <c r="P54" i="3"/>
  <c r="AF129" i="3"/>
  <c r="CG86" i="3"/>
  <c r="CH86" i="3" s="1"/>
  <c r="CH84" i="3"/>
  <c r="BM325" i="3"/>
  <c r="AK49" i="2"/>
  <c r="DF34" i="2"/>
  <c r="DF39" i="2" s="1"/>
  <c r="DG29" i="2"/>
  <c r="DA150" i="2"/>
  <c r="DA149" i="2"/>
  <c r="CG105" i="2"/>
  <c r="CG106" i="2"/>
  <c r="CG104" i="2"/>
  <c r="CK105" i="2"/>
  <c r="BU142" i="3"/>
  <c r="BT146" i="3"/>
  <c r="CO156" i="3"/>
  <c r="BG58" i="2" s="1"/>
  <c r="CO150" i="3"/>
  <c r="T43" i="2"/>
  <c r="T42" i="2"/>
  <c r="T41" i="2"/>
  <c r="DX40" i="2"/>
  <c r="AS54" i="5"/>
  <c r="AS13" i="5"/>
  <c r="AT11" i="5"/>
  <c r="AT30" i="5" s="1"/>
  <c r="AS8" i="5"/>
  <c r="AE54" i="2"/>
  <c r="BF18" i="4"/>
  <c r="BF16" i="4"/>
  <c r="BF17" i="4"/>
  <c r="BJ17" i="4"/>
  <c r="CY90" i="5"/>
  <c r="BI30" i="5"/>
  <c r="BI72" i="5" s="1"/>
  <c r="DF72" i="5" s="1"/>
  <c r="BI8" i="5"/>
  <c r="DF8" i="5" s="1"/>
  <c r="DF10" i="5" s="1"/>
  <c r="BI54" i="5"/>
  <c r="DF54" i="5" s="1"/>
  <c r="DF56" i="5" s="1"/>
  <c r="BJ11" i="5"/>
  <c r="DF325" i="3"/>
  <c r="BU49" i="2"/>
  <c r="BF64" i="5"/>
  <c r="BF65" i="5"/>
  <c r="AS61" i="2"/>
  <c r="CI54" i="2"/>
  <c r="CM54" i="2"/>
  <c r="DV113" i="3"/>
  <c r="DR129" i="3"/>
  <c r="EF19" i="2"/>
  <c r="EF18" i="2"/>
  <c r="EF17" i="2"/>
  <c r="EG17" i="2"/>
  <c r="EM44" i="2"/>
  <c r="EM43" i="2"/>
  <c r="EM42" i="2"/>
  <c r="EN42" i="2"/>
  <c r="BR305" i="3"/>
  <c r="BQ308" i="3"/>
  <c r="EH155" i="2"/>
  <c r="EH154" i="2"/>
  <c r="Q330" i="3"/>
  <c r="Q52" i="3" s="1"/>
  <c r="Q51" i="3"/>
  <c r="Q54" i="3"/>
  <c r="Q44" i="3"/>
  <c r="CO61" i="2"/>
  <c r="DE325" i="3"/>
  <c r="BT49" i="2"/>
  <c r="CX325" i="3"/>
  <c r="DB54" i="3"/>
  <c r="EJ49" i="2" s="1"/>
  <c r="BN49" i="2"/>
  <c r="BO50" i="2" s="1"/>
  <c r="FA57" i="3"/>
  <c r="EZ57" i="3"/>
  <c r="BQ56" i="2"/>
  <c r="AO16" i="5"/>
  <c r="AO15" i="5"/>
  <c r="DI18" i="4"/>
  <c r="DI17" i="4"/>
  <c r="AN88" i="5"/>
  <c r="AN84" i="5"/>
  <c r="AN85" i="5"/>
  <c r="O156" i="3"/>
  <c r="O150" i="3"/>
  <c r="CL53" i="2"/>
  <c r="CM53" i="2"/>
  <c r="X322" i="3"/>
  <c r="U42" i="2"/>
  <c r="U43" i="2"/>
  <c r="U41" i="2"/>
  <c r="V41" i="2"/>
  <c r="BW52" i="2"/>
  <c r="DL53" i="3"/>
  <c r="EL52" i="2" s="1"/>
  <c r="ER134" i="2"/>
  <c r="ER135" i="2"/>
  <c r="DI63" i="4"/>
  <c r="ET46" i="3"/>
  <c r="ES144" i="3"/>
  <c r="ES146" i="3" s="1"/>
  <c r="EN121" i="2"/>
  <c r="EN110" i="2"/>
  <c r="EN86" i="2"/>
  <c r="EN78" i="2"/>
  <c r="EN98" i="2"/>
  <c r="EN102" i="2"/>
  <c r="EN82" i="2"/>
  <c r="EN94" i="2"/>
  <c r="EN90" i="2"/>
  <c r="EX42" i="3"/>
  <c r="EX41" i="3" s="1"/>
  <c r="DE20" i="2"/>
  <c r="BE62" i="5"/>
  <c r="BE61" i="5"/>
  <c r="BL114" i="2"/>
  <c r="BL113" i="2"/>
  <c r="BL112" i="2"/>
  <c r="AV325" i="3"/>
  <c r="W49" i="2"/>
  <c r="DC325" i="3"/>
  <c r="DG54" i="3"/>
  <c r="EK49" i="2" s="1"/>
  <c r="BR49" i="2"/>
  <c r="BG15" i="4"/>
  <c r="CI90" i="2"/>
  <c r="CI136" i="2"/>
  <c r="CM89" i="2"/>
  <c r="CI88" i="2"/>
  <c r="CI89" i="2"/>
  <c r="I53" i="2"/>
  <c r="DU52" i="2"/>
  <c r="DU54" i="2" s="1"/>
  <c r="I54" i="2"/>
  <c r="DE91" i="2"/>
  <c r="DD93" i="2"/>
  <c r="DD140" i="2"/>
  <c r="BU54" i="2"/>
  <c r="BU53" i="2"/>
  <c r="BY54" i="2"/>
  <c r="ED325" i="3"/>
  <c r="CN49" i="2"/>
  <c r="CR51" i="2" s="1"/>
  <c r="CA17" i="6"/>
  <c r="CA8" i="6" s="1"/>
  <c r="CA7" i="6"/>
  <c r="AJ54" i="2"/>
  <c r="AJ53" i="2"/>
  <c r="EF54" i="3"/>
  <c r="EP49" i="2" s="1"/>
  <c r="BV113" i="3"/>
  <c r="BV129" i="3" s="1"/>
  <c r="BV156" i="3" s="1"/>
  <c r="AR58" i="2" s="1"/>
  <c r="AS59" i="2" s="1"/>
  <c r="BV320" i="3"/>
  <c r="BV322" i="3" s="1"/>
  <c r="BV58" i="3"/>
  <c r="AR55" i="2" s="1"/>
  <c r="AS56" i="2" s="1"/>
  <c r="N51" i="2"/>
  <c r="BP312" i="3"/>
  <c r="BQ313" i="3"/>
  <c r="AO45" i="2"/>
  <c r="AO47" i="2"/>
  <c r="AS46" i="2"/>
  <c r="AP45" i="2"/>
  <c r="BI54" i="2"/>
  <c r="BI53" i="2"/>
  <c r="CW54" i="2"/>
  <c r="CW53" i="2"/>
  <c r="N322" i="3"/>
  <c r="AC330" i="3"/>
  <c r="AC52" i="3" s="1"/>
  <c r="AC51" i="3"/>
  <c r="AC54" i="3"/>
  <c r="H49" i="2" s="1"/>
  <c r="I50" i="2" s="1"/>
  <c r="AC44" i="3"/>
  <c r="BZ57" i="2"/>
  <c r="BZ56" i="2"/>
  <c r="CD51" i="2"/>
  <c r="CP320" i="3"/>
  <c r="CP322" i="3" s="1"/>
  <c r="CP113" i="3"/>
  <c r="CP129" i="3" s="1"/>
  <c r="CP58" i="3"/>
  <c r="BH55" i="2" s="1"/>
  <c r="BL57" i="2" s="1"/>
  <c r="BD58" i="5"/>
  <c r="CE318" i="3"/>
  <c r="CL113" i="3"/>
  <c r="CL129" i="3" s="1"/>
  <c r="CL58" i="3"/>
  <c r="BE55" i="2" s="1"/>
  <c r="CL320" i="3"/>
  <c r="CL322" i="3" s="1"/>
  <c r="Z41" i="2"/>
  <c r="BX40" i="4"/>
  <c r="AM89" i="5"/>
  <c r="AM90" i="5"/>
  <c r="CA62" i="4"/>
  <c r="BZ63" i="4"/>
  <c r="BU320" i="3"/>
  <c r="BU322" i="3" s="1"/>
  <c r="BU113" i="3"/>
  <c r="BU129" i="3" s="1"/>
  <c r="BU156" i="3" s="1"/>
  <c r="AQ58" i="2" s="1"/>
  <c r="BU58" i="3"/>
  <c r="AQ55" i="2" s="1"/>
  <c r="CD54" i="2"/>
  <c r="CD53" i="2"/>
  <c r="CE53" i="2"/>
  <c r="EJ320" i="3"/>
  <c r="EJ322" i="3" s="1"/>
  <c r="EJ113" i="3"/>
  <c r="EJ129" i="3" s="1"/>
  <c r="EJ58" i="3"/>
  <c r="CS55" i="2" s="1"/>
  <c r="CK113" i="3"/>
  <c r="CK129" i="3" s="1"/>
  <c r="CK58" i="3"/>
  <c r="BD55" i="2" s="1"/>
  <c r="CK320" i="3"/>
  <c r="CK322" i="3" s="1"/>
  <c r="AQ51" i="5"/>
  <c r="AQ50" i="5"/>
  <c r="AQ53" i="5"/>
  <c r="AQ52" i="5"/>
  <c r="BH35" i="3"/>
  <c r="BH37" i="3"/>
  <c r="BI37" i="3" s="1"/>
  <c r="BD226" i="2"/>
  <c r="BD224" i="2"/>
  <c r="CS129" i="3"/>
  <c r="CZ59" i="5"/>
  <c r="AZ42" i="2"/>
  <c r="AZ41" i="2"/>
  <c r="AZ43" i="2"/>
  <c r="AZ44" i="2"/>
  <c r="BD42" i="2"/>
  <c r="BV53" i="2"/>
  <c r="CD325" i="3"/>
  <c r="AX49" i="2"/>
  <c r="BB51" i="2" s="1"/>
  <c r="CM56" i="2"/>
  <c r="AM51" i="2"/>
  <c r="CC53" i="2"/>
  <c r="CC54" i="2"/>
  <c r="DB148" i="2"/>
  <c r="DC99" i="2"/>
  <c r="DB101" i="2"/>
  <c r="DG33" i="4"/>
  <c r="DA19" i="5"/>
  <c r="DA20" i="5"/>
  <c r="DH82" i="3"/>
  <c r="DH84" i="3" s="1"/>
  <c r="DG82" i="3"/>
  <c r="DF84" i="3"/>
  <c r="EV118" i="3"/>
  <c r="AE35" i="3"/>
  <c r="CG317" i="3"/>
  <c r="CF316" i="3"/>
  <c r="DW96" i="3"/>
  <c r="DU106" i="3"/>
  <c r="DV96" i="3"/>
  <c r="DV106" i="3" s="1"/>
  <c r="BH157" i="2"/>
  <c r="BH159" i="2"/>
  <c r="BH158" i="2"/>
  <c r="EA40" i="2"/>
  <c r="BF325" i="3"/>
  <c r="AE49" i="2"/>
  <c r="AI51" i="2" s="1"/>
  <c r="EG325" i="3"/>
  <c r="EK54" i="3"/>
  <c r="EQ49" i="2" s="1"/>
  <c r="CP49" i="2"/>
  <c r="BE54" i="3"/>
  <c r="BE53" i="3"/>
  <c r="AD52" i="2" s="1"/>
  <c r="AE53" i="2" s="1"/>
  <c r="BE44" i="3"/>
  <c r="BS54" i="3"/>
  <c r="AP81" i="5"/>
  <c r="AQ80" i="5"/>
  <c r="AP82" i="5"/>
  <c r="CI121" i="2"/>
  <c r="CI86" i="2"/>
  <c r="CI82" i="2"/>
  <c r="CI122" i="2"/>
  <c r="CI98" i="2"/>
  <c r="CI110" i="2"/>
  <c r="CI120" i="2"/>
  <c r="CI78" i="2"/>
  <c r="CI102" i="2"/>
  <c r="CM121" i="2"/>
  <c r="CC73" i="4"/>
  <c r="BL61" i="2"/>
  <c r="BP60" i="2"/>
  <c r="BL325" i="3"/>
  <c r="AJ49" i="2"/>
  <c r="S56" i="2"/>
  <c r="DE320" i="3"/>
  <c r="DE322" i="3" s="1"/>
  <c r="DE58" i="3"/>
  <c r="BT55" i="2" s="1"/>
  <c r="DE113" i="3"/>
  <c r="DE129" i="3" s="1"/>
  <c r="AL54" i="3"/>
  <c r="AL53" i="3"/>
  <c r="O52" i="2" s="1"/>
  <c r="AL44" i="3"/>
  <c r="BY325" i="3"/>
  <c r="AT49" i="2"/>
  <c r="CC81" i="4"/>
  <c r="CD80" i="4"/>
  <c r="AR37" i="3"/>
  <c r="AR35" i="3"/>
  <c r="AR41" i="3" s="1"/>
  <c r="AT32" i="3"/>
  <c r="AT35" i="3" s="1"/>
  <c r="AR49" i="5"/>
  <c r="AR27" i="5"/>
  <c r="AR9" i="5"/>
  <c r="AR10" i="5"/>
  <c r="BP17" i="5"/>
  <c r="BO19" i="5"/>
  <c r="AK129" i="3"/>
  <c r="BH40" i="5"/>
  <c r="BH41" i="5"/>
  <c r="BI38" i="5"/>
  <c r="BH20" i="5"/>
  <c r="R57" i="2"/>
  <c r="BP57" i="2"/>
  <c r="BP56" i="2"/>
  <c r="CD72" i="4"/>
  <c r="CE71" i="4"/>
  <c r="DF320" i="3"/>
  <c r="DF322" i="3" s="1"/>
  <c r="DF58" i="3"/>
  <c r="BU55" i="2" s="1"/>
  <c r="DF113" i="3"/>
  <c r="DF129" i="3" s="1"/>
  <c r="AL13" i="6"/>
  <c r="AM11" i="6"/>
  <c r="BV325" i="3"/>
  <c r="AR49" i="2"/>
  <c r="ES150" i="2"/>
  <c r="ES151" i="2"/>
  <c r="EN325" i="3"/>
  <c r="CV49" i="2"/>
  <c r="BD74" i="3"/>
  <c r="BC86" i="3"/>
  <c r="BD86" i="3" s="1"/>
  <c r="AI50" i="2"/>
  <c r="AT22" i="5"/>
  <c r="AU21" i="5"/>
  <c r="AT23" i="5"/>
  <c r="BP50" i="2"/>
  <c r="BP51" i="2"/>
  <c r="AN15" i="5"/>
  <c r="AN16" i="5"/>
  <c r="I51" i="2"/>
  <c r="C61" i="2"/>
  <c r="CX53" i="2"/>
  <c r="CX54" i="2"/>
  <c r="ED320" i="3"/>
  <c r="ED322" i="3" s="1"/>
  <c r="ED113" i="3"/>
  <c r="ED129" i="3" s="1"/>
  <c r="ED58" i="3"/>
  <c r="CN55" i="2" s="1"/>
  <c r="AM5" i="6"/>
  <c r="AL17" i="6"/>
  <c r="AL14" i="6" s="1"/>
  <c r="AL7" i="6"/>
  <c r="CI129" i="3"/>
  <c r="CH24" i="3"/>
  <c r="CH23" i="3"/>
  <c r="CH56" i="3"/>
  <c r="CM24" i="3"/>
  <c r="AR53" i="2"/>
  <c r="AR54" i="2"/>
  <c r="BF66" i="5"/>
  <c r="BF70" i="5"/>
  <c r="BF71" i="5"/>
  <c r="BF60" i="5"/>
  <c r="AT152" i="3"/>
  <c r="CG24" i="3"/>
  <c r="CG23" i="3"/>
  <c r="CG32" i="3"/>
  <c r="CH32" i="3" s="1"/>
  <c r="CH35" i="3" s="1"/>
  <c r="CG56" i="3"/>
  <c r="CI24" i="3"/>
  <c r="CQ320" i="3"/>
  <c r="CQ322" i="3" s="1"/>
  <c r="CQ113" i="3"/>
  <c r="CQ129" i="3" s="1"/>
  <c r="CQ58" i="3"/>
  <c r="BI55" i="2" s="1"/>
  <c r="BJ56" i="2" s="1"/>
  <c r="EO320" i="3"/>
  <c r="EO322" i="3" s="1"/>
  <c r="EO113" i="3"/>
  <c r="EO129" i="3" s="1"/>
  <c r="EO58" i="3"/>
  <c r="CW55" i="2" s="1"/>
  <c r="CX56" i="2" s="1"/>
  <c r="DP93" i="3"/>
  <c r="DQ88" i="3"/>
  <c r="DR88" i="3"/>
  <c r="AN67" i="5"/>
  <c r="AN68" i="5"/>
  <c r="AN57" i="5"/>
  <c r="DA66" i="5"/>
  <c r="DS81" i="3"/>
  <c r="DR84" i="3"/>
  <c r="DR86" i="3" s="1"/>
  <c r="EP46" i="2"/>
  <c r="CF61" i="2"/>
  <c r="CF59" i="2"/>
  <c r="BF96" i="3"/>
  <c r="BE100" i="3"/>
  <c r="BE104" i="3" s="1"/>
  <c r="AW57" i="2"/>
  <c r="CZ85" i="2"/>
  <c r="CZ84" i="2"/>
  <c r="BH224" i="2"/>
  <c r="BH225" i="2"/>
  <c r="BH226" i="2"/>
  <c r="BL225" i="2"/>
  <c r="BY113" i="3"/>
  <c r="BY129" i="3" s="1"/>
  <c r="BY320" i="3"/>
  <c r="BY322" i="3" s="1"/>
  <c r="BY58" i="3"/>
  <c r="AT55" i="2" s="1"/>
  <c r="BH54" i="2"/>
  <c r="BH53" i="2"/>
  <c r="BD24" i="3"/>
  <c r="BD23" i="3"/>
  <c r="BD56" i="3"/>
  <c r="CQ54" i="2"/>
  <c r="CL325" i="3"/>
  <c r="BE49" i="2"/>
  <c r="BG51" i="2"/>
  <c r="BU325" i="3"/>
  <c r="AQ49" i="2"/>
  <c r="CS54" i="2"/>
  <c r="CS53" i="2"/>
  <c r="CK325" i="3"/>
  <c r="BD49" i="2"/>
  <c r="J53" i="2"/>
  <c r="BK50" i="2"/>
  <c r="BK51" i="2"/>
  <c r="AN50" i="2"/>
  <c r="BL56" i="2"/>
  <c r="EB129" i="3"/>
  <c r="R51" i="2"/>
  <c r="DP113" i="3"/>
  <c r="DP129" i="3" s="1"/>
  <c r="DP58" i="3"/>
  <c r="CC55" i="2" s="1"/>
  <c r="CG57" i="2" s="1"/>
  <c r="DP320" i="3"/>
  <c r="DP322" i="3" s="1"/>
  <c r="BP37" i="4"/>
  <c r="BP38" i="4"/>
  <c r="DI60" i="4"/>
  <c r="EY11" i="3"/>
  <c r="EY114" i="3" s="1"/>
  <c r="DE13" i="2"/>
  <c r="DE12" i="2"/>
  <c r="DF11" i="2"/>
  <c r="AB330" i="3"/>
  <c r="AB52" i="3" s="1"/>
  <c r="AB44" i="3"/>
  <c r="AB51" i="3"/>
  <c r="AB54" i="3"/>
  <c r="G49" i="2" s="1"/>
  <c r="AE37" i="3"/>
  <c r="AX244" i="3"/>
  <c r="BI224" i="2"/>
  <c r="BE15" i="5"/>
  <c r="BE16" i="5"/>
  <c r="BU45" i="4"/>
  <c r="BV44" i="4"/>
  <c r="BK155" i="2"/>
  <c r="BJ152" i="2"/>
  <c r="CN113" i="3"/>
  <c r="CN320" i="3"/>
  <c r="CN322" i="3" s="1"/>
  <c r="CR44" i="3"/>
  <c r="CR58" i="3" s="1"/>
  <c r="CN58" i="3"/>
  <c r="BF55" i="2" s="1"/>
  <c r="CX320" i="3"/>
  <c r="CX322" i="3" s="1"/>
  <c r="CX58" i="3"/>
  <c r="BN55" i="2" s="1"/>
  <c r="BO56" i="2" s="1"/>
  <c r="CX113" i="3"/>
  <c r="DB44" i="3"/>
  <c r="DB58" i="3" s="1"/>
  <c r="M320" i="3"/>
  <c r="M113" i="3"/>
  <c r="M129" i="3" s="1"/>
  <c r="M331" i="3"/>
  <c r="M321" i="3" s="1"/>
  <c r="BJ225" i="2"/>
  <c r="BJ226" i="2"/>
  <c r="EI223" i="2"/>
  <c r="BJ224" i="2"/>
  <c r="BN225" i="2"/>
  <c r="BO57" i="2"/>
  <c r="BK57" i="2"/>
  <c r="BK56" i="2"/>
  <c r="X42" i="2"/>
  <c r="X41" i="2"/>
  <c r="X43" i="2"/>
  <c r="AB42" i="2"/>
  <c r="DY40" i="2"/>
  <c r="BC35" i="3"/>
  <c r="BC37" i="3"/>
  <c r="CV320" i="3"/>
  <c r="CV322" i="3" s="1"/>
  <c r="CV58" i="3"/>
  <c r="BM55" i="2" s="1"/>
  <c r="AC42" i="2"/>
  <c r="AC41" i="2"/>
  <c r="AC43" i="2"/>
  <c r="AI56" i="2"/>
  <c r="DW325" i="3"/>
  <c r="EA54" i="3"/>
  <c r="EO49" i="2" s="1"/>
  <c r="EO51" i="2" s="1"/>
  <c r="CH49" i="2"/>
  <c r="CL51" i="2" s="1"/>
  <c r="CG314" i="3"/>
  <c r="CI315" i="3"/>
  <c r="BM222" i="2"/>
  <c r="BM221" i="2"/>
  <c r="BM227" i="2"/>
  <c r="BM220" i="2"/>
  <c r="BM111" i="2"/>
  <c r="AU113" i="3"/>
  <c r="AU58" i="3"/>
  <c r="V55" i="2" s="1"/>
  <c r="AU320" i="3"/>
  <c r="AU322" i="3" s="1"/>
  <c r="BN100" i="4"/>
  <c r="BN96" i="4"/>
  <c r="BN95" i="4"/>
  <c r="EA18" i="2"/>
  <c r="EA17" i="2"/>
  <c r="EB17" i="2"/>
  <c r="ES134" i="2"/>
  <c r="ES135" i="2"/>
  <c r="X156" i="3"/>
  <c r="D58" i="2" s="1"/>
  <c r="X150" i="3"/>
  <c r="CY156" i="3"/>
  <c r="BO58" i="2" s="1"/>
  <c r="CY150" i="3"/>
  <c r="AD331" i="3"/>
  <c r="AD321" i="3" s="1"/>
  <c r="AD320" i="3"/>
  <c r="BM54" i="2"/>
  <c r="BM53" i="2"/>
  <c r="AR244" i="3"/>
  <c r="BL320" i="3"/>
  <c r="BL322" i="3" s="1"/>
  <c r="BL113" i="3"/>
  <c r="BL58" i="3"/>
  <c r="AJ55" i="2" s="1"/>
  <c r="AN57" i="2" s="1"/>
  <c r="AP25" i="5"/>
  <c r="AP26" i="5"/>
  <c r="AP14" i="5"/>
  <c r="AQ129" i="3"/>
  <c r="DF11" i="5"/>
  <c r="CU52" i="2"/>
  <c r="CV53" i="2" s="1"/>
  <c r="EP53" i="3"/>
  <c r="ER52" i="2" s="1"/>
  <c r="AW244" i="3"/>
  <c r="DA136" i="2"/>
  <c r="DA88" i="2"/>
  <c r="DA89" i="2"/>
  <c r="DA83" i="2"/>
  <c r="ES87" i="2"/>
  <c r="BG69" i="5"/>
  <c r="BG42" i="5"/>
  <c r="BG43" i="5"/>
  <c r="BG44" i="5"/>
  <c r="BO320" i="3"/>
  <c r="BO322" i="3" s="1"/>
  <c r="BO58" i="3"/>
  <c r="AL55" i="2" s="1"/>
  <c r="AP57" i="2" s="1"/>
  <c r="BO113" i="3"/>
  <c r="EW118" i="3"/>
  <c r="EX17" i="3"/>
  <c r="DD37" i="2"/>
  <c r="DE35" i="2"/>
  <c r="BQ50" i="2"/>
  <c r="CH138" i="2"/>
  <c r="CH137" i="2"/>
  <c r="CL138" i="2"/>
  <c r="EM320" i="3"/>
  <c r="EM322" i="3" s="1"/>
  <c r="EM113" i="3"/>
  <c r="EM58" i="3"/>
  <c r="CU55" i="2" s="1"/>
  <c r="EP44" i="3"/>
  <c r="CK54" i="2"/>
  <c r="CK53" i="2"/>
  <c r="CO54" i="2"/>
  <c r="EG113" i="3"/>
  <c r="EK44" i="3"/>
  <c r="EG58" i="3"/>
  <c r="CP55" i="2" s="1"/>
  <c r="EG320" i="3"/>
  <c r="EG322" i="3" s="1"/>
  <c r="DY156" i="3"/>
  <c r="CJ58" i="2" s="1"/>
  <c r="CJ61" i="2" s="1"/>
  <c r="DY150" i="3"/>
  <c r="CZ90" i="5"/>
  <c r="BL50" i="2"/>
  <c r="BH10" i="5"/>
  <c r="BH9" i="5"/>
  <c r="BH49" i="5"/>
  <c r="BH27" i="5"/>
  <c r="BS26" i="4"/>
  <c r="AN37" i="3"/>
  <c r="AO37" i="3" s="1"/>
  <c r="AN35" i="3"/>
  <c r="AN41" i="3" s="1"/>
  <c r="AO41" i="3" s="1"/>
  <c r="CS91" i="3"/>
  <c r="CR91" i="3"/>
  <c r="AL53" i="2"/>
  <c r="AL54" i="2"/>
  <c r="CB54" i="2"/>
  <c r="CF54" i="2"/>
  <c r="CS110" i="2"/>
  <c r="CT107" i="2"/>
  <c r="ER146" i="3"/>
  <c r="CR112" i="2"/>
  <c r="CS111" i="2"/>
  <c r="EQ111" i="2" s="1"/>
  <c r="CR113" i="2"/>
  <c r="CR103" i="2"/>
  <c r="CR114" i="2"/>
  <c r="BE67" i="5"/>
  <c r="BE57" i="5"/>
  <c r="BE68" i="5"/>
  <c r="DE66" i="5"/>
  <c r="BS54" i="2"/>
  <c r="CE325" i="3"/>
  <c r="AY49" i="2"/>
  <c r="CC97" i="3"/>
  <c r="CD97" i="3"/>
  <c r="CE97" i="3" s="1"/>
  <c r="CF97" i="3" s="1"/>
  <c r="CG97" i="3" s="1"/>
  <c r="CI94" i="2"/>
  <c r="BZ54" i="2"/>
  <c r="BZ53" i="2"/>
  <c r="AU54" i="2"/>
  <c r="DC142" i="2"/>
  <c r="DC141" i="2"/>
  <c r="CN53" i="2"/>
  <c r="CN54" i="2"/>
  <c r="CO53" i="2"/>
  <c r="Q43" i="2"/>
  <c r="Q42" i="2"/>
  <c r="Q41" i="2"/>
  <c r="R41" i="2"/>
  <c r="CF37" i="3"/>
  <c r="CF35" i="3"/>
  <c r="AP70" i="5"/>
  <c r="AP71" i="5"/>
  <c r="AP60" i="5"/>
  <c r="AP66" i="5"/>
  <c r="BQ150" i="3"/>
  <c r="CJ51" i="2"/>
  <c r="FC91" i="3"/>
  <c r="EC42" i="2"/>
  <c r="EC43" i="2"/>
  <c r="ED42" i="2"/>
  <c r="BE226" i="2"/>
  <c r="BE224" i="2"/>
  <c r="BF224" i="2"/>
  <c r="EB52" i="2"/>
  <c r="CQ325" i="3"/>
  <c r="BI49" i="2"/>
  <c r="BJ50" i="2" s="1"/>
  <c r="EA53" i="3"/>
  <c r="EO52" i="2" s="1"/>
  <c r="EO54" i="2" s="1"/>
  <c r="CH52" i="2"/>
  <c r="CI53" i="2" s="1"/>
  <c r="DI49" i="4"/>
  <c r="EO325" i="3"/>
  <c r="CW49" i="2"/>
  <c r="AO32" i="3"/>
  <c r="AO35" i="3" s="1"/>
  <c r="N156" i="3"/>
  <c r="N150" i="3"/>
  <c r="BO29" i="4"/>
  <c r="BO28" i="4"/>
  <c r="BO94" i="4"/>
  <c r="DQ84" i="3"/>
  <c r="DP86" i="3"/>
  <c r="DQ86" i="3" s="1"/>
  <c r="S50" i="2"/>
  <c r="BQ315" i="3"/>
  <c r="BP314" i="3"/>
  <c r="DJ72" i="4"/>
  <c r="CB156" i="3"/>
  <c r="AW58" i="2" s="1"/>
  <c r="CB150" i="3"/>
  <c r="CC35" i="5"/>
  <c r="DK35" i="5" s="1"/>
  <c r="CB37" i="5"/>
  <c r="CP325" i="3"/>
  <c r="BH49" i="2"/>
  <c r="BL51" i="2" s="1"/>
  <c r="BK226" i="2"/>
  <c r="BK224" i="2"/>
  <c r="BK225" i="2"/>
  <c r="BL224" i="2"/>
  <c r="BO225" i="2"/>
  <c r="BG28" i="5"/>
  <c r="BG29" i="5"/>
  <c r="BG24" i="5"/>
  <c r="BX54" i="2"/>
  <c r="BY53" i="2"/>
  <c r="EH320" i="3"/>
  <c r="EH322" i="3" s="1"/>
  <c r="EH113" i="3"/>
  <c r="EH129" i="3" s="1"/>
  <c r="EH58" i="3"/>
  <c r="CQ55" i="2" s="1"/>
  <c r="CR56" i="2" s="1"/>
  <c r="AF53" i="2"/>
  <c r="DZ40" i="2"/>
  <c r="BD32" i="3"/>
  <c r="BD35" i="3" s="1"/>
  <c r="BD53" i="2"/>
  <c r="Z54" i="3"/>
  <c r="Z53" i="3"/>
  <c r="EN114" i="2"/>
  <c r="DV58" i="3"/>
  <c r="FO57" i="3"/>
  <c r="CD113" i="3"/>
  <c r="CD320" i="3"/>
  <c r="CD322" i="3" s="1"/>
  <c r="CD58" i="3"/>
  <c r="AX55" i="2" s="1"/>
  <c r="BB57" i="2" s="1"/>
  <c r="CG56" i="2"/>
  <c r="DP325" i="3"/>
  <c r="CC49" i="2"/>
  <c r="CD50" i="2" s="1"/>
  <c r="BR31" i="4"/>
  <c r="BQ36" i="4"/>
  <c r="CH112" i="2"/>
  <c r="CH103" i="2"/>
  <c r="CH114" i="2"/>
  <c r="CH113" i="2"/>
  <c r="CI111" i="2"/>
  <c r="EO111" i="2" s="1"/>
  <c r="CL113" i="2"/>
  <c r="FJ82" i="3"/>
  <c r="FK82" i="3"/>
  <c r="FL82" i="3" s="1"/>
  <c r="FM82" i="3" s="1"/>
  <c r="FN82" i="3" s="1"/>
  <c r="FO82" i="3" s="1"/>
  <c r="CA45" i="2"/>
  <c r="CA47" i="2"/>
  <c r="CA46" i="2"/>
  <c r="CB45" i="2"/>
  <c r="CE46" i="2"/>
  <c r="DH156" i="3"/>
  <c r="DH150" i="3"/>
  <c r="EX114" i="3"/>
  <c r="AN54" i="2"/>
  <c r="BX54" i="4"/>
  <c r="BY53" i="4"/>
  <c r="BI156" i="2"/>
  <c r="BI154" i="2"/>
  <c r="BI153" i="2"/>
  <c r="BF54" i="2"/>
  <c r="EH52" i="2"/>
  <c r="BF53" i="2"/>
  <c r="BF14" i="5"/>
  <c r="BF26" i="5"/>
  <c r="BF25" i="5"/>
  <c r="EI219" i="2"/>
  <c r="EI221" i="2" s="1"/>
  <c r="AW51" i="2"/>
  <c r="BY133" i="2"/>
  <c r="BY134" i="2"/>
  <c r="DO325" i="3"/>
  <c r="CB49" i="2"/>
  <c r="CQ88" i="3"/>
  <c r="CP93" i="3"/>
  <c r="DD325" i="3"/>
  <c r="BS49" i="2"/>
  <c r="CE320" i="3"/>
  <c r="CE322" i="3" s="1"/>
  <c r="CE113" i="3"/>
  <c r="CE129" i="3" s="1"/>
  <c r="CE58" i="3"/>
  <c r="AY55" i="2" s="1"/>
  <c r="DC113" i="3"/>
  <c r="DC320" i="3"/>
  <c r="DC322" i="3" s="1"/>
  <c r="DG44" i="3"/>
  <c r="DG58" i="3" s="1"/>
  <c r="DC58" i="3"/>
  <c r="BR55" i="2" s="1"/>
  <c r="DA14" i="5"/>
  <c r="DA16" i="5" s="1"/>
  <c r="DA26" i="5"/>
  <c r="AW37" i="3"/>
  <c r="AW35" i="3"/>
  <c r="AY32" i="3"/>
  <c r="AO68" i="5"/>
  <c r="AO57" i="5"/>
  <c r="AO67" i="5"/>
  <c r="AK19" i="6"/>
  <c r="AK18" i="6"/>
  <c r="EN320" i="3"/>
  <c r="EN322" i="3" s="1"/>
  <c r="EN113" i="3"/>
  <c r="EN129" i="3" s="1"/>
  <c r="EN58" i="3"/>
  <c r="CV55" i="2" s="1"/>
  <c r="BP156" i="3"/>
  <c r="AM58" i="2" s="1"/>
  <c r="AM61" i="2" s="1"/>
  <c r="BP150" i="3"/>
  <c r="EW141" i="3"/>
  <c r="DX17" i="2"/>
  <c r="DX18" i="2"/>
  <c r="FF95" i="3"/>
  <c r="FG95" i="3" s="1"/>
  <c r="FH95" i="3" s="1"/>
  <c r="FI95" i="3" s="1"/>
  <c r="FE95" i="3"/>
  <c r="EI156" i="3"/>
  <c r="CR58" i="2" s="1"/>
  <c r="EI150" i="3"/>
  <c r="BG156" i="3"/>
  <c r="AF58" i="2" s="1"/>
  <c r="AF61" i="2" s="1"/>
  <c r="BG150" i="3"/>
  <c r="DI320" i="3"/>
  <c r="DI322" i="3" s="1"/>
  <c r="DI113" i="3"/>
  <c r="DI58" i="3"/>
  <c r="BW55" i="2" s="1"/>
  <c r="DL44" i="3"/>
  <c r="DL58" i="3" s="1"/>
  <c r="ET310" i="3"/>
  <c r="ET49" i="3"/>
  <c r="EV48" i="3"/>
  <c r="CV113" i="3"/>
  <c r="CV129" i="3" s="1"/>
  <c r="CT129" i="3"/>
  <c r="DY17" i="2"/>
  <c r="DY18" i="2"/>
  <c r="AV320" i="3"/>
  <c r="AV322" i="3" s="1"/>
  <c r="AV58" i="3"/>
  <c r="W55" i="2" s="1"/>
  <c r="AV113" i="3"/>
  <c r="AV129" i="3" s="1"/>
  <c r="CI141" i="2"/>
  <c r="CI142" i="2"/>
  <c r="CM142" i="2"/>
  <c r="CJ140" i="2"/>
  <c r="CJ93" i="2"/>
  <c r="CK91" i="2"/>
  <c r="EO91" i="2" s="1"/>
  <c r="CJ87" i="2"/>
  <c r="CJ119" i="2" s="1"/>
  <c r="CN93" i="2"/>
  <c r="AA54" i="2"/>
  <c r="CM50" i="2"/>
  <c r="AN62" i="5"/>
  <c r="AN61" i="5"/>
  <c r="DD17" i="4"/>
  <c r="DD18" i="4"/>
  <c r="DA156" i="3"/>
  <c r="BQ58" i="2" s="1"/>
  <c r="DA150" i="3"/>
  <c r="DZ320" i="3"/>
  <c r="DZ322" i="3" s="1"/>
  <c r="DZ113" i="3"/>
  <c r="DZ129" i="3" s="1"/>
  <c r="DZ58" i="3"/>
  <c r="CK55" i="2" s="1"/>
  <c r="EX19" i="3"/>
  <c r="DD21" i="2"/>
  <c r="DD32" i="2"/>
  <c r="DE30" i="2"/>
  <c r="BA19" i="2"/>
  <c r="BA18" i="2"/>
  <c r="BA40" i="2"/>
  <c r="EF40" i="2" s="1"/>
  <c r="BA17" i="2"/>
  <c r="BA16" i="2"/>
  <c r="BB16" i="2"/>
  <c r="BE17" i="2"/>
  <c r="DI325" i="3"/>
  <c r="BW49" i="2"/>
  <c r="DL54" i="3"/>
  <c r="EL49" i="2" s="1"/>
  <c r="BR42" i="3"/>
  <c r="BS42" i="3" s="1"/>
  <c r="BS53" i="3" s="1"/>
  <c r="BR44" i="3"/>
  <c r="BR54" i="3"/>
  <c r="DQ41" i="3"/>
  <c r="DB53" i="3"/>
  <c r="EJ52" i="2" s="1"/>
  <c r="BN52" i="2"/>
  <c r="DN53" i="3"/>
  <c r="DN44" i="3"/>
  <c r="DN54" i="3"/>
  <c r="DQ37" i="3"/>
  <c r="EM325" i="3"/>
  <c r="CU49" i="2"/>
  <c r="EP54" i="3"/>
  <c r="ER49" i="2" s="1"/>
  <c r="U32" i="3"/>
  <c r="U35" i="3" s="1"/>
  <c r="AM325" i="3"/>
  <c r="P49" i="2"/>
  <c r="BE74" i="3"/>
  <c r="BE86" i="3" s="1"/>
  <c r="BF63" i="3"/>
  <c r="BF74" i="3" s="1"/>
  <c r="BF86" i="3" s="1"/>
  <c r="DZ325" i="3"/>
  <c r="CK49" i="2"/>
  <c r="CL50" i="2" s="1"/>
  <c r="EK53" i="3"/>
  <c r="EQ52" i="2" s="1"/>
  <c r="CP52" i="2"/>
  <c r="CQ53" i="2" s="1"/>
  <c r="DG143" i="2"/>
  <c r="CE61" i="2"/>
  <c r="BB244" i="3"/>
  <c r="BZ18" i="4"/>
  <c r="CA15" i="4"/>
  <c r="BZ17" i="4"/>
  <c r="DB87" i="2"/>
  <c r="CJ57" i="2"/>
  <c r="AO83" i="5"/>
  <c r="AO79" i="5"/>
  <c r="AO78" i="5"/>
  <c r="AP77" i="5"/>
  <c r="DA77" i="5"/>
  <c r="DA79" i="5" s="1"/>
  <c r="BJ129" i="3"/>
  <c r="EG52" i="2"/>
  <c r="BZ132" i="2"/>
  <c r="CA135" i="2"/>
  <c r="BO325" i="3"/>
  <c r="AL49" i="2"/>
  <c r="AP51" i="2" s="1"/>
  <c r="DO113" i="3"/>
  <c r="DO129" i="3" s="1"/>
  <c r="DO320" i="3"/>
  <c r="DO322" i="3" s="1"/>
  <c r="DO58" i="3"/>
  <c r="CB55" i="2" s="1"/>
  <c r="AX34" i="3"/>
  <c r="AX37" i="3" s="1"/>
  <c r="AN56" i="2"/>
  <c r="CQ106" i="2"/>
  <c r="CQ105" i="2"/>
  <c r="BQ54" i="2"/>
  <c r="BT156" i="3"/>
  <c r="AS37" i="3"/>
  <c r="AS35" i="3"/>
  <c r="AS41" i="3" s="1"/>
  <c r="DE60" i="5"/>
  <c r="DD320" i="3"/>
  <c r="DD322" i="3" s="1"/>
  <c r="DD113" i="3"/>
  <c r="DD129" i="3" s="1"/>
  <c r="DD58" i="3"/>
  <c r="BS55" i="2" s="1"/>
  <c r="AY53" i="2"/>
  <c r="BC54" i="2"/>
  <c r="BL228" i="2"/>
  <c r="BL229" i="2" s="1"/>
  <c r="DG53" i="3"/>
  <c r="EK52" i="2" s="1"/>
  <c r="BR52" i="2"/>
  <c r="EN103" i="2"/>
  <c r="DW43" i="2"/>
  <c r="DW42" i="2"/>
  <c r="BT35" i="4"/>
  <c r="AS53" i="2"/>
  <c r="AY56" i="3"/>
  <c r="AY23" i="3"/>
  <c r="AY24" i="3"/>
  <c r="CV325" i="3"/>
  <c r="BM49" i="2"/>
  <c r="EI49" i="2" s="1"/>
  <c r="CK303" i="3"/>
  <c r="AK8" i="6"/>
  <c r="BA325" i="3"/>
  <c r="AA49" i="2"/>
  <c r="S320" i="3"/>
  <c r="S331" i="3"/>
  <c r="S321" i="3" s="1"/>
  <c r="S113" i="3"/>
  <c r="S129" i="3" s="1"/>
  <c r="AN244" i="3"/>
  <c r="CV54" i="2"/>
  <c r="CG50" i="2"/>
  <c r="AM57" i="2"/>
  <c r="DB133" i="2"/>
  <c r="DB134" i="2"/>
  <c r="CJ53" i="2"/>
  <c r="DW320" i="3"/>
  <c r="DW322" i="3" s="1"/>
  <c r="DW113" i="3"/>
  <c r="DW58" i="3"/>
  <c r="CH55" i="2" s="1"/>
  <c r="EA44" i="3"/>
  <c r="BT53" i="2"/>
  <c r="BT54" i="2"/>
  <c r="DA60" i="5"/>
  <c r="DA62" i="5" s="1"/>
  <c r="DA71" i="5"/>
  <c r="BP97" i="4"/>
  <c r="BP25" i="4" s="1"/>
  <c r="BQ22" i="4"/>
  <c r="DG22" i="4" s="1"/>
  <c r="BP27" i="4"/>
  <c r="EX27" i="3"/>
  <c r="EW28" i="3"/>
  <c r="BC245" i="3"/>
  <c r="BC171" i="3"/>
  <c r="CZ138" i="2"/>
  <c r="CZ137" i="2"/>
  <c r="AT54" i="2"/>
  <c r="AT53" i="2"/>
  <c r="BH95" i="3"/>
  <c r="V54" i="2"/>
  <c r="CB82" i="4"/>
  <c r="DX320" i="3"/>
  <c r="DX322" i="3" s="1"/>
  <c r="DX113" i="3"/>
  <c r="DX129" i="3" s="1"/>
  <c r="DX58" i="3"/>
  <c r="CI55" i="2" s="1"/>
  <c r="CJ56" i="2" s="1"/>
  <c r="AT56" i="3"/>
  <c r="AT24" i="3"/>
  <c r="AT23" i="3"/>
  <c r="DJ320" i="3"/>
  <c r="DJ322" i="3" s="1"/>
  <c r="DJ113" i="3"/>
  <c r="DJ129" i="3" s="1"/>
  <c r="DJ58" i="3"/>
  <c r="BX55" i="2" s="1"/>
  <c r="DE14" i="5"/>
  <c r="EH325" i="3"/>
  <c r="CQ49" i="2"/>
  <c r="CR50" i="2" s="1"/>
  <c r="BA76" i="3"/>
  <c r="BB77" i="3"/>
  <c r="BO51" i="2"/>
  <c r="AQ29" i="5"/>
  <c r="AQ24" i="5"/>
  <c r="AQ69" i="5"/>
  <c r="AQ28" i="5"/>
  <c r="DT49" i="2"/>
  <c r="C50" i="2"/>
  <c r="AS244" i="3"/>
  <c r="CD57" i="2"/>
  <c r="EN55" i="2"/>
  <c r="L320" i="3"/>
  <c r="L113" i="3"/>
  <c r="L331" i="3"/>
  <c r="L321" i="3" s="1"/>
  <c r="P44" i="3"/>
  <c r="P58" i="3" s="1"/>
  <c r="EI52" i="2"/>
  <c r="BM320" i="3"/>
  <c r="BM322" i="3" s="1"/>
  <c r="BM113" i="3"/>
  <c r="BM129" i="3" s="1"/>
  <c r="BM58" i="3"/>
  <c r="AK55" i="2" s="1"/>
  <c r="AX53" i="2"/>
  <c r="AX54" i="2"/>
  <c r="DU156" i="3"/>
  <c r="CG58" i="2" s="1"/>
  <c r="DU150" i="3"/>
  <c r="BN219" i="2"/>
  <c r="ET11" i="2"/>
  <c r="EN138" i="2"/>
  <c r="EN139" i="2"/>
  <c r="BI225" i="2"/>
  <c r="DU43" i="2"/>
  <c r="DU42" i="2"/>
  <c r="DV42" i="2"/>
  <c r="BL129" i="2"/>
  <c r="BL131" i="2"/>
  <c r="BL130" i="2"/>
  <c r="BW55" i="4"/>
  <c r="BW56" i="4"/>
  <c r="BB253" i="3"/>
  <c r="BB255" i="3"/>
  <c r="BB242" i="3"/>
  <c r="BB254" i="3"/>
  <c r="BB252" i="3"/>
  <c r="CN325" i="3"/>
  <c r="CR54" i="3"/>
  <c r="BF49" i="2"/>
  <c r="BJ51" i="2" s="1"/>
  <c r="DB11" i="5"/>
  <c r="DB13" i="5" s="1"/>
  <c r="DB27" i="2" l="1"/>
  <c r="AY54" i="2"/>
  <c r="EK48" i="3"/>
  <c r="EK49" i="3" s="1"/>
  <c r="EQ54" i="2"/>
  <c r="BX129" i="3"/>
  <c r="DC22" i="2"/>
  <c r="BX58" i="3"/>
  <c r="DC23" i="2"/>
  <c r="AL8" i="6"/>
  <c r="DF30" i="5"/>
  <c r="BC56" i="2"/>
  <c r="BB256" i="3"/>
  <c r="Y322" i="3"/>
  <c r="V322" i="3"/>
  <c r="EL150" i="3"/>
  <c r="BP318" i="3"/>
  <c r="AJ41" i="3"/>
  <c r="BZ325" i="3"/>
  <c r="AU49" i="2"/>
  <c r="AU50" i="2" s="1"/>
  <c r="AG320" i="3"/>
  <c r="AG331" i="3"/>
  <c r="AG321" i="3" s="1"/>
  <c r="AG113" i="3"/>
  <c r="AG129" i="3" s="1"/>
  <c r="AG58" i="3"/>
  <c r="K55" i="2" s="1"/>
  <c r="K56" i="2" s="1"/>
  <c r="EF113" i="3"/>
  <c r="AW45" i="2"/>
  <c r="AV46" i="2"/>
  <c r="AV45" i="2"/>
  <c r="AV47" i="2"/>
  <c r="BB54" i="3"/>
  <c r="BB44" i="3"/>
  <c r="BB53" i="3"/>
  <c r="AB52" i="2" s="1"/>
  <c r="CJ156" i="3"/>
  <c r="BC58" i="2" s="1"/>
  <c r="BC61" i="2" s="1"/>
  <c r="CJ150" i="3"/>
  <c r="AG53" i="3"/>
  <c r="K52" i="2" s="1"/>
  <c r="O54" i="2" s="1"/>
  <c r="AH44" i="3"/>
  <c r="AH54" i="3"/>
  <c r="AH53" i="3"/>
  <c r="L52" i="2" s="1"/>
  <c r="EE46" i="2"/>
  <c r="EE47" i="2"/>
  <c r="CA53" i="3"/>
  <c r="AV52" i="2" s="1"/>
  <c r="CA54" i="3"/>
  <c r="CA44" i="3"/>
  <c r="CC37" i="3"/>
  <c r="Y156" i="3"/>
  <c r="E58" i="2" s="1"/>
  <c r="Y150" i="3"/>
  <c r="AJ37" i="3"/>
  <c r="BZ113" i="3"/>
  <c r="BZ129" i="3" s="1"/>
  <c r="BZ156" i="3" s="1"/>
  <c r="AU58" i="2" s="1"/>
  <c r="AU61" i="2" s="1"/>
  <c r="BZ58" i="3"/>
  <c r="AU55" i="2" s="1"/>
  <c r="AU57" i="2" s="1"/>
  <c r="BZ320" i="3"/>
  <c r="BZ322" i="3" s="1"/>
  <c r="L322" i="3"/>
  <c r="BR53" i="3"/>
  <c r="AO52" i="2" s="1"/>
  <c r="EC52" i="2" s="1"/>
  <c r="ED54" i="2" s="1"/>
  <c r="BN113" i="3"/>
  <c r="AD322" i="3"/>
  <c r="M322" i="3"/>
  <c r="CM113" i="3"/>
  <c r="AI53" i="3"/>
  <c r="M52" i="2" s="1"/>
  <c r="AI44" i="3"/>
  <c r="AI54" i="3"/>
  <c r="DS74" i="3"/>
  <c r="DT63" i="3"/>
  <c r="R320" i="3"/>
  <c r="R113" i="3"/>
  <c r="R129" i="3" s="1"/>
  <c r="R331" i="3"/>
  <c r="R321" i="3" s="1"/>
  <c r="K49" i="2"/>
  <c r="K50" i="2" s="1"/>
  <c r="ED49" i="2"/>
  <c r="EH225" i="2"/>
  <c r="EK54" i="2"/>
  <c r="CG51" i="2"/>
  <c r="EI54" i="2"/>
  <c r="CD56" i="2"/>
  <c r="EL51" i="2"/>
  <c r="EG49" i="2"/>
  <c r="CJ94" i="2"/>
  <c r="EB49" i="2"/>
  <c r="AF56" i="2"/>
  <c r="EM150" i="2"/>
  <c r="EN150" i="2"/>
  <c r="EM151" i="2"/>
  <c r="ER51" i="2"/>
  <c r="EB55" i="2"/>
  <c r="BM228" i="2"/>
  <c r="BM229" i="2" s="1"/>
  <c r="EO93" i="2"/>
  <c r="EP93" i="2"/>
  <c r="AO53" i="3"/>
  <c r="AO54" i="3"/>
  <c r="DG24" i="4"/>
  <c r="AZ113" i="3"/>
  <c r="AZ320" i="3"/>
  <c r="AZ322" i="3" s="1"/>
  <c r="AZ58" i="3"/>
  <c r="Z55" i="2" s="1"/>
  <c r="AA56" i="2" s="1"/>
  <c r="BX156" i="3"/>
  <c r="AP58" i="2"/>
  <c r="AQ59" i="2" s="1"/>
  <c r="BI157" i="2"/>
  <c r="BI158" i="2"/>
  <c r="BI159" i="2"/>
  <c r="EH156" i="2"/>
  <c r="CH105" i="2"/>
  <c r="CH106" i="2"/>
  <c r="CH104" i="2"/>
  <c r="CL105" i="2"/>
  <c r="CD129" i="3"/>
  <c r="CD307" i="3"/>
  <c r="CE307" i="3" s="1"/>
  <c r="DA137" i="2"/>
  <c r="DA138" i="2"/>
  <c r="ES136" i="2"/>
  <c r="DP156" i="3"/>
  <c r="CC58" i="2" s="1"/>
  <c r="CG60" i="2" s="1"/>
  <c r="DP150" i="3"/>
  <c r="DS84" i="3"/>
  <c r="DS86" i="3" s="1"/>
  <c r="DT81" i="3"/>
  <c r="DE156" i="3"/>
  <c r="BT58" i="2" s="1"/>
  <c r="DE150" i="3"/>
  <c r="BW53" i="2"/>
  <c r="BW54" i="2"/>
  <c r="EI130" i="2"/>
  <c r="EI131" i="2"/>
  <c r="S322" i="3"/>
  <c r="AX54" i="3"/>
  <c r="AX53" i="3"/>
  <c r="Y52" i="2" s="1"/>
  <c r="Z53" i="2" s="1"/>
  <c r="BJ156" i="3"/>
  <c r="BJ150" i="3"/>
  <c r="DD23" i="2"/>
  <c r="DD22" i="2"/>
  <c r="DD25" i="2"/>
  <c r="CJ121" i="2"/>
  <c r="CJ114" i="2"/>
  <c r="CJ102" i="2"/>
  <c r="CJ110" i="2"/>
  <c r="CJ82" i="2"/>
  <c r="CJ86" i="2"/>
  <c r="CJ120" i="2"/>
  <c r="CJ98" i="2"/>
  <c r="CJ78" i="2"/>
  <c r="CJ122" i="2"/>
  <c r="CJ106" i="2"/>
  <c r="CN121" i="2"/>
  <c r="W57" i="2"/>
  <c r="W56" i="2"/>
  <c r="EV310" i="3"/>
  <c r="EW48" i="3"/>
  <c r="EV49" i="3"/>
  <c r="FJ95" i="3"/>
  <c r="FK95" i="3"/>
  <c r="FL95" i="3" s="1"/>
  <c r="FM95" i="3" s="1"/>
  <c r="FN95" i="3" s="1"/>
  <c r="FO95" i="3" s="1"/>
  <c r="CV57" i="2"/>
  <c r="CV56" i="2"/>
  <c r="AW54" i="3"/>
  <c r="AW44" i="3"/>
  <c r="AW53" i="3"/>
  <c r="X52" i="2" s="1"/>
  <c r="AY37" i="3"/>
  <c r="DC129" i="3"/>
  <c r="DG113" i="3"/>
  <c r="EQ114" i="2"/>
  <c r="EQ113" i="2"/>
  <c r="BZ53" i="4"/>
  <c r="BY54" i="4"/>
  <c r="DI54" i="4" s="1"/>
  <c r="DZ43" i="2"/>
  <c r="DZ42" i="2"/>
  <c r="DE57" i="5"/>
  <c r="CT91" i="3"/>
  <c r="EM129" i="3"/>
  <c r="EP113" i="3"/>
  <c r="EP54" i="2"/>
  <c r="AP16" i="5"/>
  <c r="AP15" i="5"/>
  <c r="AS65" i="5"/>
  <c r="V57" i="2"/>
  <c r="BM57" i="2"/>
  <c r="BM56" i="2"/>
  <c r="BF57" i="2"/>
  <c r="BF56" i="2"/>
  <c r="EH55" i="2"/>
  <c r="AN51" i="2"/>
  <c r="BD50" i="2"/>
  <c r="DA68" i="5"/>
  <c r="DA57" i="5"/>
  <c r="DA59" i="5" s="1"/>
  <c r="DQ93" i="3"/>
  <c r="DP100" i="3"/>
  <c r="CG37" i="3"/>
  <c r="CH37" i="3" s="1"/>
  <c r="CH53" i="3" s="1"/>
  <c r="CG35" i="3"/>
  <c r="AM17" i="6"/>
  <c r="AM14" i="6" s="1"/>
  <c r="AM7" i="6"/>
  <c r="AN5" i="6"/>
  <c r="ED156" i="3"/>
  <c r="CN58" i="2" s="1"/>
  <c r="CR60" i="2" s="1"/>
  <c r="ED150" i="3"/>
  <c r="AT72" i="5"/>
  <c r="CV51" i="2"/>
  <c r="CV50" i="2"/>
  <c r="BU57" i="2"/>
  <c r="BU56" i="2"/>
  <c r="BY57" i="2"/>
  <c r="BV56" i="2"/>
  <c r="BH69" i="5"/>
  <c r="BH42" i="5"/>
  <c r="BH43" i="5"/>
  <c r="AK156" i="3"/>
  <c r="AK150" i="3"/>
  <c r="AR54" i="3"/>
  <c r="AR53" i="3"/>
  <c r="T52" i="2" s="1"/>
  <c r="AR44" i="3"/>
  <c r="AT37" i="3"/>
  <c r="BT57" i="2"/>
  <c r="BT56" i="2"/>
  <c r="CT58" i="2"/>
  <c r="EQ51" i="2"/>
  <c r="DC148" i="2"/>
  <c r="DD99" i="2"/>
  <c r="DC101" i="2"/>
  <c r="AX50" i="2"/>
  <c r="AX51" i="2"/>
  <c r="CW129" i="3"/>
  <c r="CS156" i="3"/>
  <c r="CS150" i="3"/>
  <c r="BH319" i="3"/>
  <c r="BH54" i="3"/>
  <c r="BH44" i="3"/>
  <c r="BI44" i="3" s="1"/>
  <c r="BI58" i="3" s="1"/>
  <c r="BH53" i="3"/>
  <c r="AG52" i="2" s="1"/>
  <c r="EA52" i="2" s="1"/>
  <c r="EB54" i="2" s="1"/>
  <c r="BZ64" i="4"/>
  <c r="BZ65" i="4"/>
  <c r="CL156" i="3"/>
  <c r="BE58" i="2" s="1"/>
  <c r="CL150" i="3"/>
  <c r="DE93" i="2"/>
  <c r="DF91" i="2"/>
  <c r="ET91" i="2"/>
  <c r="DE140" i="2"/>
  <c r="BG18" i="4"/>
  <c r="BG16" i="4"/>
  <c r="BG17" i="4"/>
  <c r="BK17" i="4"/>
  <c r="EP48" i="3"/>
  <c r="EP49" i="3" s="1"/>
  <c r="BU51" i="2"/>
  <c r="BU50" i="2"/>
  <c r="BY51" i="2"/>
  <c r="BV50" i="2"/>
  <c r="BI49" i="5"/>
  <c r="DF49" i="5" s="1"/>
  <c r="BI9" i="5"/>
  <c r="BI10" i="5"/>
  <c r="BI27" i="5"/>
  <c r="DB54" i="5"/>
  <c r="DB56" i="5" s="1"/>
  <c r="BG61" i="2"/>
  <c r="BT150" i="3"/>
  <c r="Z113" i="3"/>
  <c r="V129" i="3"/>
  <c r="BM129" i="2"/>
  <c r="BM131" i="2"/>
  <c r="BM130" i="2"/>
  <c r="BD104" i="3"/>
  <c r="AE57" i="2"/>
  <c r="BC242" i="3"/>
  <c r="BC253" i="3"/>
  <c r="BC255" i="3"/>
  <c r="BC254" i="3"/>
  <c r="BC252" i="3"/>
  <c r="Z54" i="2"/>
  <c r="DC133" i="2"/>
  <c r="DC134" i="2"/>
  <c r="BH44" i="5"/>
  <c r="AQ71" i="5"/>
  <c r="AQ60" i="5"/>
  <c r="AQ66" i="5"/>
  <c r="AQ70" i="5"/>
  <c r="BP94" i="4"/>
  <c r="CV156" i="3"/>
  <c r="BM58" i="2" s="1"/>
  <c r="CV150" i="3"/>
  <c r="DI129" i="3"/>
  <c r="DL113" i="3"/>
  <c r="CI97" i="3"/>
  <c r="CJ97" i="3" s="1"/>
  <c r="CH97" i="3"/>
  <c r="EF62" i="2" s="1"/>
  <c r="CU57" i="2"/>
  <c r="CU56" i="2"/>
  <c r="ER55" i="2"/>
  <c r="AB320" i="3"/>
  <c r="AB113" i="3"/>
  <c r="AB331" i="3"/>
  <c r="AB321" i="3" s="1"/>
  <c r="AE44" i="3"/>
  <c r="AE58" i="3" s="1"/>
  <c r="CN56" i="2"/>
  <c r="CN57" i="2"/>
  <c r="CO56" i="2"/>
  <c r="DF156" i="3"/>
  <c r="BU58" i="2" s="1"/>
  <c r="DF150" i="3"/>
  <c r="CP51" i="2"/>
  <c r="CP50" i="2"/>
  <c r="CT51" i="2"/>
  <c r="CP156" i="3"/>
  <c r="BH58" i="2" s="1"/>
  <c r="CP150" i="3"/>
  <c r="BO219" i="2"/>
  <c r="AQ25" i="5"/>
  <c r="AQ26" i="5"/>
  <c r="AQ14" i="5"/>
  <c r="CQ51" i="2"/>
  <c r="CQ50" i="2"/>
  <c r="DO156" i="3"/>
  <c r="CB58" i="2" s="1"/>
  <c r="DO150" i="3"/>
  <c r="AO85" i="5"/>
  <c r="AO84" i="5"/>
  <c r="AO88" i="5"/>
  <c r="DA83" i="5"/>
  <c r="CP54" i="2"/>
  <c r="CP53" i="2"/>
  <c r="CT54" i="2"/>
  <c r="BA44" i="2"/>
  <c r="BA43" i="2"/>
  <c r="BA42" i="2"/>
  <c r="BA41" i="2"/>
  <c r="BB41" i="2"/>
  <c r="BE42" i="2"/>
  <c r="BF51" i="2"/>
  <c r="EH49" i="2"/>
  <c r="BF50" i="2"/>
  <c r="ET13" i="2"/>
  <c r="DF21" i="5"/>
  <c r="EO55" i="2"/>
  <c r="EO57" i="2" s="1"/>
  <c r="CH57" i="2"/>
  <c r="CH56" i="2"/>
  <c r="AA51" i="2"/>
  <c r="BM51" i="2"/>
  <c r="BM50" i="2"/>
  <c r="AX39" i="3"/>
  <c r="AY39" i="3" s="1"/>
  <c r="AY34" i="3"/>
  <c r="AY35" i="3" s="1"/>
  <c r="AL50" i="2"/>
  <c r="AL51" i="2"/>
  <c r="DN325" i="3"/>
  <c r="CA49" i="2"/>
  <c r="CB50" i="2" s="1"/>
  <c r="DQ54" i="3"/>
  <c r="EM49" i="2" s="1"/>
  <c r="BQ59" i="2"/>
  <c r="BQ61" i="2"/>
  <c r="CJ141" i="2"/>
  <c r="CJ142" i="2"/>
  <c r="CN142" i="2"/>
  <c r="EN156" i="3"/>
  <c r="CV58" i="2" s="1"/>
  <c r="EN150" i="3"/>
  <c r="AY56" i="2"/>
  <c r="BC57" i="2"/>
  <c r="CS88" i="3"/>
  <c r="CQ93" i="3"/>
  <c r="CR88" i="3"/>
  <c r="EH54" i="2"/>
  <c r="BX56" i="4"/>
  <c r="BX55" i="4"/>
  <c r="CI114" i="2"/>
  <c r="CI113" i="2"/>
  <c r="CI112" i="2"/>
  <c r="CM113" i="2"/>
  <c r="CJ112" i="2"/>
  <c r="CI103" i="2"/>
  <c r="EO103" i="2" s="1"/>
  <c r="BQ38" i="4"/>
  <c r="BQ37" i="4"/>
  <c r="DG36" i="4"/>
  <c r="BX53" i="2"/>
  <c r="BR315" i="3"/>
  <c r="BR314" i="3" s="1"/>
  <c r="BQ314" i="3"/>
  <c r="BO100" i="4"/>
  <c r="BO96" i="4"/>
  <c r="BO95" i="4"/>
  <c r="CH53" i="2"/>
  <c r="CH54" i="2"/>
  <c r="AP68" i="5"/>
  <c r="AP57" i="5"/>
  <c r="AP67" i="5"/>
  <c r="BH29" i="5"/>
  <c r="BH24" i="5"/>
  <c r="BH28" i="5"/>
  <c r="BQ51" i="2"/>
  <c r="ES89" i="2"/>
  <c r="ER54" i="2"/>
  <c r="BN101" i="4"/>
  <c r="BN102" i="4"/>
  <c r="CX129" i="3"/>
  <c r="DB113" i="3"/>
  <c r="BV45" i="4"/>
  <c r="BW44" i="4"/>
  <c r="FA11" i="3"/>
  <c r="DF13" i="2"/>
  <c r="DF12" i="2"/>
  <c r="DG11" i="2"/>
  <c r="BG50" i="2"/>
  <c r="AT57" i="2"/>
  <c r="AT56" i="2"/>
  <c r="AN58" i="5"/>
  <c r="AN59" i="5"/>
  <c r="CW57" i="2"/>
  <c r="CW56" i="2"/>
  <c r="AM13" i="6"/>
  <c r="AN11" i="6"/>
  <c r="CD81" i="4"/>
  <c r="CE80" i="4"/>
  <c r="BI53" i="3"/>
  <c r="BI54" i="3"/>
  <c r="DB150" i="2"/>
  <c r="DB149" i="2"/>
  <c r="AM50" i="2"/>
  <c r="AZ47" i="2"/>
  <c r="AZ46" i="2"/>
  <c r="AZ45" i="2"/>
  <c r="BD46" i="2"/>
  <c r="CW113" i="3"/>
  <c r="BD56" i="2"/>
  <c r="CA63" i="4"/>
  <c r="CB62" i="4"/>
  <c r="AR57" i="2"/>
  <c r="AR56" i="2"/>
  <c r="BN50" i="2"/>
  <c r="BN51" i="2"/>
  <c r="DX43" i="2"/>
  <c r="DX42" i="2"/>
  <c r="BV142" i="3"/>
  <c r="BU146" i="3"/>
  <c r="BU150" i="3" s="1"/>
  <c r="AA156" i="3"/>
  <c r="AA150" i="3"/>
  <c r="DB32" i="5"/>
  <c r="DB21" i="5"/>
  <c r="EQ156" i="3"/>
  <c r="EQ150" i="3"/>
  <c r="DM156" i="3"/>
  <c r="DM150" i="3"/>
  <c r="AI61" i="2"/>
  <c r="BF156" i="3"/>
  <c r="AE58" i="2" s="1"/>
  <c r="AI60" i="2" s="1"/>
  <c r="BF150" i="3"/>
  <c r="DJ156" i="3"/>
  <c r="BX58" i="2" s="1"/>
  <c r="DJ150" i="3"/>
  <c r="AV156" i="3"/>
  <c r="W58" i="2" s="1"/>
  <c r="W61" i="2" s="1"/>
  <c r="AV150" i="3"/>
  <c r="EG129" i="3"/>
  <c r="EK113" i="3"/>
  <c r="BG70" i="5"/>
  <c r="BG71" i="5"/>
  <c r="BG60" i="5"/>
  <c r="BG66" i="5"/>
  <c r="BL307" i="3"/>
  <c r="BL308" i="3" s="1"/>
  <c r="BL129" i="3"/>
  <c r="BN129" i="3" s="1"/>
  <c r="BK152" i="2"/>
  <c r="BL155" i="2"/>
  <c r="AQ51" i="2"/>
  <c r="AQ50" i="2"/>
  <c r="AR316" i="3"/>
  <c r="AR314" i="3"/>
  <c r="AR312" i="3"/>
  <c r="AT41" i="3"/>
  <c r="AK56" i="2"/>
  <c r="CK51" i="2"/>
  <c r="CK50" i="2"/>
  <c r="CO51" i="2"/>
  <c r="DN320" i="3"/>
  <c r="DN322" i="3" s="1"/>
  <c r="DN113" i="3"/>
  <c r="DN58" i="3"/>
  <c r="CA55" i="2" s="1"/>
  <c r="CB56" i="2" s="1"/>
  <c r="DQ44" i="3"/>
  <c r="DQ58" i="3" s="1"/>
  <c r="AO49" i="2"/>
  <c r="AO59" i="5"/>
  <c r="AO58" i="5"/>
  <c r="CE156" i="3"/>
  <c r="AY58" i="2" s="1"/>
  <c r="CE150" i="3"/>
  <c r="CB51" i="2"/>
  <c r="CF51" i="2"/>
  <c r="BV58" i="2"/>
  <c r="EO113" i="2"/>
  <c r="EP113" i="2"/>
  <c r="BS31" i="4"/>
  <c r="BR36" i="4"/>
  <c r="CQ57" i="2"/>
  <c r="CQ56" i="2"/>
  <c r="AW61" i="2"/>
  <c r="AW60" i="2"/>
  <c r="CW51" i="2"/>
  <c r="CW50" i="2"/>
  <c r="AY50" i="2"/>
  <c r="BC51" i="2"/>
  <c r="BE58" i="5"/>
  <c r="BE59" i="5"/>
  <c r="CR105" i="2"/>
  <c r="CR104" i="2"/>
  <c r="CR106" i="2"/>
  <c r="CT110" i="2"/>
  <c r="CU107" i="2"/>
  <c r="AN53" i="3"/>
  <c r="Q52" i="2" s="1"/>
  <c r="DW52" i="2" s="1"/>
  <c r="AN44" i="3"/>
  <c r="AO44" i="3" s="1"/>
  <c r="AO58" i="3" s="1"/>
  <c r="AN54" i="3"/>
  <c r="BH52" i="5"/>
  <c r="BH51" i="5"/>
  <c r="BH53" i="5"/>
  <c r="BH50" i="5"/>
  <c r="DA85" i="2"/>
  <c r="DA84" i="2"/>
  <c r="ES83" i="2"/>
  <c r="CU53" i="2"/>
  <c r="CU54" i="2"/>
  <c r="BO61" i="2"/>
  <c r="BP59" i="2"/>
  <c r="AU129" i="3"/>
  <c r="CJ315" i="3"/>
  <c r="CI314" i="3"/>
  <c r="BC44" i="3"/>
  <c r="BC54" i="3"/>
  <c r="BC53" i="3"/>
  <c r="AC52" i="2" s="1"/>
  <c r="EJ55" i="2"/>
  <c r="BN57" i="2"/>
  <c r="BN56" i="2"/>
  <c r="AE54" i="3"/>
  <c r="AE53" i="3"/>
  <c r="EF129" i="3"/>
  <c r="EB156" i="3"/>
  <c r="EB150" i="3"/>
  <c r="EO156" i="3"/>
  <c r="CW58" i="2" s="1"/>
  <c r="EO150" i="3"/>
  <c r="AY152" i="3"/>
  <c r="BF67" i="5"/>
  <c r="BF68" i="5"/>
  <c r="BF57" i="5"/>
  <c r="CI156" i="3"/>
  <c r="CM129" i="3"/>
  <c r="CI150" i="3"/>
  <c r="CE72" i="4"/>
  <c r="CF71" i="4"/>
  <c r="AR69" i="5"/>
  <c r="AR28" i="5"/>
  <c r="AR29" i="5"/>
  <c r="AR24" i="5"/>
  <c r="CC82" i="4"/>
  <c r="DJ81" i="4"/>
  <c r="AL320" i="3"/>
  <c r="AL322" i="3" s="1"/>
  <c r="AL113" i="3"/>
  <c r="AL58" i="3"/>
  <c r="O55" i="2" s="1"/>
  <c r="P56" i="2" s="1"/>
  <c r="BE320" i="3"/>
  <c r="BE322" i="3" s="1"/>
  <c r="BE113" i="3"/>
  <c r="BE58" i="3"/>
  <c r="AD55" i="2" s="1"/>
  <c r="DH45" i="4"/>
  <c r="DW106" i="3"/>
  <c r="DX96" i="3"/>
  <c r="CK156" i="3"/>
  <c r="BD58" i="2" s="1"/>
  <c r="CK150" i="3"/>
  <c r="BY40" i="4"/>
  <c r="DI40" i="4" s="1"/>
  <c r="AC331" i="3"/>
  <c r="AC321" i="3" s="1"/>
  <c r="AC113" i="3"/>
  <c r="AC129" i="3" s="1"/>
  <c r="AC320" i="3"/>
  <c r="CA19" i="6"/>
  <c r="CA14" i="6"/>
  <c r="DD142" i="2"/>
  <c r="DD141" i="2"/>
  <c r="BR51" i="2"/>
  <c r="BR50" i="2"/>
  <c r="BV51" i="2"/>
  <c r="EY42" i="3"/>
  <c r="DF20" i="2"/>
  <c r="ET20" i="2"/>
  <c r="BQ57" i="2"/>
  <c r="EJ51" i="2"/>
  <c r="CX50" i="2"/>
  <c r="DV129" i="3"/>
  <c r="DR156" i="3"/>
  <c r="DR150" i="3"/>
  <c r="AK50" i="2"/>
  <c r="CF318" i="3"/>
  <c r="CI50" i="2"/>
  <c r="CI51" i="2"/>
  <c r="CM51" i="2"/>
  <c r="AS64" i="5"/>
  <c r="DB72" i="5"/>
  <c r="CB58" i="4"/>
  <c r="CA60" i="4"/>
  <c r="T330" i="3"/>
  <c r="T52" i="3" s="1"/>
  <c r="T54" i="3"/>
  <c r="T44" i="3"/>
  <c r="U44" i="3" s="1"/>
  <c r="U58" i="3" s="1"/>
  <c r="T51" i="3"/>
  <c r="BC247" i="3"/>
  <c r="EI227" i="2"/>
  <c r="DX156" i="3"/>
  <c r="CI58" i="2" s="1"/>
  <c r="DX150" i="3"/>
  <c r="DD156" i="3"/>
  <c r="BS58" i="2" s="1"/>
  <c r="DD150" i="3"/>
  <c r="EJ54" i="2"/>
  <c r="BF15" i="5"/>
  <c r="BF16" i="5"/>
  <c r="AL57" i="2"/>
  <c r="AL56" i="2"/>
  <c r="CQ156" i="3"/>
  <c r="BI58" i="2" s="1"/>
  <c r="CQ150" i="3"/>
  <c r="EA42" i="2"/>
  <c r="EA43" i="2"/>
  <c r="EB42" i="2"/>
  <c r="EP55" i="2"/>
  <c r="BE56" i="2"/>
  <c r="W51" i="2"/>
  <c r="W50" i="2"/>
  <c r="DI65" i="4"/>
  <c r="BT305" i="3"/>
  <c r="BR308" i="3"/>
  <c r="BI95" i="3"/>
  <c r="BJ95" i="3"/>
  <c r="BQ97" i="4"/>
  <c r="DG97" i="4" s="1"/>
  <c r="BR22" i="4"/>
  <c r="BQ27" i="4"/>
  <c r="DG27" i="4" s="1"/>
  <c r="EA113" i="3"/>
  <c r="DW129" i="3"/>
  <c r="AM56" i="2"/>
  <c r="BN221" i="2"/>
  <c r="BN227" i="2"/>
  <c r="BN220" i="2"/>
  <c r="BN222" i="2"/>
  <c r="BN111" i="2"/>
  <c r="BM156" i="3"/>
  <c r="AK58" i="2" s="1"/>
  <c r="BM150" i="3"/>
  <c r="BC244" i="3"/>
  <c r="EY27" i="3"/>
  <c r="EZ27" i="3" s="1"/>
  <c r="EX28" i="3"/>
  <c r="BP98" i="4"/>
  <c r="BP99" i="4"/>
  <c r="BP52" i="4"/>
  <c r="BP43" i="4"/>
  <c r="BP34" i="4"/>
  <c r="DF74" i="5"/>
  <c r="DF63" i="5"/>
  <c r="DF65" i="5" s="1"/>
  <c r="EN106" i="2"/>
  <c r="EN105" i="2"/>
  <c r="AS314" i="3"/>
  <c r="AS316" i="3"/>
  <c r="AS312" i="3"/>
  <c r="CB135" i="2"/>
  <c r="CA132" i="2"/>
  <c r="AP78" i="5"/>
  <c r="AQ77" i="5"/>
  <c r="AP83" i="5"/>
  <c r="AP79" i="5"/>
  <c r="DB136" i="2"/>
  <c r="DB89" i="2"/>
  <c r="DB88" i="2"/>
  <c r="DB83" i="2"/>
  <c r="CA52" i="2"/>
  <c r="DQ53" i="3"/>
  <c r="EM52" i="2" s="1"/>
  <c r="BR320" i="3"/>
  <c r="BR322" i="3" s="1"/>
  <c r="BR113" i="3"/>
  <c r="BR129" i="3" s="1"/>
  <c r="BR58" i="3"/>
  <c r="AO55" i="2" s="1"/>
  <c r="EC55" i="2" s="1"/>
  <c r="EY19" i="3"/>
  <c r="EZ19" i="3" s="1"/>
  <c r="DE32" i="2"/>
  <c r="DE21" i="2"/>
  <c r="DF30" i="2"/>
  <c r="CK57" i="2"/>
  <c r="CK56" i="2"/>
  <c r="CO57" i="2"/>
  <c r="BH15" i="4"/>
  <c r="CJ90" i="2"/>
  <c r="CJ136" i="2"/>
  <c r="CJ88" i="2"/>
  <c r="CJ89" i="2"/>
  <c r="CN89" i="2"/>
  <c r="BR57" i="2"/>
  <c r="BR56" i="2"/>
  <c r="EK55" i="2"/>
  <c r="BV57" i="2"/>
  <c r="CR57" i="2"/>
  <c r="EZ11" i="3"/>
  <c r="AX56" i="2"/>
  <c r="AX57" i="2"/>
  <c r="EH156" i="3"/>
  <c r="CQ58" i="2" s="1"/>
  <c r="CR59" i="2" s="1"/>
  <c r="EH150" i="3"/>
  <c r="BG26" i="5"/>
  <c r="BG25" i="5"/>
  <c r="BG14" i="5"/>
  <c r="CD35" i="5"/>
  <c r="CC37" i="5"/>
  <c r="DH66" i="4"/>
  <c r="BI51" i="2"/>
  <c r="BI50" i="2"/>
  <c r="FD91" i="3"/>
  <c r="AP61" i="5"/>
  <c r="AP62" i="5"/>
  <c r="CF54" i="3"/>
  <c r="CF44" i="3"/>
  <c r="CF53" i="3"/>
  <c r="AZ52" i="2" s="1"/>
  <c r="CP57" i="2"/>
  <c r="CP56" i="2"/>
  <c r="EQ55" i="2"/>
  <c r="CT57" i="2"/>
  <c r="EY17" i="3"/>
  <c r="DE37" i="2"/>
  <c r="DF35" i="2"/>
  <c r="ET35" i="2"/>
  <c r="BS44" i="3"/>
  <c r="BS58" i="3" s="1"/>
  <c r="DC27" i="2"/>
  <c r="DC26" i="2"/>
  <c r="BM114" i="2"/>
  <c r="BM112" i="2"/>
  <c r="BM113" i="2"/>
  <c r="EI111" i="2"/>
  <c r="EI225" i="2"/>
  <c r="EJ225" i="2"/>
  <c r="CR113" i="3"/>
  <c r="CN129" i="3"/>
  <c r="G51" i="2"/>
  <c r="G50" i="2"/>
  <c r="DU49" i="2"/>
  <c r="DU51" i="2" s="1"/>
  <c r="BE50" i="2"/>
  <c r="BY156" i="3"/>
  <c r="CD73" i="4"/>
  <c r="AR50" i="5"/>
  <c r="AR53" i="5"/>
  <c r="AR52" i="5"/>
  <c r="AR51" i="5"/>
  <c r="AT51" i="2"/>
  <c r="AT50" i="2"/>
  <c r="O53" i="2"/>
  <c r="S54" i="2"/>
  <c r="AQ82" i="5"/>
  <c r="AQ81" i="5"/>
  <c r="AR80" i="5"/>
  <c r="AD54" i="2"/>
  <c r="AH54" i="2"/>
  <c r="AE51" i="2"/>
  <c r="DG84" i="3"/>
  <c r="CL56" i="2"/>
  <c r="CS56" i="2"/>
  <c r="CS57" i="2"/>
  <c r="CT56" i="2"/>
  <c r="AQ57" i="2"/>
  <c r="AQ56" i="2"/>
  <c r="H50" i="2"/>
  <c r="H51" i="2"/>
  <c r="AR61" i="2"/>
  <c r="AR60" i="2"/>
  <c r="AR59" i="2"/>
  <c r="EG55" i="2"/>
  <c r="CN50" i="2"/>
  <c r="CN51" i="2"/>
  <c r="CO50" i="2"/>
  <c r="EK51" i="2"/>
  <c r="EX118" i="3"/>
  <c r="AF50" i="2"/>
  <c r="CL54" i="2"/>
  <c r="Q331" i="3"/>
  <c r="Q321" i="3" s="1"/>
  <c r="Q320" i="3"/>
  <c r="Q322" i="3" s="1"/>
  <c r="Q113" i="3"/>
  <c r="EM46" i="2"/>
  <c r="EM47" i="2"/>
  <c r="EN46" i="2"/>
  <c r="ED55" i="2"/>
  <c r="AS49" i="5"/>
  <c r="DB49" i="5" s="1"/>
  <c r="AS27" i="5"/>
  <c r="AS9" i="5"/>
  <c r="AS10" i="5"/>
  <c r="DB8" i="5"/>
  <c r="DB10" i="5" s="1"/>
  <c r="AF156" i="3"/>
  <c r="AF150" i="3"/>
  <c r="EI55" i="2"/>
  <c r="CA49" i="4"/>
  <c r="CS51" i="2"/>
  <c r="CS50" i="2"/>
  <c r="CT50" i="2"/>
  <c r="CG312" i="3"/>
  <c r="CI313" i="3"/>
  <c r="V51" i="2"/>
  <c r="FC26" i="3"/>
  <c r="BG56" i="2"/>
  <c r="CK82" i="3"/>
  <c r="CJ84" i="3"/>
  <c r="CJ86" i="3" s="1"/>
  <c r="BD37" i="3"/>
  <c r="DD132" i="2"/>
  <c r="DD81" i="2"/>
  <c r="DE79" i="2"/>
  <c r="AA57" i="2"/>
  <c r="CL303" i="3"/>
  <c r="CB15" i="4"/>
  <c r="CA17" i="4"/>
  <c r="DC87" i="2"/>
  <c r="CA18" i="4"/>
  <c r="BH51" i="2"/>
  <c r="BH50" i="2"/>
  <c r="BG96" i="3"/>
  <c r="BF100" i="3"/>
  <c r="BF104" i="3" s="1"/>
  <c r="BF62" i="5"/>
  <c r="BF61" i="5"/>
  <c r="AU22" i="5"/>
  <c r="AU23" i="5"/>
  <c r="AV21" i="5"/>
  <c r="BI41" i="5"/>
  <c r="DF41" i="5" s="1"/>
  <c r="BJ38" i="5"/>
  <c r="BI40" i="5"/>
  <c r="BI20" i="5"/>
  <c r="BQ17" i="5"/>
  <c r="BP19" i="5"/>
  <c r="EF43" i="2"/>
  <c r="EF42" i="2"/>
  <c r="EF44" i="2"/>
  <c r="EG42" i="2"/>
  <c r="AN89" i="5"/>
  <c r="AN90" i="5"/>
  <c r="DA88" i="5"/>
  <c r="U53" i="3"/>
  <c r="U54" i="3"/>
  <c r="CG61" i="2"/>
  <c r="CG59" i="2"/>
  <c r="P113" i="3"/>
  <c r="L129" i="3"/>
  <c r="BB76" i="3"/>
  <c r="BC77" i="3"/>
  <c r="BX57" i="2"/>
  <c r="BX56" i="2"/>
  <c r="BY56" i="2"/>
  <c r="CI57" i="2"/>
  <c r="CI56" i="2"/>
  <c r="CM57" i="2"/>
  <c r="S156" i="3"/>
  <c r="S150" i="3"/>
  <c r="BU35" i="4"/>
  <c r="BR54" i="2"/>
  <c r="BR53" i="2"/>
  <c r="BV54" i="2"/>
  <c r="BS57" i="2"/>
  <c r="BS56" i="2"/>
  <c r="AS53" i="3"/>
  <c r="U52" i="2" s="1"/>
  <c r="AS44" i="3"/>
  <c r="AS54" i="3"/>
  <c r="CB57" i="2"/>
  <c r="CF57" i="2"/>
  <c r="BZ133" i="2"/>
  <c r="BZ134" i="2"/>
  <c r="DH143" i="2"/>
  <c r="CU50" i="2"/>
  <c r="CU51" i="2"/>
  <c r="BN54" i="2"/>
  <c r="BN53" i="2"/>
  <c r="BO53" i="2"/>
  <c r="BW50" i="2"/>
  <c r="BW51" i="2"/>
  <c r="DZ156" i="3"/>
  <c r="CK58" i="2" s="1"/>
  <c r="DZ150" i="3"/>
  <c r="CO93" i="2"/>
  <c r="CK140" i="2"/>
  <c r="EO140" i="2" s="1"/>
  <c r="CK93" i="2"/>
  <c r="CL92" i="2"/>
  <c r="CK87" i="2"/>
  <c r="EO87" i="2" s="1"/>
  <c r="CT156" i="3"/>
  <c r="BK58" i="2" s="1"/>
  <c r="CT150" i="3"/>
  <c r="BW57" i="2"/>
  <c r="BW56" i="2"/>
  <c r="EL55" i="2"/>
  <c r="CR61" i="2"/>
  <c r="EX141" i="3"/>
  <c r="BS51" i="2"/>
  <c r="BS50" i="2"/>
  <c r="EZ114" i="3"/>
  <c r="CC50" i="2"/>
  <c r="CC51" i="2"/>
  <c r="DK37" i="5"/>
  <c r="DI51" i="4"/>
  <c r="BS53" i="2"/>
  <c r="CS112" i="2"/>
  <c r="CT111" i="2"/>
  <c r="CS103" i="2"/>
  <c r="EQ103" i="2" s="1"/>
  <c r="CS113" i="2"/>
  <c r="CS114" i="2"/>
  <c r="BT26" i="4"/>
  <c r="EK58" i="3"/>
  <c r="BO129" i="3"/>
  <c r="BO307" i="3"/>
  <c r="AQ156" i="3"/>
  <c r="AQ150" i="3"/>
  <c r="AJ57" i="2"/>
  <c r="AJ56" i="2"/>
  <c r="D61" i="2"/>
  <c r="D59" i="2"/>
  <c r="E59" i="2"/>
  <c r="CH50" i="2"/>
  <c r="CH51" i="2"/>
  <c r="DY43" i="2"/>
  <c r="DY42" i="2"/>
  <c r="M156" i="3"/>
  <c r="M150" i="3"/>
  <c r="BJ154" i="2"/>
  <c r="BJ153" i="2"/>
  <c r="BJ156" i="2"/>
  <c r="CC57" i="2"/>
  <c r="CC56" i="2"/>
  <c r="DR93" i="3"/>
  <c r="DR100" i="3" s="1"/>
  <c r="DR104" i="3" s="1"/>
  <c r="DS88" i="3"/>
  <c r="BI57" i="2"/>
  <c r="BI56" i="2"/>
  <c r="AL18" i="6"/>
  <c r="AL19" i="6"/>
  <c r="AR50" i="2"/>
  <c r="AR51" i="2"/>
  <c r="AL325" i="3"/>
  <c r="O49" i="2"/>
  <c r="AJ50" i="2"/>
  <c r="AJ51" i="2"/>
  <c r="BE325" i="3"/>
  <c r="AD49" i="2"/>
  <c r="CG316" i="3"/>
  <c r="CI317" i="3"/>
  <c r="CL57" i="2"/>
  <c r="EJ156" i="3"/>
  <c r="CS58" i="2" s="1"/>
  <c r="EJ150" i="3"/>
  <c r="AQ61" i="2"/>
  <c r="BH57" i="2"/>
  <c r="BH56" i="2"/>
  <c r="BR313" i="3"/>
  <c r="BR312" i="3" s="1"/>
  <c r="BQ312" i="3"/>
  <c r="EP51" i="2"/>
  <c r="CI137" i="2"/>
  <c r="CI138" i="2"/>
  <c r="CM138" i="2"/>
  <c r="EV46" i="3"/>
  <c r="ET144" i="3"/>
  <c r="EU46" i="3"/>
  <c r="EL54" i="2"/>
  <c r="FE57" i="3"/>
  <c r="BT51" i="2"/>
  <c r="BT50" i="2"/>
  <c r="BJ54" i="5"/>
  <c r="BJ8" i="5"/>
  <c r="BK11" i="5"/>
  <c r="BJ30" i="5"/>
  <c r="AT54" i="5"/>
  <c r="AU11" i="5"/>
  <c r="AT13" i="5"/>
  <c r="AT8" i="5"/>
  <c r="DH29" i="2"/>
  <c r="DG34" i="2"/>
  <c r="BJ57" i="2"/>
  <c r="DB63" i="3"/>
  <c r="DC63" i="3"/>
  <c r="DD63" i="3" s="1"/>
  <c r="EA48" i="3"/>
  <c r="EA58" i="3" s="1"/>
  <c r="P53" i="2"/>
  <c r="AS50" i="2"/>
  <c r="AZ325" i="3"/>
  <c r="Z49" i="2"/>
  <c r="AA50" i="2" s="1"/>
  <c r="BX51" i="2"/>
  <c r="BX50" i="2"/>
  <c r="BY50" i="2"/>
  <c r="BA156" i="3"/>
  <c r="AA58" i="2" s="1"/>
  <c r="BA150" i="3"/>
  <c r="AM156" i="3"/>
  <c r="P58" i="2" s="1"/>
  <c r="AM150" i="3"/>
  <c r="ET30" i="2"/>
  <c r="AY57" i="2" l="1"/>
  <c r="DZ52" i="2"/>
  <c r="AU56" i="2"/>
  <c r="BR318" i="3"/>
  <c r="AY51" i="2"/>
  <c r="AU51" i="2"/>
  <c r="AC322" i="3"/>
  <c r="AU60" i="2"/>
  <c r="BQ318" i="3"/>
  <c r="AM8" i="6"/>
  <c r="BQ25" i="4"/>
  <c r="EC57" i="2"/>
  <c r="AS318" i="3"/>
  <c r="BC256" i="3"/>
  <c r="AP53" i="2"/>
  <c r="AR318" i="3"/>
  <c r="AS54" i="2"/>
  <c r="AO53" i="2"/>
  <c r="BR325" i="3"/>
  <c r="AG322" i="3"/>
  <c r="AO54" i="2"/>
  <c r="EC54" i="2"/>
  <c r="AG325" i="3"/>
  <c r="EP58" i="3"/>
  <c r="AI325" i="3"/>
  <c r="M49" i="2"/>
  <c r="AG156" i="3"/>
  <c r="K58" i="2" s="1"/>
  <c r="K61" i="2" s="1"/>
  <c r="AG150" i="3"/>
  <c r="BG60" i="2"/>
  <c r="AI320" i="3"/>
  <c r="AI322" i="3" s="1"/>
  <c r="AI113" i="3"/>
  <c r="AI129" i="3" s="1"/>
  <c r="AI58" i="3"/>
  <c r="M55" i="2" s="1"/>
  <c r="CA113" i="3"/>
  <c r="CA129" i="3" s="1"/>
  <c r="CA320" i="3"/>
  <c r="CA322" i="3" s="1"/>
  <c r="CA58" i="3"/>
  <c r="AV55" i="2" s="1"/>
  <c r="L53" i="2"/>
  <c r="L54" i="2"/>
  <c r="P54" i="2"/>
  <c r="AF54" i="2"/>
  <c r="AB53" i="2"/>
  <c r="CC53" i="3"/>
  <c r="CC44" i="3"/>
  <c r="CC54" i="3"/>
  <c r="R150" i="3"/>
  <c r="R156" i="3"/>
  <c r="N53" i="2"/>
  <c r="M53" i="2"/>
  <c r="M54" i="2"/>
  <c r="CA325" i="3"/>
  <c r="AV49" i="2"/>
  <c r="L49" i="2"/>
  <c r="AH325" i="3"/>
  <c r="BB113" i="3"/>
  <c r="BB129" i="3" s="1"/>
  <c r="BB320" i="3"/>
  <c r="BB322" i="3" s="1"/>
  <c r="BB58" i="3"/>
  <c r="AB55" i="2" s="1"/>
  <c r="R322" i="3"/>
  <c r="AJ54" i="3"/>
  <c r="AJ53" i="3"/>
  <c r="AV53" i="2"/>
  <c r="AW53" i="2"/>
  <c r="EE52" i="2"/>
  <c r="EE54" i="2" s="1"/>
  <c r="AV54" i="2"/>
  <c r="AJ44" i="3"/>
  <c r="AJ58" i="3" s="1"/>
  <c r="AH320" i="3"/>
  <c r="AH322" i="3" s="1"/>
  <c r="AH58" i="3"/>
  <c r="L55" i="2" s="1"/>
  <c r="AH113" i="3"/>
  <c r="AH129" i="3" s="1"/>
  <c r="BB325" i="3"/>
  <c r="AB49" i="2"/>
  <c r="DT74" i="3"/>
  <c r="DU63" i="3"/>
  <c r="DV52" i="2"/>
  <c r="DV54" i="2" s="1"/>
  <c r="K53" i="2"/>
  <c r="K54" i="2"/>
  <c r="K51" i="2"/>
  <c r="AB322" i="3"/>
  <c r="I60" i="2"/>
  <c r="E61" i="2"/>
  <c r="EH51" i="2"/>
  <c r="EM55" i="2"/>
  <c r="EN57" i="2" s="1"/>
  <c r="AD53" i="2"/>
  <c r="EK57" i="2"/>
  <c r="CK119" i="2"/>
  <c r="CK114" i="2" s="1"/>
  <c r="EP57" i="2"/>
  <c r="EI51" i="2"/>
  <c r="EH57" i="2"/>
  <c r="EO105" i="2"/>
  <c r="EP105" i="2"/>
  <c r="DF51" i="5"/>
  <c r="DF53" i="5"/>
  <c r="DF52" i="5"/>
  <c r="DG26" i="4"/>
  <c r="DG29" i="4"/>
  <c r="EO89" i="2"/>
  <c r="EP89" i="2"/>
  <c r="EO143" i="2"/>
  <c r="EO142" i="2"/>
  <c r="EP142" i="2"/>
  <c r="DG99" i="4"/>
  <c r="DG70" i="4"/>
  <c r="DG52" i="4"/>
  <c r="DG43" i="4"/>
  <c r="DG61" i="4"/>
  <c r="DG34" i="4"/>
  <c r="AD51" i="2"/>
  <c r="AH51" i="2"/>
  <c r="U53" i="2"/>
  <c r="U54" i="2"/>
  <c r="V53" i="2"/>
  <c r="DC136" i="2"/>
  <c r="DC89" i="2"/>
  <c r="DC88" i="2"/>
  <c r="DC83" i="2"/>
  <c r="CB49" i="4"/>
  <c r="DB51" i="5"/>
  <c r="DB53" i="5"/>
  <c r="DB52" i="5"/>
  <c r="BC325" i="3"/>
  <c r="AC49" i="2"/>
  <c r="AD50" i="2" s="1"/>
  <c r="EQ106" i="2"/>
  <c r="EQ105" i="2"/>
  <c r="EG156" i="3"/>
  <c r="EK129" i="3"/>
  <c r="EG150" i="3"/>
  <c r="DG38" i="4"/>
  <c r="AQ67" i="5"/>
  <c r="AQ68" i="5"/>
  <c r="AQ57" i="5"/>
  <c r="BH325" i="3"/>
  <c r="AG49" i="2"/>
  <c r="AW320" i="3"/>
  <c r="AW322" i="3" s="1"/>
  <c r="AW113" i="3"/>
  <c r="AW58" i="3"/>
  <c r="X55" i="2" s="1"/>
  <c r="O50" i="2"/>
  <c r="O51" i="2"/>
  <c r="S51" i="2"/>
  <c r="CS105" i="2"/>
  <c r="CS104" i="2"/>
  <c r="CS106" i="2"/>
  <c r="BR97" i="4"/>
  <c r="BR25" i="4" s="1"/>
  <c r="BS22" i="4"/>
  <c r="BR27" i="4"/>
  <c r="CC58" i="4"/>
  <c r="DJ58" i="4" s="1"/>
  <c r="AC156" i="3"/>
  <c r="H58" i="2" s="1"/>
  <c r="AC150" i="3"/>
  <c r="BR38" i="4"/>
  <c r="BR37" i="4"/>
  <c r="AO51" i="2"/>
  <c r="AO50" i="2"/>
  <c r="AS51" i="2"/>
  <c r="AP50" i="2"/>
  <c r="BW142" i="3"/>
  <c r="BX142" i="3" s="1"/>
  <c r="BX158" i="3" s="1"/>
  <c r="BV146" i="3"/>
  <c r="BV150" i="3" s="1"/>
  <c r="DI156" i="3"/>
  <c r="DI150" i="3"/>
  <c r="DL150" i="3" s="1"/>
  <c r="DL129" i="3"/>
  <c r="V156" i="3"/>
  <c r="Z129" i="3"/>
  <c r="V150" i="3"/>
  <c r="DG91" i="2"/>
  <c r="DF93" i="2"/>
  <c r="DF140" i="2"/>
  <c r="CT61" i="2"/>
  <c r="CT59" i="2"/>
  <c r="EX48" i="3"/>
  <c r="EW310" i="3"/>
  <c r="EW49" i="3"/>
  <c r="DD26" i="2"/>
  <c r="DD27" i="2"/>
  <c r="P61" i="2"/>
  <c r="Z51" i="2"/>
  <c r="DG39" i="2"/>
  <c r="CS60" i="2"/>
  <c r="CS61" i="2"/>
  <c r="CS59" i="2"/>
  <c r="S58" i="2"/>
  <c r="BU26" i="4"/>
  <c r="CT112" i="2"/>
  <c r="CU111" i="2"/>
  <c r="CT103" i="2"/>
  <c r="CT114" i="2"/>
  <c r="CT113" i="2"/>
  <c r="CX113" i="2"/>
  <c r="EL57" i="2"/>
  <c r="P129" i="3"/>
  <c r="L156" i="3"/>
  <c r="P156" i="3" s="1"/>
  <c r="L150" i="3"/>
  <c r="BN129" i="2"/>
  <c r="BN131" i="2"/>
  <c r="BN130" i="2"/>
  <c r="BJ41" i="5"/>
  <c r="BK38" i="5"/>
  <c r="BJ40" i="5"/>
  <c r="BJ20" i="5"/>
  <c r="CC15" i="4"/>
  <c r="DJ15" i="4" s="1"/>
  <c r="CB17" i="4"/>
  <c r="CB18" i="4"/>
  <c r="DD87" i="2"/>
  <c r="AS28" i="5"/>
  <c r="AS29" i="5"/>
  <c r="AS24" i="5"/>
  <c r="DB24" i="5" s="1"/>
  <c r="AS69" i="5"/>
  <c r="Q129" i="3"/>
  <c r="EA54" i="2"/>
  <c r="AR81" i="5"/>
  <c r="AS80" i="5"/>
  <c r="AR82" i="5"/>
  <c r="ET37" i="2"/>
  <c r="EQ57" i="2"/>
  <c r="CQ60" i="2"/>
  <c r="CQ61" i="2"/>
  <c r="BH18" i="4"/>
  <c r="BH16" i="4"/>
  <c r="BH17" i="4"/>
  <c r="BL17" i="4"/>
  <c r="DE23" i="2"/>
  <c r="DE22" i="2"/>
  <c r="DE25" i="2"/>
  <c r="CC135" i="2"/>
  <c r="CB132" i="2"/>
  <c r="BQ98" i="4"/>
  <c r="BQ52" i="4"/>
  <c r="BQ99" i="4"/>
  <c r="BQ43" i="4"/>
  <c r="BQ34" i="4"/>
  <c r="BU305" i="3"/>
  <c r="BT308" i="3"/>
  <c r="BS60" i="2"/>
  <c r="BS61" i="2"/>
  <c r="T320" i="3"/>
  <c r="T331" i="3"/>
  <c r="T321" i="3" s="1"/>
  <c r="T113" i="3"/>
  <c r="T129" i="3" s="1"/>
  <c r="DV156" i="3"/>
  <c r="CD58" i="2"/>
  <c r="FA42" i="3"/>
  <c r="DG20" i="2"/>
  <c r="O57" i="2"/>
  <c r="O56" i="2"/>
  <c r="S57" i="2"/>
  <c r="DB27" i="5"/>
  <c r="CE73" i="4"/>
  <c r="CW59" i="2"/>
  <c r="CW61" i="2"/>
  <c r="CW60" i="2"/>
  <c r="Q54" i="2"/>
  <c r="Q53" i="2"/>
  <c r="R53" i="2"/>
  <c r="BT31" i="4"/>
  <c r="BS36" i="4"/>
  <c r="BV61" i="2"/>
  <c r="BV59" i="2"/>
  <c r="BL152" i="2"/>
  <c r="BM155" i="2"/>
  <c r="BG62" i="5"/>
  <c r="BG61" i="5"/>
  <c r="AE61" i="2"/>
  <c r="AE60" i="2"/>
  <c r="BZ58" i="2"/>
  <c r="CB63" i="4"/>
  <c r="CC62" i="4"/>
  <c r="FB11" i="3"/>
  <c r="FB114" i="3" s="1"/>
  <c r="DH11" i="2"/>
  <c r="DG13" i="2"/>
  <c r="DG12" i="2"/>
  <c r="BW45" i="4"/>
  <c r="BX44" i="4"/>
  <c r="BO101" i="4"/>
  <c r="BO102" i="4"/>
  <c r="BE59" i="2"/>
  <c r="BE61" i="2"/>
  <c r="CW150" i="3"/>
  <c r="AR325" i="3"/>
  <c r="T49" i="2"/>
  <c r="AM19" i="6"/>
  <c r="AM18" i="6"/>
  <c r="AH58" i="2"/>
  <c r="DU81" i="3"/>
  <c r="DT84" i="3"/>
  <c r="AZ129" i="3"/>
  <c r="ET21" i="2"/>
  <c r="BK60" i="2"/>
  <c r="BK61" i="2"/>
  <c r="BL59" i="2"/>
  <c r="BV35" i="4"/>
  <c r="FD26" i="3"/>
  <c r="FE26" i="3" s="1"/>
  <c r="CD37" i="5"/>
  <c r="CE35" i="5"/>
  <c r="CJ137" i="2"/>
  <c r="CJ138" i="2"/>
  <c r="CN138" i="2"/>
  <c r="BP219" i="2"/>
  <c r="CK62" i="3"/>
  <c r="AP58" i="5"/>
  <c r="AP59" i="5"/>
  <c r="ET93" i="2"/>
  <c r="AX325" i="3"/>
  <c r="Y49" i="2"/>
  <c r="Z50" i="2" s="1"/>
  <c r="ES138" i="2"/>
  <c r="ES139" i="2"/>
  <c r="EJ153" i="3"/>
  <c r="BR156" i="3"/>
  <c r="AO58" i="2" s="1"/>
  <c r="AP59" i="2" s="1"/>
  <c r="BR150" i="3"/>
  <c r="BD61" i="2"/>
  <c r="BD59" i="2"/>
  <c r="CF72" i="4"/>
  <c r="CG71" i="4"/>
  <c r="CG72" i="4" s="1"/>
  <c r="BO60" i="2"/>
  <c r="EM54" i="2"/>
  <c r="EN54" i="2"/>
  <c r="AP85" i="5"/>
  <c r="AP88" i="5"/>
  <c r="AP84" i="5"/>
  <c r="EA129" i="3"/>
  <c r="DW156" i="3"/>
  <c r="DW150" i="3"/>
  <c r="BI61" i="2"/>
  <c r="BI59" i="2"/>
  <c r="BI60" i="2"/>
  <c r="DB63" i="5"/>
  <c r="DB65" i="5" s="1"/>
  <c r="DB74" i="5"/>
  <c r="EY41" i="3"/>
  <c r="EZ42" i="3"/>
  <c r="DI42" i="4"/>
  <c r="AL129" i="3"/>
  <c r="AR14" i="5"/>
  <c r="AR26" i="5"/>
  <c r="AR25" i="5"/>
  <c r="CM150" i="3"/>
  <c r="EF150" i="3"/>
  <c r="CJ314" i="3"/>
  <c r="CK315" i="3"/>
  <c r="CU110" i="2"/>
  <c r="CV107" i="2"/>
  <c r="BK154" i="2"/>
  <c r="BK153" i="2"/>
  <c r="BK156" i="2"/>
  <c r="CA64" i="4"/>
  <c r="CA65" i="4"/>
  <c r="AO11" i="6"/>
  <c r="AN13" i="6"/>
  <c r="BH25" i="5"/>
  <c r="BH26" i="5"/>
  <c r="BH14" i="5"/>
  <c r="EM51" i="2"/>
  <c r="EN51" i="2"/>
  <c r="DA85" i="5"/>
  <c r="DA80" i="5"/>
  <c r="DA82" i="5" s="1"/>
  <c r="BU61" i="2"/>
  <c r="BU59" i="2"/>
  <c r="BU60" i="2"/>
  <c r="BY60" i="2"/>
  <c r="AB129" i="3"/>
  <c r="AE113" i="3"/>
  <c r="CJ106" i="3"/>
  <c r="CK97" i="3"/>
  <c r="BM60" i="2"/>
  <c r="BM61" i="2"/>
  <c r="BM59" i="2"/>
  <c r="BI29" i="5"/>
  <c r="BI24" i="5"/>
  <c r="BI28" i="5"/>
  <c r="DF27" i="5"/>
  <c r="CW156" i="3"/>
  <c r="BJ58" i="2"/>
  <c r="BK59" i="2" s="1"/>
  <c r="DD148" i="2"/>
  <c r="DD101" i="2"/>
  <c r="DE99" i="2"/>
  <c r="EZ17" i="3"/>
  <c r="BY56" i="4"/>
  <c r="BY55" i="4"/>
  <c r="DC156" i="3"/>
  <c r="DG129" i="3"/>
  <c r="DC150" i="3"/>
  <c r="DG150" i="3" s="1"/>
  <c r="CD156" i="3"/>
  <c r="CD150" i="3"/>
  <c r="EH159" i="2"/>
  <c r="EH158" i="2"/>
  <c r="AP61" i="2"/>
  <c r="ED58" i="2"/>
  <c r="EA49" i="3"/>
  <c r="EA50" i="3"/>
  <c r="DD133" i="2"/>
  <c r="DD134" i="2"/>
  <c r="CR129" i="3"/>
  <c r="CN156" i="3"/>
  <c r="CN150" i="3"/>
  <c r="CR150" i="3" s="1"/>
  <c r="AR113" i="3"/>
  <c r="AR320" i="3"/>
  <c r="AR322" i="3" s="1"/>
  <c r="AR58" i="3"/>
  <c r="T55" i="2" s="1"/>
  <c r="AT44" i="3"/>
  <c r="AT58" i="3" s="1"/>
  <c r="EM156" i="3"/>
  <c r="EM150" i="3"/>
  <c r="EP129" i="3"/>
  <c r="BI15" i="4"/>
  <c r="DE15" i="4" s="1"/>
  <c r="CK136" i="2"/>
  <c r="EO136" i="2" s="1"/>
  <c r="CK89" i="2"/>
  <c r="CK88" i="2"/>
  <c r="CO89" i="2"/>
  <c r="CL88" i="2"/>
  <c r="J58" i="2"/>
  <c r="CA134" i="2"/>
  <c r="CA133" i="2"/>
  <c r="DH47" i="4"/>
  <c r="DH44" i="4"/>
  <c r="AN320" i="3"/>
  <c r="AN322" i="3" s="1"/>
  <c r="AN113" i="3"/>
  <c r="AN129" i="3" s="1"/>
  <c r="AN58" i="3"/>
  <c r="Q55" i="2" s="1"/>
  <c r="DW55" i="2" s="1"/>
  <c r="T53" i="2"/>
  <c r="T54" i="2"/>
  <c r="DX52" i="2"/>
  <c r="DX54" i="2" s="1"/>
  <c r="AW325" i="3"/>
  <c r="X49" i="2"/>
  <c r="DI29" i="2"/>
  <c r="EU29" i="2" s="1"/>
  <c r="DH34" i="2"/>
  <c r="DT88" i="3"/>
  <c r="DS93" i="3"/>
  <c r="DS100" i="3" s="1"/>
  <c r="DS104" i="3" s="1"/>
  <c r="BP307" i="3"/>
  <c r="BP308" i="3" s="1"/>
  <c r="BO308" i="3"/>
  <c r="EY141" i="3"/>
  <c r="DF79" i="2"/>
  <c r="DE132" i="2"/>
  <c r="DE81" i="2"/>
  <c r="ET79" i="2"/>
  <c r="FA17" i="3"/>
  <c r="DF37" i="2"/>
  <c r="DG35" i="2"/>
  <c r="FE91" i="3"/>
  <c r="FF91" i="3"/>
  <c r="AT49" i="5"/>
  <c r="AT27" i="5"/>
  <c r="AT10" i="5"/>
  <c r="AT9" i="5"/>
  <c r="BS113" i="3"/>
  <c r="DA90" i="5"/>
  <c r="AV23" i="5"/>
  <c r="AV22" i="5"/>
  <c r="CJ313" i="3"/>
  <c r="CI312" i="3"/>
  <c r="ED57" i="2"/>
  <c r="EI114" i="2"/>
  <c r="EI113" i="2"/>
  <c r="CF320" i="3"/>
  <c r="CF322" i="3" s="1"/>
  <c r="CF58" i="3"/>
  <c r="AZ55" i="2" s="1"/>
  <c r="CF113" i="3"/>
  <c r="CF307" i="3" s="1"/>
  <c r="BG16" i="5"/>
  <c r="BG15" i="5"/>
  <c r="CA54" i="2"/>
  <c r="CA53" i="2"/>
  <c r="CE54" i="2"/>
  <c r="CB53" i="2"/>
  <c r="AQ78" i="5"/>
  <c r="AR77" i="5"/>
  <c r="AQ83" i="5"/>
  <c r="AQ79" i="5"/>
  <c r="AK61" i="2"/>
  <c r="BN228" i="2"/>
  <c r="BN229" i="2" s="1"/>
  <c r="BK95" i="3"/>
  <c r="CI60" i="2"/>
  <c r="CI61" i="2"/>
  <c r="CM60" i="2"/>
  <c r="BZ40" i="4"/>
  <c r="AD57" i="2"/>
  <c r="AH57" i="2"/>
  <c r="EF156" i="3"/>
  <c r="CL58" i="2"/>
  <c r="EJ57" i="2"/>
  <c r="ES85" i="2"/>
  <c r="AY60" i="2"/>
  <c r="AY61" i="2"/>
  <c r="BC60" i="2"/>
  <c r="CA56" i="2"/>
  <c r="CA57" i="2"/>
  <c r="CE57" i="2"/>
  <c r="BL156" i="3"/>
  <c r="AJ58" i="2" s="1"/>
  <c r="AK59" i="2" s="1"/>
  <c r="BL150" i="3"/>
  <c r="BN150" i="3" s="1"/>
  <c r="BX60" i="2"/>
  <c r="BX61" i="2"/>
  <c r="BY59" i="2"/>
  <c r="F58" i="2"/>
  <c r="CI106" i="2"/>
  <c r="CI105" i="2"/>
  <c r="CI104" i="2"/>
  <c r="CJ104" i="2"/>
  <c r="CM105" i="2"/>
  <c r="DI56" i="4"/>
  <c r="CR93" i="3"/>
  <c r="CV60" i="2"/>
  <c r="CV61" i="2"/>
  <c r="CA51" i="2"/>
  <c r="CA50" i="2"/>
  <c r="CE51" i="2"/>
  <c r="EC49" i="2"/>
  <c r="CB61" i="2"/>
  <c r="CB60" i="2"/>
  <c r="CF60" i="2"/>
  <c r="BO221" i="2"/>
  <c r="BO227" i="2"/>
  <c r="BO220" i="2"/>
  <c r="BO222" i="2"/>
  <c r="BO111" i="2"/>
  <c r="BH59" i="2"/>
  <c r="BH61" i="2"/>
  <c r="BH60" i="2"/>
  <c r="BL60" i="2"/>
  <c r="BP95" i="4"/>
  <c r="BP96" i="4"/>
  <c r="BP100" i="4"/>
  <c r="AE56" i="2"/>
  <c r="AG53" i="2"/>
  <c r="AG54" i="2"/>
  <c r="AH53" i="2"/>
  <c r="AK54" i="2"/>
  <c r="DC150" i="2"/>
  <c r="DC149" i="2"/>
  <c r="N58" i="2"/>
  <c r="BH70" i="5"/>
  <c r="BH71" i="5"/>
  <c r="BH60" i="5"/>
  <c r="BH66" i="5"/>
  <c r="CN61" i="2"/>
  <c r="CN59" i="2"/>
  <c r="CO59" i="2"/>
  <c r="CG54" i="3"/>
  <c r="CG44" i="3"/>
  <c r="CH44" i="3" s="1"/>
  <c r="CH58" i="3" s="1"/>
  <c r="CG53" i="3"/>
  <c r="BA52" i="2" s="1"/>
  <c r="EF52" i="2" s="1"/>
  <c r="CA53" i="4"/>
  <c r="BZ54" i="4"/>
  <c r="AY54" i="3"/>
  <c r="AY53" i="3"/>
  <c r="P50" i="2"/>
  <c r="AX44" i="3"/>
  <c r="DG25" i="4"/>
  <c r="BE77" i="3"/>
  <c r="BD77" i="3"/>
  <c r="BC76" i="3"/>
  <c r="BD76" i="3" s="1"/>
  <c r="AO57" i="2"/>
  <c r="AO56" i="2"/>
  <c r="AS57" i="2"/>
  <c r="AP56" i="2"/>
  <c r="FA27" i="3"/>
  <c r="EY28" i="3"/>
  <c r="EZ28" i="3" s="1"/>
  <c r="AR71" i="5"/>
  <c r="AR60" i="5"/>
  <c r="AR66" i="5"/>
  <c r="AR70" i="5"/>
  <c r="AN325" i="3"/>
  <c r="Q49" i="2"/>
  <c r="DW49" i="2" s="1"/>
  <c r="CE81" i="4"/>
  <c r="CF80" i="4"/>
  <c r="BI53" i="5"/>
  <c r="BI52" i="5"/>
  <c r="BI51" i="5"/>
  <c r="BI50" i="5"/>
  <c r="DF43" i="5"/>
  <c r="DF38" i="5"/>
  <c r="DF40" i="5" s="1"/>
  <c r="Z57" i="2"/>
  <c r="AU54" i="5"/>
  <c r="AV11" i="5"/>
  <c r="AU8" i="5"/>
  <c r="AU30" i="5"/>
  <c r="BD54" i="3"/>
  <c r="BD53" i="3"/>
  <c r="FA19" i="3"/>
  <c r="DF32" i="2"/>
  <c r="DG30" i="2"/>
  <c r="DF21" i="2"/>
  <c r="BN112" i="2"/>
  <c r="BN114" i="2"/>
  <c r="BN113" i="2"/>
  <c r="DV150" i="3"/>
  <c r="BF58" i="5"/>
  <c r="BF59" i="5"/>
  <c r="BC322" i="3"/>
  <c r="BC320" i="3"/>
  <c r="BC113" i="3"/>
  <c r="BC58" i="3"/>
  <c r="AC55" i="2" s="1"/>
  <c r="AD56" i="2" s="1"/>
  <c r="BG68" i="5"/>
  <c r="BG67" i="5"/>
  <c r="BG57" i="5"/>
  <c r="CD82" i="4"/>
  <c r="FA114" i="3"/>
  <c r="AQ16" i="5"/>
  <c r="AQ15" i="5"/>
  <c r="AQ61" i="5"/>
  <c r="AQ62" i="5"/>
  <c r="CU91" i="3"/>
  <c r="BJ72" i="5"/>
  <c r="BJ159" i="2"/>
  <c r="BJ158" i="2"/>
  <c r="BJ157" i="2"/>
  <c r="BI69" i="5"/>
  <c r="BI42" i="5"/>
  <c r="BI43" i="5"/>
  <c r="CN303" i="3"/>
  <c r="CL82" i="3"/>
  <c r="CK84" i="3"/>
  <c r="AS50" i="5"/>
  <c r="AS53" i="5"/>
  <c r="AS52" i="5"/>
  <c r="AS51" i="5"/>
  <c r="AZ54" i="2"/>
  <c r="AZ53" i="2"/>
  <c r="BD54" i="2"/>
  <c r="DB137" i="2"/>
  <c r="DB138" i="2"/>
  <c r="ET32" i="2"/>
  <c r="AA61" i="2"/>
  <c r="BK54" i="5"/>
  <c r="BL11" i="5"/>
  <c r="BK8" i="5"/>
  <c r="BK30" i="5"/>
  <c r="BK72" i="5" s="1"/>
  <c r="ET146" i="3"/>
  <c r="EU144" i="3"/>
  <c r="CI316" i="3"/>
  <c r="CJ317" i="3"/>
  <c r="AS325" i="3"/>
  <c r="U49" i="2"/>
  <c r="BJ49" i="5"/>
  <c r="BJ9" i="5"/>
  <c r="BJ10" i="5"/>
  <c r="BJ27" i="5"/>
  <c r="EW46" i="3"/>
  <c r="EV144" i="3"/>
  <c r="BS129" i="3"/>
  <c r="BO156" i="3"/>
  <c r="BO150" i="3"/>
  <c r="CK142" i="2"/>
  <c r="CL141" i="2"/>
  <c r="CK141" i="2"/>
  <c r="CO142" i="2"/>
  <c r="CK61" i="2"/>
  <c r="CK60" i="2"/>
  <c r="CO60" i="2"/>
  <c r="DI143" i="2"/>
  <c r="AS113" i="3"/>
  <c r="AS129" i="3" s="1"/>
  <c r="AS320" i="3"/>
  <c r="AS322" i="3" s="1"/>
  <c r="AS58" i="3"/>
  <c r="U55" i="2" s="1"/>
  <c r="EF47" i="2"/>
  <c r="EF46" i="2"/>
  <c r="EG46" i="2"/>
  <c r="BQ19" i="5"/>
  <c r="BR17" i="5"/>
  <c r="BH96" i="3"/>
  <c r="BG100" i="3"/>
  <c r="BG104" i="3" s="1"/>
  <c r="CG318" i="3"/>
  <c r="EI57" i="2"/>
  <c r="AE50" i="2"/>
  <c r="AT58" i="2"/>
  <c r="CF325" i="3"/>
  <c r="AZ49" i="2"/>
  <c r="CH54" i="3"/>
  <c r="DB84" i="2"/>
  <c r="DB85" i="2"/>
  <c r="BQ94" i="4"/>
  <c r="AR64" i="5"/>
  <c r="AR65" i="5"/>
  <c r="DX106" i="3"/>
  <c r="DY96" i="3"/>
  <c r="BE129" i="3"/>
  <c r="CM156" i="3"/>
  <c r="BB58" i="2"/>
  <c r="BD152" i="3"/>
  <c r="AC54" i="2"/>
  <c r="AC53" i="2"/>
  <c r="AU156" i="3"/>
  <c r="AU150" i="3"/>
  <c r="DN129" i="3"/>
  <c r="DQ113" i="3"/>
  <c r="CX58" i="2"/>
  <c r="DB129" i="3"/>
  <c r="DB150" i="3" s="1"/>
  <c r="CX156" i="3"/>
  <c r="CX150" i="3"/>
  <c r="CS93" i="3"/>
  <c r="CT88" i="3"/>
  <c r="BQ60" i="2"/>
  <c r="BA46" i="2"/>
  <c r="BA45" i="2"/>
  <c r="BA47" i="2"/>
  <c r="BB45" i="2"/>
  <c r="BE46" i="2"/>
  <c r="AO90" i="5"/>
  <c r="AO89" i="5"/>
  <c r="ER57" i="2"/>
  <c r="DE142" i="2"/>
  <c r="DE141" i="2"/>
  <c r="ET140" i="2"/>
  <c r="BI44" i="5"/>
  <c r="BH58" i="3"/>
  <c r="AG55" i="2" s="1"/>
  <c r="BH320" i="3"/>
  <c r="BH322" i="3" s="1"/>
  <c r="BH113" i="3"/>
  <c r="BH129" i="3" s="1"/>
  <c r="AT53" i="3"/>
  <c r="AT54" i="3"/>
  <c r="AN7" i="6"/>
  <c r="AN17" i="6"/>
  <c r="AN14" i="6" s="1"/>
  <c r="AO5" i="6"/>
  <c r="CB5" i="6" s="1"/>
  <c r="DP104" i="3"/>
  <c r="DQ100" i="3"/>
  <c r="X53" i="2"/>
  <c r="X54" i="2"/>
  <c r="AB54" i="2"/>
  <c r="DY52" i="2"/>
  <c r="Y54" i="2"/>
  <c r="Y53" i="2"/>
  <c r="BT59" i="2"/>
  <c r="BT61" i="2"/>
  <c r="BT60" i="2"/>
  <c r="CC59" i="2"/>
  <c r="CC60" i="2"/>
  <c r="CC61" i="2"/>
  <c r="BD44" i="3"/>
  <c r="BD58" i="3" s="1"/>
  <c r="AJ129" i="3" l="1"/>
  <c r="AN8" i="6"/>
  <c r="DG94" i="4"/>
  <c r="DG100" i="4" s="1"/>
  <c r="DG102" i="4" s="1"/>
  <c r="AJ113" i="3"/>
  <c r="DT86" i="3"/>
  <c r="DW54" i="2"/>
  <c r="U113" i="3"/>
  <c r="DZ49" i="2"/>
  <c r="BB156" i="3"/>
  <c r="AB58" i="2" s="1"/>
  <c r="BB150" i="3"/>
  <c r="AF51" i="2"/>
  <c r="AB50" i="2"/>
  <c r="L50" i="2"/>
  <c r="L51" i="2"/>
  <c r="P51" i="2"/>
  <c r="CA156" i="3"/>
  <c r="CC129" i="3"/>
  <c r="AV56" i="2"/>
  <c r="AW56" i="2"/>
  <c r="AV57" i="2"/>
  <c r="EE55" i="2"/>
  <c r="EE57" i="2" s="1"/>
  <c r="DW63" i="3"/>
  <c r="DU74" i="3"/>
  <c r="DV74" i="3" s="1"/>
  <c r="DV63" i="3"/>
  <c r="EN62" i="2" s="1"/>
  <c r="AV51" i="2"/>
  <c r="AW50" i="2"/>
  <c r="AV50" i="2"/>
  <c r="EE49" i="2"/>
  <c r="EE51" i="2" s="1"/>
  <c r="N56" i="2"/>
  <c r="M56" i="2"/>
  <c r="EM57" i="2"/>
  <c r="AH156" i="3"/>
  <c r="AH150" i="3"/>
  <c r="AF57" i="2"/>
  <c r="AB56" i="2"/>
  <c r="AI156" i="3"/>
  <c r="M58" i="2" s="1"/>
  <c r="AI150" i="3"/>
  <c r="N50" i="2"/>
  <c r="M51" i="2"/>
  <c r="M50" i="2"/>
  <c r="BN156" i="3"/>
  <c r="DV49" i="2"/>
  <c r="DV51" i="2" s="1"/>
  <c r="L56" i="2"/>
  <c r="DV55" i="2"/>
  <c r="DW57" i="2" s="1"/>
  <c r="P57" i="2"/>
  <c r="CC113" i="3"/>
  <c r="CC58" i="3"/>
  <c r="CK90" i="2"/>
  <c r="EO119" i="2"/>
  <c r="EO90" i="2" s="1"/>
  <c r="CK110" i="2"/>
  <c r="CK98" i="2"/>
  <c r="CK94" i="2"/>
  <c r="CL120" i="2"/>
  <c r="CK82" i="2"/>
  <c r="CK78" i="2"/>
  <c r="CK120" i="2"/>
  <c r="CO121" i="2"/>
  <c r="CK86" i="2"/>
  <c r="CK102" i="2"/>
  <c r="CK106" i="2"/>
  <c r="CK121" i="2"/>
  <c r="CK122" i="2"/>
  <c r="DZ55" i="2"/>
  <c r="DY54" i="2"/>
  <c r="DJ60" i="4"/>
  <c r="DE17" i="4"/>
  <c r="DE18" i="4"/>
  <c r="DF17" i="4"/>
  <c r="DG96" i="4"/>
  <c r="DG79" i="4"/>
  <c r="CB7" i="6"/>
  <c r="AO113" i="3"/>
  <c r="EB58" i="2"/>
  <c r="AH61" i="2"/>
  <c r="AI59" i="2"/>
  <c r="BY44" i="4"/>
  <c r="BX45" i="4"/>
  <c r="BS38" i="4"/>
  <c r="BS37" i="4"/>
  <c r="DD89" i="2"/>
  <c r="DD88" i="2"/>
  <c r="DD136" i="2"/>
  <c r="DD83" i="2"/>
  <c r="AC56" i="2"/>
  <c r="BZ56" i="4"/>
  <c r="BZ55" i="4"/>
  <c r="DE134" i="2"/>
  <c r="DE133" i="2"/>
  <c r="DE148" i="2"/>
  <c r="DE101" i="2"/>
  <c r="DF99" i="2"/>
  <c r="AL156" i="3"/>
  <c r="AL150" i="3"/>
  <c r="AO129" i="3"/>
  <c r="AO61" i="2"/>
  <c r="AO60" i="2"/>
  <c r="AO59" i="2"/>
  <c r="AS60" i="2"/>
  <c r="CK153" i="3"/>
  <c r="CK64" i="3"/>
  <c r="CK74" i="3" s="1"/>
  <c r="CK86" i="3" s="1"/>
  <c r="CL152" i="3"/>
  <c r="CL62" i="3"/>
  <c r="ET23" i="2"/>
  <c r="CC63" i="4"/>
  <c r="DJ63" i="4" s="1"/>
  <c r="CD62" i="4"/>
  <c r="BL154" i="2"/>
  <c r="BL156" i="2"/>
  <c r="BL153" i="2"/>
  <c r="CD60" i="2"/>
  <c r="CD59" i="2"/>
  <c r="CD61" i="2"/>
  <c r="EN58" i="2"/>
  <c r="CE59" i="2"/>
  <c r="DE26" i="2"/>
  <c r="DE27" i="2"/>
  <c r="U129" i="3"/>
  <c r="Q156" i="3"/>
  <c r="Q150" i="3"/>
  <c r="BJ69" i="5"/>
  <c r="BJ42" i="5"/>
  <c r="BJ43" i="5"/>
  <c r="BV26" i="4"/>
  <c r="ET25" i="2"/>
  <c r="EX310" i="3"/>
  <c r="EY48" i="3"/>
  <c r="EX49" i="3"/>
  <c r="AG57" i="2"/>
  <c r="AG56" i="2"/>
  <c r="AH56" i="2"/>
  <c r="AK57" i="2"/>
  <c r="BI152" i="3"/>
  <c r="DY106" i="3"/>
  <c r="DZ96" i="3"/>
  <c r="BR19" i="5"/>
  <c r="BS17" i="5"/>
  <c r="BJ50" i="5"/>
  <c r="BJ52" i="5"/>
  <c r="BJ51" i="5"/>
  <c r="BJ53" i="5"/>
  <c r="CO303" i="3"/>
  <c r="BI71" i="5"/>
  <c r="BI60" i="5"/>
  <c r="BI70" i="5"/>
  <c r="BI66" i="5"/>
  <c r="DF66" i="5" s="1"/>
  <c r="DF69" i="5"/>
  <c r="BC129" i="3"/>
  <c r="BD129" i="3" s="1"/>
  <c r="BC307" i="3"/>
  <c r="DF25" i="2"/>
  <c r="DF23" i="2"/>
  <c r="DF22" i="2"/>
  <c r="AR61" i="5"/>
  <c r="AR62" i="5"/>
  <c r="CB53" i="4"/>
  <c r="CA54" i="4"/>
  <c r="N61" i="2"/>
  <c r="N60" i="2"/>
  <c r="R60" i="2"/>
  <c r="BO228" i="2"/>
  <c r="BO229" i="2" s="1"/>
  <c r="F59" i="2"/>
  <c r="F61" i="2"/>
  <c r="EA55" i="2"/>
  <c r="CF129" i="3"/>
  <c r="FG91" i="3"/>
  <c r="DF132" i="2"/>
  <c r="DF81" i="2"/>
  <c r="DG79" i="2"/>
  <c r="DH39" i="2"/>
  <c r="X51" i="2"/>
  <c r="X50" i="2"/>
  <c r="AB51" i="2"/>
  <c r="DY49" i="2"/>
  <c r="DZ51" i="2" s="1"/>
  <c r="AR129" i="3"/>
  <c r="AT113" i="3"/>
  <c r="ET132" i="2"/>
  <c r="BI25" i="5"/>
  <c r="BI14" i="5"/>
  <c r="BI26" i="5"/>
  <c r="CF73" i="4"/>
  <c r="DK72" i="4"/>
  <c r="CE37" i="5"/>
  <c r="CF35" i="5"/>
  <c r="FF26" i="3"/>
  <c r="BD113" i="3"/>
  <c r="CB64" i="4"/>
  <c r="CB65" i="4"/>
  <c r="DV158" i="3"/>
  <c r="AS66" i="5"/>
  <c r="DB66" i="5" s="1"/>
  <c r="AS71" i="5"/>
  <c r="AS60" i="5"/>
  <c r="AS70" i="5"/>
  <c r="Z156" i="3"/>
  <c r="B58" i="2"/>
  <c r="F60" i="2" s="1"/>
  <c r="BR94" i="4"/>
  <c r="AG50" i="2"/>
  <c r="AG51" i="2"/>
  <c r="AH50" i="2"/>
  <c r="AK51" i="2"/>
  <c r="EK156" i="3"/>
  <c r="CP58" i="2"/>
  <c r="BL54" i="5"/>
  <c r="BM11" i="5"/>
  <c r="BL30" i="5"/>
  <c r="BL72" i="5" s="1"/>
  <c r="BL8" i="5"/>
  <c r="AV54" i="5"/>
  <c r="AV8" i="5"/>
  <c r="AW11" i="5"/>
  <c r="FB17" i="3"/>
  <c r="DH35" i="2"/>
  <c r="DG37" i="2"/>
  <c r="BI17" i="4"/>
  <c r="BI18" i="4"/>
  <c r="BI16" i="4"/>
  <c r="BM17" i="4"/>
  <c r="BJ16" i="4"/>
  <c r="DJ18" i="4"/>
  <c r="DJ17" i="4"/>
  <c r="BN155" i="2"/>
  <c r="BN152" i="2" s="1"/>
  <c r="BM152" i="2"/>
  <c r="P150" i="3"/>
  <c r="DF141" i="2"/>
  <c r="DF142" i="2"/>
  <c r="AW307" i="3"/>
  <c r="AW129" i="3"/>
  <c r="DC85" i="2"/>
  <c r="DC84" i="2"/>
  <c r="BI113" i="3"/>
  <c r="AT61" i="2"/>
  <c r="BJ96" i="3"/>
  <c r="BI96" i="3"/>
  <c r="EA62" i="2" s="1"/>
  <c r="BH100" i="3"/>
  <c r="BS156" i="3"/>
  <c r="BX157" i="3" s="1"/>
  <c r="AL58" i="2"/>
  <c r="CL84" i="3"/>
  <c r="CN82" i="3"/>
  <c r="CM82" i="3"/>
  <c r="BF77" i="3"/>
  <c r="BE76" i="3"/>
  <c r="AX58" i="2"/>
  <c r="BB60" i="2" s="1"/>
  <c r="AX320" i="3"/>
  <c r="AX322" i="3" s="1"/>
  <c r="AX113" i="3"/>
  <c r="AX129" i="3" s="1"/>
  <c r="AX58" i="3"/>
  <c r="Y55" i="2" s="1"/>
  <c r="AC57" i="2" s="1"/>
  <c r="BP102" i="4"/>
  <c r="BP101" i="4"/>
  <c r="BQ219" i="2"/>
  <c r="EJ219" i="2" s="1"/>
  <c r="EJ221" i="2" s="1"/>
  <c r="DB14" i="5"/>
  <c r="DB16" i="5" s="1"/>
  <c r="DB26" i="5"/>
  <c r="AJ61" i="2"/>
  <c r="AJ59" i="2"/>
  <c r="AN60" i="2"/>
  <c r="CL61" i="2"/>
  <c r="EP58" i="2"/>
  <c r="CL59" i="2"/>
  <c r="CM59" i="2"/>
  <c r="CA40" i="4"/>
  <c r="AZ57" i="2"/>
  <c r="AZ56" i="2"/>
  <c r="BD57" i="2"/>
  <c r="DJ29" i="2"/>
  <c r="DI34" i="2"/>
  <c r="EU34" i="2" s="1"/>
  <c r="EP150" i="3"/>
  <c r="CR156" i="3"/>
  <c r="BF58" i="2"/>
  <c r="BJ60" i="2" s="1"/>
  <c r="DD149" i="2"/>
  <c r="DD150" i="2"/>
  <c r="EO139" i="2"/>
  <c r="EO138" i="2"/>
  <c r="EP138" i="2"/>
  <c r="BW35" i="4"/>
  <c r="AZ156" i="3"/>
  <c r="AZ150" i="3"/>
  <c r="T156" i="3"/>
  <c r="T150" i="3"/>
  <c r="AS81" i="5"/>
  <c r="AT80" i="5"/>
  <c r="AS82" i="5"/>
  <c r="AS14" i="5"/>
  <c r="AS26" i="5"/>
  <c r="AS25" i="5"/>
  <c r="CC17" i="4"/>
  <c r="CD15" i="4"/>
  <c r="CC18" i="4"/>
  <c r="DE87" i="2"/>
  <c r="DH91" i="2"/>
  <c r="DG93" i="2"/>
  <c r="DG140" i="2"/>
  <c r="DJ143" i="2"/>
  <c r="CM153" i="3"/>
  <c r="BZ59" i="2"/>
  <c r="BZ61" i="2"/>
  <c r="BZ60" i="2"/>
  <c r="FA41" i="3"/>
  <c r="BL38" i="5"/>
  <c r="BK40" i="5"/>
  <c r="BK41" i="5"/>
  <c r="BK44" i="5" s="1"/>
  <c r="BK20" i="5"/>
  <c r="Z150" i="3"/>
  <c r="DQ104" i="3"/>
  <c r="AR67" i="5"/>
  <c r="AR68" i="5"/>
  <c r="AR57" i="5"/>
  <c r="CG73" i="4"/>
  <c r="T50" i="2"/>
  <c r="T51" i="2"/>
  <c r="DX49" i="2"/>
  <c r="DX51" i="2" s="1"/>
  <c r="BU31" i="4"/>
  <c r="DH31" i="4" s="1"/>
  <c r="BT36" i="4"/>
  <c r="AO7" i="6"/>
  <c r="AO17" i="6"/>
  <c r="AO14" i="6" s="1"/>
  <c r="AP5" i="6"/>
  <c r="AT64" i="5"/>
  <c r="AT65" i="5"/>
  <c r="CT93" i="3"/>
  <c r="CU88" i="3"/>
  <c r="EO78" i="2"/>
  <c r="BB61" i="2"/>
  <c r="EG58" i="2"/>
  <c r="BC59" i="2"/>
  <c r="U57" i="2"/>
  <c r="U56" i="2"/>
  <c r="V56" i="2"/>
  <c r="EX46" i="3"/>
  <c r="EW144" i="3"/>
  <c r="EW146" i="3" s="1"/>
  <c r="EU146" i="3"/>
  <c r="EF54" i="2"/>
  <c r="EG54" i="2"/>
  <c r="DV153" i="3"/>
  <c r="FB19" i="3"/>
  <c r="DH30" i="2"/>
  <c r="DG21" i="2"/>
  <c r="DG32" i="2"/>
  <c r="BA54" i="2"/>
  <c r="BA53" i="2"/>
  <c r="BB53" i="2"/>
  <c r="BE54" i="2"/>
  <c r="EC51" i="2"/>
  <c r="ED51" i="2"/>
  <c r="AN19" i="6"/>
  <c r="AN18" i="6"/>
  <c r="V58" i="2"/>
  <c r="CM158" i="3"/>
  <c r="BQ95" i="4"/>
  <c r="BQ96" i="4"/>
  <c r="BQ100" i="4"/>
  <c r="BJ29" i="5"/>
  <c r="BJ24" i="5"/>
  <c r="BJ28" i="5"/>
  <c r="BJ44" i="5"/>
  <c r="BG59" i="5"/>
  <c r="BG58" i="5"/>
  <c r="AU72" i="5"/>
  <c r="CF81" i="4"/>
  <c r="CG80" i="4"/>
  <c r="CG81" i="4" s="1"/>
  <c r="Q51" i="2"/>
  <c r="Q50" i="2"/>
  <c r="R50" i="2"/>
  <c r="CG320" i="3"/>
  <c r="CG322" i="3" s="1"/>
  <c r="CG113" i="3"/>
  <c r="CG129" i="3" s="1"/>
  <c r="CG58" i="3"/>
  <c r="BA55" i="2" s="1"/>
  <c r="EF55" i="2" s="1"/>
  <c r="BH68" i="5"/>
  <c r="BH57" i="5"/>
  <c r="BH67" i="5"/>
  <c r="EF158" i="3"/>
  <c r="BL95" i="3"/>
  <c r="AQ85" i="5"/>
  <c r="AQ84" i="5"/>
  <c r="AQ88" i="5"/>
  <c r="J61" i="2"/>
  <c r="J59" i="2"/>
  <c r="J60" i="2"/>
  <c r="K59" i="2"/>
  <c r="CU58" i="2"/>
  <c r="EP156" i="3"/>
  <c r="BJ61" i="2"/>
  <c r="BJ59" i="2"/>
  <c r="EI58" i="2"/>
  <c r="AB156" i="3"/>
  <c r="AB150" i="3"/>
  <c r="AE129" i="3"/>
  <c r="EF153" i="3"/>
  <c r="EA150" i="3"/>
  <c r="Y51" i="2"/>
  <c r="Y50" i="2"/>
  <c r="BP221" i="2"/>
  <c r="BP227" i="2"/>
  <c r="BP222" i="2"/>
  <c r="BP220" i="2"/>
  <c r="BP111" i="2"/>
  <c r="FC11" i="3"/>
  <c r="FC114" i="3" s="1"/>
  <c r="DI11" i="2"/>
  <c r="DH13" i="2"/>
  <c r="DH12" i="2"/>
  <c r="FB42" i="3"/>
  <c r="FB41" i="3" s="1"/>
  <c r="DH20" i="2"/>
  <c r="BV305" i="3"/>
  <c r="BU308" i="3"/>
  <c r="CB134" i="2"/>
  <c r="CB133" i="2"/>
  <c r="CT105" i="2"/>
  <c r="CT104" i="2"/>
  <c r="CU103" i="2"/>
  <c r="CT106" i="2"/>
  <c r="S61" i="2"/>
  <c r="S59" i="2"/>
  <c r="BS97" i="4"/>
  <c r="BT22" i="4"/>
  <c r="BS27" i="4"/>
  <c r="AY44" i="3"/>
  <c r="AY58" i="3" s="1"/>
  <c r="AQ59" i="5"/>
  <c r="AQ58" i="5"/>
  <c r="CC49" i="4"/>
  <c r="DC137" i="2"/>
  <c r="DC138" i="2"/>
  <c r="DB69" i="5"/>
  <c r="BH156" i="3"/>
  <c r="AG58" i="2" s="1"/>
  <c r="AG61" i="2" s="1"/>
  <c r="BH150" i="3"/>
  <c r="BE156" i="3"/>
  <c r="BI129" i="3"/>
  <c r="BE150" i="3"/>
  <c r="BS150" i="3"/>
  <c r="CJ316" i="3"/>
  <c r="CK317" i="3"/>
  <c r="CJ312" i="3"/>
  <c r="CK313" i="3"/>
  <c r="AT50" i="5"/>
  <c r="AT53" i="5"/>
  <c r="AT52" i="5"/>
  <c r="AT51" i="5"/>
  <c r="FA141" i="3"/>
  <c r="EZ141" i="3"/>
  <c r="AN156" i="3"/>
  <c r="Q58" i="2" s="1"/>
  <c r="AN150" i="3"/>
  <c r="T57" i="2"/>
  <c r="T56" i="2"/>
  <c r="DX55" i="2"/>
  <c r="DX57" i="2" s="1"/>
  <c r="DF29" i="5"/>
  <c r="DF17" i="5"/>
  <c r="BH16" i="5"/>
  <c r="BH15" i="5"/>
  <c r="AP11" i="6"/>
  <c r="AO13" i="6"/>
  <c r="AP90" i="5"/>
  <c r="AP89" i="5"/>
  <c r="CD58" i="4"/>
  <c r="EK150" i="3"/>
  <c r="CX60" i="2"/>
  <c r="CX61" i="2"/>
  <c r="CX59" i="2"/>
  <c r="EV146" i="3"/>
  <c r="CB11" i="6"/>
  <c r="DG156" i="3"/>
  <c r="BR58" i="2"/>
  <c r="CL97" i="3"/>
  <c r="CL315" i="3"/>
  <c r="CK314" i="3"/>
  <c r="EY118" i="3"/>
  <c r="EZ118" i="3" s="1"/>
  <c r="EZ41" i="3"/>
  <c r="U50" i="2"/>
  <c r="U51" i="2"/>
  <c r="V50" i="2"/>
  <c r="BO129" i="2"/>
  <c r="BO131" i="2"/>
  <c r="BO130" i="2"/>
  <c r="BO156" i="2"/>
  <c r="ET142" i="2"/>
  <c r="ET143" i="2"/>
  <c r="DB156" i="3"/>
  <c r="BN58" i="2"/>
  <c r="DN156" i="3"/>
  <c r="DN150" i="3"/>
  <c r="DQ129" i="3"/>
  <c r="AZ51" i="2"/>
  <c r="AZ50" i="2"/>
  <c r="BD51" i="2"/>
  <c r="AS156" i="3"/>
  <c r="U58" i="2" s="1"/>
  <c r="AS150" i="3"/>
  <c r="BK49" i="5"/>
  <c r="BK10" i="5"/>
  <c r="BK9" i="5"/>
  <c r="BK27" i="5"/>
  <c r="AU27" i="5"/>
  <c r="AU49" i="5"/>
  <c r="AU10" i="5"/>
  <c r="AU9" i="5"/>
  <c r="CE82" i="4"/>
  <c r="FB27" i="3"/>
  <c r="FA28" i="3"/>
  <c r="CG325" i="3"/>
  <c r="BA49" i="2"/>
  <c r="EF49" i="2" s="1"/>
  <c r="BH61" i="5"/>
  <c r="BH62" i="5"/>
  <c r="BO112" i="2"/>
  <c r="BO114" i="2"/>
  <c r="BO113" i="2"/>
  <c r="AR83" i="5"/>
  <c r="AS77" i="5"/>
  <c r="AR79" i="5"/>
  <c r="CI318" i="3"/>
  <c r="AV30" i="5"/>
  <c r="AV72" i="5" s="1"/>
  <c r="AT28" i="5"/>
  <c r="AT29" i="5"/>
  <c r="AT24" i="5"/>
  <c r="AT69" i="5"/>
  <c r="ET81" i="2"/>
  <c r="DT93" i="3"/>
  <c r="DT100" i="3" s="1"/>
  <c r="DT104" i="3" s="1"/>
  <c r="DU88" i="3"/>
  <c r="Q57" i="2"/>
  <c r="Q56" i="2"/>
  <c r="R56" i="2"/>
  <c r="CK137" i="2"/>
  <c r="CK138" i="2"/>
  <c r="CO138" i="2"/>
  <c r="CL137" i="2"/>
  <c r="ED61" i="2"/>
  <c r="ET99" i="2"/>
  <c r="CW158" i="3"/>
  <c r="DF24" i="5"/>
  <c r="BK159" i="2"/>
  <c r="BK158" i="2"/>
  <c r="BK157" i="2"/>
  <c r="CV110" i="2"/>
  <c r="CW107" i="2"/>
  <c r="AR15" i="5"/>
  <c r="AR16" i="5"/>
  <c r="EA156" i="3"/>
  <c r="CH58" i="2"/>
  <c r="CL60" i="2" s="1"/>
  <c r="DV81" i="3"/>
  <c r="DU84" i="3"/>
  <c r="DW81" i="3"/>
  <c r="DB29" i="5"/>
  <c r="DB17" i="5"/>
  <c r="T322" i="3"/>
  <c r="CD135" i="2"/>
  <c r="CC132" i="2"/>
  <c r="CU114" i="2"/>
  <c r="CU113" i="2"/>
  <c r="CV111" i="2"/>
  <c r="CU112" i="2"/>
  <c r="CY113" i="2"/>
  <c r="BW58" i="2"/>
  <c r="DL156" i="3"/>
  <c r="BY142" i="3"/>
  <c r="BW146" i="3"/>
  <c r="H61" i="2"/>
  <c r="H60" i="2"/>
  <c r="I59" i="2"/>
  <c r="BR98" i="4"/>
  <c r="BR52" i="4"/>
  <c r="BR99" i="4"/>
  <c r="BR43" i="4"/>
  <c r="BR34" i="4"/>
  <c r="X57" i="2"/>
  <c r="X56" i="2"/>
  <c r="AB57" i="2"/>
  <c r="AC51" i="2"/>
  <c r="AC50" i="2"/>
  <c r="EA49" i="2"/>
  <c r="DZ54" i="2"/>
  <c r="EO94" i="2" l="1"/>
  <c r="EO102" i="2"/>
  <c r="EO86" i="2"/>
  <c r="EO114" i="2"/>
  <c r="EO82" i="2"/>
  <c r="EP121" i="2"/>
  <c r="EO98" i="2"/>
  <c r="EO110" i="2"/>
  <c r="EO121" i="2"/>
  <c r="CK106" i="3"/>
  <c r="AY113" i="3"/>
  <c r="DW51" i="2"/>
  <c r="M61" i="2"/>
  <c r="M60" i="2"/>
  <c r="N59" i="2"/>
  <c r="AJ150" i="3"/>
  <c r="AJ153" i="3" s="1"/>
  <c r="DX63" i="3"/>
  <c r="DW74" i="3"/>
  <c r="AV58" i="2"/>
  <c r="CC156" i="3"/>
  <c r="CC157" i="3" s="1"/>
  <c r="CJ318" i="3"/>
  <c r="U156" i="3"/>
  <c r="CG307" i="3"/>
  <c r="CI307" i="3" s="1"/>
  <c r="CJ307" i="3" s="1"/>
  <c r="CK307" i="3" s="1"/>
  <c r="CL307" i="3" s="1"/>
  <c r="CN307" i="3" s="1"/>
  <c r="CO307" i="3" s="1"/>
  <c r="CP307" i="3" s="1"/>
  <c r="CQ307" i="3" s="1"/>
  <c r="CS307" i="3" s="1"/>
  <c r="CT307" i="3" s="1"/>
  <c r="CU307" i="3" s="1"/>
  <c r="CV307" i="3" s="1"/>
  <c r="CX307" i="3" s="1"/>
  <c r="CY307" i="3" s="1"/>
  <c r="CZ307" i="3" s="1"/>
  <c r="DA307" i="3" s="1"/>
  <c r="DC307" i="3" s="1"/>
  <c r="DD307" i="3" s="1"/>
  <c r="DE307" i="3" s="1"/>
  <c r="DF307" i="3" s="1"/>
  <c r="DH307" i="3" s="1"/>
  <c r="DI307" i="3" s="1"/>
  <c r="DJ307" i="3" s="1"/>
  <c r="DK307" i="3" s="1"/>
  <c r="DM307" i="3" s="1"/>
  <c r="DN307" i="3" s="1"/>
  <c r="DO307" i="3" s="1"/>
  <c r="DP307" i="3" s="1"/>
  <c r="DR307" i="3" s="1"/>
  <c r="DS307" i="3" s="1"/>
  <c r="DT307" i="3" s="1"/>
  <c r="DU307" i="3" s="1"/>
  <c r="DW307" i="3" s="1"/>
  <c r="DX307" i="3" s="1"/>
  <c r="DY307" i="3" s="1"/>
  <c r="DZ307" i="3" s="1"/>
  <c r="EB307" i="3" s="1"/>
  <c r="EC307" i="3" s="1"/>
  <c r="ED307" i="3" s="1"/>
  <c r="EE307" i="3" s="1"/>
  <c r="EG307" i="3" s="1"/>
  <c r="EH307" i="3" s="1"/>
  <c r="EI307" i="3" s="1"/>
  <c r="EJ307" i="3" s="1"/>
  <c r="EL307" i="3" s="1"/>
  <c r="EM307" i="3" s="1"/>
  <c r="EN307" i="3" s="1"/>
  <c r="EO307" i="3" s="1"/>
  <c r="EQ307" i="3" s="1"/>
  <c r="L58" i="2"/>
  <c r="AJ156" i="3"/>
  <c r="AB61" i="2"/>
  <c r="AB59" i="2"/>
  <c r="EO106" i="2"/>
  <c r="DY55" i="2"/>
  <c r="DY57" i="2" s="1"/>
  <c r="DI39" i="2"/>
  <c r="EU39" i="2" s="1"/>
  <c r="DY51" i="2"/>
  <c r="EF57" i="2"/>
  <c r="EG57" i="2"/>
  <c r="CU106" i="2"/>
  <c r="CU105" i="2"/>
  <c r="CV103" i="2"/>
  <c r="BP228" i="2"/>
  <c r="BP229" i="2" s="1"/>
  <c r="G58" i="2"/>
  <c r="AE156" i="3"/>
  <c r="DE88" i="2"/>
  <c r="DE136" i="2"/>
  <c r="ET136" i="2" s="1"/>
  <c r="DE89" i="2"/>
  <c r="DE83" i="2"/>
  <c r="ET83" i="2" s="1"/>
  <c r="ET87" i="2"/>
  <c r="BM54" i="5"/>
  <c r="DG54" i="5" s="1"/>
  <c r="DG56" i="5" s="1"/>
  <c r="BN11" i="5"/>
  <c r="BM30" i="5"/>
  <c r="BM8" i="5"/>
  <c r="CN152" i="3"/>
  <c r="CR152" i="3" s="1"/>
  <c r="CR153" i="3" s="1"/>
  <c r="CL153" i="3"/>
  <c r="CL64" i="3"/>
  <c r="CM64" i="3" s="1"/>
  <c r="CN62" i="3"/>
  <c r="CM62" i="3"/>
  <c r="DW84" i="3"/>
  <c r="DX81" i="3"/>
  <c r="DG141" i="2"/>
  <c r="DG142" i="2"/>
  <c r="AW156" i="3"/>
  <c r="AW150" i="3"/>
  <c r="AY129" i="3"/>
  <c r="AV49" i="5"/>
  <c r="AV10" i="5"/>
  <c r="AV9" i="5"/>
  <c r="AV27" i="5"/>
  <c r="ET134" i="2"/>
  <c r="ET135" i="2"/>
  <c r="DZ106" i="3"/>
  <c r="EA96" i="3"/>
  <c r="CE135" i="2"/>
  <c r="CD132" i="2"/>
  <c r="DU86" i="3"/>
  <c r="DV86" i="3" s="1"/>
  <c r="DV84" i="3"/>
  <c r="EA157" i="3"/>
  <c r="EA158" i="3"/>
  <c r="DF26" i="5"/>
  <c r="DF14" i="5"/>
  <c r="DF16" i="5" s="1"/>
  <c r="FC27" i="3"/>
  <c r="FB28" i="3"/>
  <c r="AU28" i="5"/>
  <c r="AU29" i="5"/>
  <c r="AU24" i="5"/>
  <c r="AU69" i="5"/>
  <c r="DQ150" i="3"/>
  <c r="DG157" i="3"/>
  <c r="DG158" i="3"/>
  <c r="EK153" i="3"/>
  <c r="DF19" i="5"/>
  <c r="DF20" i="5"/>
  <c r="Q61" i="2"/>
  <c r="Q60" i="2"/>
  <c r="Q59" i="2"/>
  <c r="R59" i="2"/>
  <c r="BI150" i="3"/>
  <c r="BI153" i="3" s="1"/>
  <c r="FC42" i="3"/>
  <c r="DI20" i="2"/>
  <c r="FD11" i="3"/>
  <c r="DJ11" i="2"/>
  <c r="DI13" i="2"/>
  <c r="DI12" i="2"/>
  <c r="DG25" i="2"/>
  <c r="DG23" i="2"/>
  <c r="DG22" i="2"/>
  <c r="EY46" i="3"/>
  <c r="EX144" i="3"/>
  <c r="EX146" i="3" s="1"/>
  <c r="AO19" i="6"/>
  <c r="AO18" i="6"/>
  <c r="BV31" i="4"/>
  <c r="BU36" i="4"/>
  <c r="CD18" i="4"/>
  <c r="CD17" i="4"/>
  <c r="CE15" i="4"/>
  <c r="DF87" i="2"/>
  <c r="AT82" i="5"/>
  <c r="AT81" i="5"/>
  <c r="AU80" i="5"/>
  <c r="EP153" i="3"/>
  <c r="BQ227" i="2"/>
  <c r="EJ227" i="2" s="1"/>
  <c r="BQ222" i="2"/>
  <c r="BQ220" i="2"/>
  <c r="BQ111" i="2"/>
  <c r="EJ111" i="2" s="1"/>
  <c r="BQ221" i="2"/>
  <c r="AW308" i="3"/>
  <c r="AX307" i="3"/>
  <c r="AX308" i="3" s="1"/>
  <c r="FC17" i="3"/>
  <c r="DI35" i="2"/>
  <c r="DH37" i="2"/>
  <c r="CP59" i="2"/>
  <c r="EQ58" i="2"/>
  <c r="CP60" i="2"/>
  <c r="CP61" i="2"/>
  <c r="CQ59" i="2"/>
  <c r="CT60" i="2"/>
  <c r="AS62" i="5"/>
  <c r="AS61" i="5"/>
  <c r="EA57" i="2"/>
  <c r="EB57" i="2"/>
  <c r="CA56" i="4"/>
  <c r="CA55" i="4"/>
  <c r="CP303" i="3"/>
  <c r="CE62" i="4"/>
  <c r="CD63" i="4"/>
  <c r="DD85" i="2"/>
  <c r="DD84" i="2"/>
  <c r="DK29" i="2"/>
  <c r="DJ34" i="2"/>
  <c r="DJ39" i="2" s="1"/>
  <c r="CM84" i="3"/>
  <c r="DG132" i="2"/>
  <c r="DG81" i="2"/>
  <c r="DH79" i="2"/>
  <c r="AR85" i="5"/>
  <c r="AR84" i="5"/>
  <c r="AR88" i="5"/>
  <c r="AU53" i="5"/>
  <c r="AU52" i="5"/>
  <c r="AU51" i="5"/>
  <c r="AU50" i="5"/>
  <c r="EI61" i="2"/>
  <c r="BH58" i="5"/>
  <c r="BH59" i="5"/>
  <c r="EG61" i="2"/>
  <c r="AP17" i="6"/>
  <c r="AP8" i="6" s="1"/>
  <c r="AQ5" i="6"/>
  <c r="AP7" i="6"/>
  <c r="AR59" i="5"/>
  <c r="AR58" i="5"/>
  <c r="FA118" i="3"/>
  <c r="Z58" i="2"/>
  <c r="BW150" i="3"/>
  <c r="BX146" i="3"/>
  <c r="AQ90" i="5"/>
  <c r="AQ89" i="5"/>
  <c r="FC19" i="3"/>
  <c r="DI30" i="2"/>
  <c r="DH21" i="2"/>
  <c r="DH32" i="2"/>
  <c r="CU93" i="3"/>
  <c r="CV88" i="3"/>
  <c r="BK69" i="5"/>
  <c r="BK43" i="5"/>
  <c r="BK42" i="5"/>
  <c r="BX35" i="4"/>
  <c r="Y57" i="2"/>
  <c r="Y56" i="2"/>
  <c r="Z56" i="2"/>
  <c r="BG77" i="3"/>
  <c r="BF76" i="3"/>
  <c r="BH104" i="3"/>
  <c r="BI100" i="3"/>
  <c r="BM153" i="2"/>
  <c r="BM156" i="2"/>
  <c r="EI156" i="2" s="1"/>
  <c r="BM154" i="2"/>
  <c r="DG11" i="5"/>
  <c r="EK157" i="3"/>
  <c r="EK158" i="3"/>
  <c r="BR95" i="4"/>
  <c r="BR100" i="4"/>
  <c r="BR96" i="4"/>
  <c r="FG26" i="3"/>
  <c r="AR156" i="3"/>
  <c r="AR150" i="3"/>
  <c r="AT129" i="3"/>
  <c r="DF134" i="2"/>
  <c r="DF133" i="2"/>
  <c r="CB54" i="4"/>
  <c r="CC53" i="4"/>
  <c r="BI68" i="5"/>
  <c r="BI67" i="5"/>
  <c r="BI57" i="5"/>
  <c r="BT17" i="5"/>
  <c r="BS19" i="5"/>
  <c r="ET27" i="2"/>
  <c r="CC65" i="4"/>
  <c r="CC64" i="4"/>
  <c r="DF148" i="2"/>
  <c r="DG99" i="2"/>
  <c r="DF101" i="2"/>
  <c r="BO159" i="2"/>
  <c r="BO158" i="2"/>
  <c r="BS99" i="4"/>
  <c r="BS61" i="4"/>
  <c r="BS98" i="4"/>
  <c r="BS52" i="4"/>
  <c r="BS43" i="4"/>
  <c r="BS34" i="4"/>
  <c r="EA153" i="3"/>
  <c r="CU59" i="2"/>
  <c r="CU61" i="2"/>
  <c r="CU60" i="2"/>
  <c r="ER58" i="2"/>
  <c r="CV59" i="2"/>
  <c r="DH33" i="4"/>
  <c r="Z153" i="3"/>
  <c r="AS15" i="5"/>
  <c r="AS16" i="5"/>
  <c r="EP61" i="2"/>
  <c r="AW30" i="5"/>
  <c r="AW72" i="5" s="1"/>
  <c r="DC72" i="5" s="1"/>
  <c r="AW8" i="5"/>
  <c r="DC8" i="5" s="1"/>
  <c r="DC10" i="5" s="1"/>
  <c r="AX11" i="5"/>
  <c r="AW54" i="5"/>
  <c r="BC156" i="3"/>
  <c r="AC58" i="2" s="1"/>
  <c r="BC150" i="3"/>
  <c r="BD150" i="3" s="1"/>
  <c r="BL158" i="2"/>
  <c r="BL157" i="2"/>
  <c r="BL159" i="2"/>
  <c r="O58" i="2"/>
  <c r="AO156" i="3"/>
  <c r="CC133" i="2"/>
  <c r="CC134" i="2"/>
  <c r="CG134" i="2"/>
  <c r="EM132" i="2"/>
  <c r="U60" i="2"/>
  <c r="U61" i="2"/>
  <c r="BR60" i="2"/>
  <c r="EK58" i="2"/>
  <c r="BR61" i="2"/>
  <c r="BR59" i="2"/>
  <c r="BV60" i="2"/>
  <c r="BS59" i="2"/>
  <c r="DB60" i="5"/>
  <c r="DB62" i="5" s="1"/>
  <c r="DB71" i="5"/>
  <c r="BW305" i="3"/>
  <c r="BV308" i="3"/>
  <c r="BM95" i="3"/>
  <c r="BZ44" i="4"/>
  <c r="BY45" i="4"/>
  <c r="EF51" i="2"/>
  <c r="EG51" i="2"/>
  <c r="CL317" i="3"/>
  <c r="CK316" i="3"/>
  <c r="BS94" i="4"/>
  <c r="FB118" i="3"/>
  <c r="BP112" i="2"/>
  <c r="BP114" i="2"/>
  <c r="BP113" i="2"/>
  <c r="EF157" i="3"/>
  <c r="CG82" i="4"/>
  <c r="EA51" i="2"/>
  <c r="EB51" i="2"/>
  <c r="BZ142" i="3"/>
  <c r="BY146" i="3"/>
  <c r="CV114" i="2"/>
  <c r="CV113" i="2"/>
  <c r="CV112" i="2"/>
  <c r="CW111" i="2"/>
  <c r="ER111" i="2" s="1"/>
  <c r="CZ113" i="2"/>
  <c r="AT14" i="5"/>
  <c r="AT26" i="5"/>
  <c r="AT25" i="5"/>
  <c r="BK50" i="5"/>
  <c r="BK53" i="5"/>
  <c r="BK51" i="5"/>
  <c r="BK52" i="5"/>
  <c r="BN61" i="2"/>
  <c r="EJ58" i="2"/>
  <c r="BN59" i="2"/>
  <c r="BN60" i="2"/>
  <c r="BO59" i="2"/>
  <c r="BP131" i="2"/>
  <c r="BP130" i="2"/>
  <c r="BP129" i="2"/>
  <c r="BP156" i="2"/>
  <c r="CL314" i="3"/>
  <c r="CN315" i="3"/>
  <c r="FB141" i="3"/>
  <c r="BI156" i="3"/>
  <c r="AD58" i="2"/>
  <c r="BS25" i="4"/>
  <c r="EU11" i="2"/>
  <c r="CG156" i="3"/>
  <c r="BA58" i="2" s="1"/>
  <c r="CG150" i="3"/>
  <c r="CF82" i="4"/>
  <c r="DK81" i="4"/>
  <c r="DB68" i="5"/>
  <c r="DB57" i="5"/>
  <c r="DB59" i="5" s="1"/>
  <c r="AO8" i="6"/>
  <c r="DI45" i="4"/>
  <c r="AX156" i="3"/>
  <c r="Y58" i="2" s="1"/>
  <c r="AX150" i="3"/>
  <c r="BN153" i="2"/>
  <c r="EJ152" i="2"/>
  <c r="BN156" i="2"/>
  <c r="BO157" i="2" s="1"/>
  <c r="BN154" i="2"/>
  <c r="BL49" i="5"/>
  <c r="BL10" i="5"/>
  <c r="BL9" i="5"/>
  <c r="BL27" i="5"/>
  <c r="B61" i="2"/>
  <c r="DT58" i="2"/>
  <c r="DT61" i="2" s="1"/>
  <c r="C59" i="2"/>
  <c r="AS67" i="5"/>
  <c r="AS57" i="5"/>
  <c r="AS68" i="5"/>
  <c r="CF37" i="5"/>
  <c r="CG35" i="5"/>
  <c r="DL35" i="5" s="1"/>
  <c r="CH113" i="3"/>
  <c r="DF27" i="2"/>
  <c r="DF26" i="2"/>
  <c r="BN152" i="3"/>
  <c r="BJ71" i="5"/>
  <c r="BJ60" i="5"/>
  <c r="BJ66" i="5"/>
  <c r="BJ70" i="5"/>
  <c r="EI152" i="2"/>
  <c r="DD138" i="2"/>
  <c r="DD137" i="2"/>
  <c r="EB61" i="2"/>
  <c r="BW59" i="2"/>
  <c r="BW60" i="2"/>
  <c r="BW61" i="2"/>
  <c r="BX59" i="2"/>
  <c r="EL58" i="2"/>
  <c r="AS83" i="5"/>
  <c r="AS79" i="5"/>
  <c r="AT77" i="5"/>
  <c r="CN97" i="3"/>
  <c r="CM97" i="3"/>
  <c r="DK143" i="2"/>
  <c r="CR157" i="3"/>
  <c r="CR158" i="3"/>
  <c r="AX61" i="2"/>
  <c r="AX59" i="2"/>
  <c r="AY59" i="2"/>
  <c r="FH91" i="3"/>
  <c r="EN61" i="2"/>
  <c r="DE149" i="2"/>
  <c r="DE150" i="2"/>
  <c r="CH61" i="2"/>
  <c r="CH59" i="2"/>
  <c r="CH60" i="2"/>
  <c r="EO58" i="2"/>
  <c r="CI59" i="2"/>
  <c r="BK28" i="5"/>
  <c r="BK29" i="5"/>
  <c r="BK24" i="5"/>
  <c r="BR219" i="2"/>
  <c r="CB40" i="4"/>
  <c r="AL61" i="2"/>
  <c r="EC58" i="2"/>
  <c r="P153" i="3"/>
  <c r="DJ65" i="4"/>
  <c r="DH57" i="4"/>
  <c r="DF60" i="5"/>
  <c r="DF62" i="5" s="1"/>
  <c r="DF71" i="5"/>
  <c r="EY310" i="3"/>
  <c r="EY49" i="3"/>
  <c r="FA48" i="3"/>
  <c r="AT66" i="5"/>
  <c r="AT70" i="5"/>
  <c r="AT71" i="5"/>
  <c r="AT60" i="5"/>
  <c r="CA58" i="2"/>
  <c r="DQ156" i="3"/>
  <c r="CB13" i="6"/>
  <c r="BA57" i="2"/>
  <c r="BA56" i="2"/>
  <c r="BB56" i="2"/>
  <c r="BE57" i="2"/>
  <c r="BQ102" i="4"/>
  <c r="BQ101" i="4"/>
  <c r="CW157" i="3"/>
  <c r="DB77" i="5"/>
  <c r="DB79" i="5" s="1"/>
  <c r="BA51" i="2"/>
  <c r="BA50" i="2"/>
  <c r="BB50" i="2"/>
  <c r="BE51" i="2"/>
  <c r="DL157" i="3"/>
  <c r="DL158" i="3"/>
  <c r="DB20" i="5"/>
  <c r="DB19" i="5"/>
  <c r="CX107" i="2"/>
  <c r="CW110" i="2"/>
  <c r="ER107" i="2"/>
  <c r="ER110" i="2" s="1"/>
  <c r="ET101" i="2"/>
  <c r="DW88" i="3"/>
  <c r="DU93" i="3"/>
  <c r="DV88" i="3"/>
  <c r="DB157" i="3"/>
  <c r="DB158" i="3"/>
  <c r="CD60" i="4"/>
  <c r="CE58" i="4"/>
  <c r="AP13" i="6"/>
  <c r="AQ11" i="6"/>
  <c r="CL313" i="3"/>
  <c r="CK312" i="3"/>
  <c r="CD49" i="4"/>
  <c r="DJ49" i="4"/>
  <c r="BT97" i="4"/>
  <c r="BU22" i="4"/>
  <c r="BT27" i="4"/>
  <c r="AE150" i="3"/>
  <c r="EP157" i="3"/>
  <c r="EP158" i="3"/>
  <c r="DF57" i="5"/>
  <c r="DF59" i="5" s="1"/>
  <c r="DF68" i="5"/>
  <c r="BJ14" i="5"/>
  <c r="BJ25" i="5"/>
  <c r="BJ26" i="5"/>
  <c r="V60" i="2"/>
  <c r="V61" i="2"/>
  <c r="V59" i="2"/>
  <c r="BL40" i="5"/>
  <c r="BL41" i="5"/>
  <c r="BL44" i="5" s="1"/>
  <c r="BM38" i="5"/>
  <c r="BL20" i="5"/>
  <c r="DH93" i="2"/>
  <c r="DI91" i="2"/>
  <c r="DH140" i="2"/>
  <c r="ET148" i="2"/>
  <c r="BF60" i="2"/>
  <c r="BF59" i="2"/>
  <c r="BF61" i="2"/>
  <c r="EH58" i="2"/>
  <c r="EI60" i="2" s="1"/>
  <c r="BG59" i="2"/>
  <c r="CN84" i="3"/>
  <c r="CO82" i="3"/>
  <c r="BK96" i="3"/>
  <c r="BJ100" i="3"/>
  <c r="BJ104" i="3" s="1"/>
  <c r="DC11" i="5"/>
  <c r="DC13" i="5" s="1"/>
  <c r="BI15" i="5"/>
  <c r="BI16" i="5"/>
  <c r="CF156" i="3"/>
  <c r="CF150" i="3"/>
  <c r="CH129" i="3"/>
  <c r="BE307" i="3"/>
  <c r="BC308" i="3"/>
  <c r="BI61" i="5"/>
  <c r="BI62" i="5"/>
  <c r="BW26" i="4"/>
  <c r="U150" i="3"/>
  <c r="AO150" i="3"/>
  <c r="CB17" i="6"/>
  <c r="DW86" i="3" l="1"/>
  <c r="DZ57" i="2"/>
  <c r="AP14" i="6"/>
  <c r="DC30" i="5"/>
  <c r="CK318" i="3"/>
  <c r="BD156" i="3"/>
  <c r="CL106" i="3"/>
  <c r="CL74" i="3"/>
  <c r="CM74" i="3" s="1"/>
  <c r="AV59" i="2"/>
  <c r="AV61" i="2"/>
  <c r="AV60" i="2"/>
  <c r="AW59" i="2"/>
  <c r="EE58" i="2"/>
  <c r="L61" i="2"/>
  <c r="L59" i="2"/>
  <c r="P60" i="2"/>
  <c r="L60" i="2"/>
  <c r="DV58" i="2"/>
  <c r="DV61" i="2" s="1"/>
  <c r="DY63" i="3"/>
  <c r="DX74" i="3"/>
  <c r="M59" i="2"/>
  <c r="BQ228" i="2"/>
  <c r="BQ229" i="2" s="1"/>
  <c r="ER113" i="2"/>
  <c r="ER114" i="2"/>
  <c r="ES113" i="2"/>
  <c r="CN314" i="3"/>
  <c r="CO315" i="3"/>
  <c r="DH23" i="2"/>
  <c r="DH22" i="2"/>
  <c r="DH25" i="2"/>
  <c r="AQ7" i="6"/>
  <c r="AQ17" i="6"/>
  <c r="AR5" i="6"/>
  <c r="FA46" i="3"/>
  <c r="EY144" i="3"/>
  <c r="FD42" i="3"/>
  <c r="FD41" i="3" s="1"/>
  <c r="DJ20" i="2"/>
  <c r="EU20" i="2"/>
  <c r="EB96" i="3"/>
  <c r="EA106" i="3"/>
  <c r="ET89" i="2"/>
  <c r="U153" i="3"/>
  <c r="ET150" i="2"/>
  <c r="ET151" i="2"/>
  <c r="BT99" i="4"/>
  <c r="BT98" i="4"/>
  <c r="BT61" i="4"/>
  <c r="BT52" i="4"/>
  <c r="BT43" i="4"/>
  <c r="BT34" i="4"/>
  <c r="DQ157" i="3"/>
  <c r="DQ158" i="3"/>
  <c r="DV157" i="3"/>
  <c r="BR220" i="2"/>
  <c r="BR111" i="2"/>
  <c r="BR221" i="2"/>
  <c r="BR227" i="2"/>
  <c r="BR222" i="2"/>
  <c r="BZ45" i="4"/>
  <c r="CA44" i="4"/>
  <c r="BR102" i="4"/>
  <c r="BR101" i="4"/>
  <c r="BK66" i="5"/>
  <c r="BK70" i="5"/>
  <c r="BK60" i="5"/>
  <c r="BK71" i="5"/>
  <c r="EZ46" i="3"/>
  <c r="FC41" i="3"/>
  <c r="FD27" i="3"/>
  <c r="FC28" i="3"/>
  <c r="AV52" i="5"/>
  <c r="AV51" i="5"/>
  <c r="AV53" i="5"/>
  <c r="AV50" i="5"/>
  <c r="EG62" i="2"/>
  <c r="DE84" i="2"/>
  <c r="DE85" i="2"/>
  <c r="BF307" i="3"/>
  <c r="BF308" i="3" s="1"/>
  <c r="BE308" i="3"/>
  <c r="CL312" i="3"/>
  <c r="CN313" i="3"/>
  <c r="EO60" i="2"/>
  <c r="EO61" i="2"/>
  <c r="AT83" i="5"/>
  <c r="AT79" i="5"/>
  <c r="AU77" i="5"/>
  <c r="ET138" i="2"/>
  <c r="ET139" i="2"/>
  <c r="CH35" i="5"/>
  <c r="CG37" i="5"/>
  <c r="FC141" i="3"/>
  <c r="CN317" i="3"/>
  <c r="CL316" i="3"/>
  <c r="O60" i="2"/>
  <c r="O59" i="2"/>
  <c r="O61" i="2"/>
  <c r="P59" i="2"/>
  <c r="DW58" i="2"/>
  <c r="S60" i="2"/>
  <c r="T58" i="2"/>
  <c r="AT156" i="3"/>
  <c r="BI104" i="3"/>
  <c r="CV93" i="3"/>
  <c r="CW88" i="3"/>
  <c r="DG133" i="2"/>
  <c r="DG134" i="2"/>
  <c r="CQ303" i="3"/>
  <c r="AU82" i="5"/>
  <c r="AU81" i="5"/>
  <c r="AV80" i="5"/>
  <c r="AU70" i="5"/>
  <c r="AU71" i="5"/>
  <c r="AU66" i="5"/>
  <c r="AU60" i="5"/>
  <c r="BM49" i="5"/>
  <c r="DG49" i="5" s="1"/>
  <c r="BM10" i="5"/>
  <c r="BM9" i="5"/>
  <c r="BM27" i="5"/>
  <c r="DG27" i="5" s="1"/>
  <c r="DC74" i="5"/>
  <c r="AO153" i="3"/>
  <c r="EH61" i="2"/>
  <c r="EH60" i="2"/>
  <c r="DH141" i="2"/>
  <c r="DH142" i="2"/>
  <c r="BM40" i="5"/>
  <c r="BN38" i="5"/>
  <c r="BM41" i="5"/>
  <c r="DG41" i="5" s="1"/>
  <c r="BM20" i="5"/>
  <c r="AT62" i="5"/>
  <c r="AT61" i="5"/>
  <c r="EC61" i="2"/>
  <c r="EC60" i="2"/>
  <c r="ED60" i="2"/>
  <c r="BN153" i="3"/>
  <c r="BS152" i="3"/>
  <c r="DG8" i="5"/>
  <c r="DG10" i="5" s="1"/>
  <c r="Y60" i="2"/>
  <c r="Y61" i="2"/>
  <c r="EU13" i="2"/>
  <c r="EJ61" i="2"/>
  <c r="EJ60" i="2"/>
  <c r="BY150" i="3"/>
  <c r="EK61" i="2"/>
  <c r="EK60" i="2"/>
  <c r="EI158" i="2"/>
  <c r="EI159" i="2"/>
  <c r="AW9" i="5"/>
  <c r="AW27" i="5"/>
  <c r="AW10" i="5"/>
  <c r="AW49" i="5"/>
  <c r="DC49" i="5" s="1"/>
  <c r="BA10" i="5"/>
  <c r="ER61" i="2"/>
  <c r="ER60" i="2"/>
  <c r="DG148" i="2"/>
  <c r="DH99" i="2"/>
  <c r="DG101" i="2"/>
  <c r="FH26" i="3"/>
  <c r="BM158" i="2"/>
  <c r="BM157" i="2"/>
  <c r="BM159" i="2"/>
  <c r="BX150" i="3"/>
  <c r="AP18" i="6"/>
  <c r="AP19" i="6"/>
  <c r="AR89" i="5"/>
  <c r="AR90" i="5"/>
  <c r="DG27" i="2"/>
  <c r="DG26" i="2"/>
  <c r="BS219" i="2"/>
  <c r="AU26" i="5"/>
  <c r="AU25" i="5"/>
  <c r="AU14" i="5"/>
  <c r="AV64" i="5"/>
  <c r="AV65" i="5"/>
  <c r="AY150" i="3"/>
  <c r="DY81" i="3"/>
  <c r="DX84" i="3"/>
  <c r="CO152" i="3"/>
  <c r="CN153" i="3"/>
  <c r="CO62" i="3"/>
  <c r="CN64" i="3"/>
  <c r="CN74" i="3" s="1"/>
  <c r="CN86" i="3" s="1"/>
  <c r="BM72" i="5"/>
  <c r="DG30" i="5"/>
  <c r="CV106" i="2"/>
  <c r="CV105" i="2"/>
  <c r="CW103" i="2"/>
  <c r="CO84" i="3"/>
  <c r="CP82" i="3"/>
  <c r="BJ15" i="5"/>
  <c r="BJ16" i="5"/>
  <c r="CC40" i="4"/>
  <c r="BA60" i="2"/>
  <c r="BA61" i="2"/>
  <c r="BE60" i="2"/>
  <c r="BB59" i="2"/>
  <c r="AT15" i="5"/>
  <c r="AT16" i="5"/>
  <c r="BS100" i="4"/>
  <c r="BS95" i="4"/>
  <c r="BS96" i="4"/>
  <c r="EQ61" i="2"/>
  <c r="EQ60" i="2"/>
  <c r="AE153" i="3"/>
  <c r="CY107" i="2"/>
  <c r="CX110" i="2"/>
  <c r="AT67" i="5"/>
  <c r="AT68" i="5"/>
  <c r="AT57" i="5"/>
  <c r="FD19" i="3"/>
  <c r="DJ30" i="2"/>
  <c r="DI21" i="2"/>
  <c r="DI32" i="2"/>
  <c r="EU30" i="2"/>
  <c r="CB19" i="6"/>
  <c r="CB8" i="6"/>
  <c r="DJ51" i="4"/>
  <c r="CA61" i="2"/>
  <c r="CA59" i="2"/>
  <c r="CA60" i="2"/>
  <c r="CE60" i="2"/>
  <c r="CB59" i="2"/>
  <c r="EM58" i="2"/>
  <c r="DL143" i="2"/>
  <c r="BP159" i="2"/>
  <c r="BP158" i="2"/>
  <c r="BP157" i="2"/>
  <c r="EM134" i="2"/>
  <c r="EM135" i="2"/>
  <c r="AX54" i="5"/>
  <c r="AY11" i="5"/>
  <c r="AX8" i="5"/>
  <c r="AX30" i="5"/>
  <c r="BI59" i="5"/>
  <c r="BI58" i="5"/>
  <c r="BQ131" i="2"/>
  <c r="BQ130" i="2"/>
  <c r="BQ129" i="2"/>
  <c r="BQ156" i="2"/>
  <c r="EJ156" i="2" s="1"/>
  <c r="BX26" i="4"/>
  <c r="DJ91" i="2"/>
  <c r="DI93" i="2"/>
  <c r="DI140" i="2"/>
  <c r="EU91" i="2"/>
  <c r="BL69" i="5"/>
  <c r="BL43" i="5"/>
  <c r="BL42" i="5"/>
  <c r="BT94" i="4"/>
  <c r="CD97" i="4"/>
  <c r="CE49" i="4"/>
  <c r="ES107" i="2"/>
  <c r="FA310" i="3"/>
  <c r="FA49" i="3"/>
  <c r="FB48" i="3"/>
  <c r="BK14" i="5"/>
  <c r="BK26" i="5"/>
  <c r="BK25" i="5"/>
  <c r="BD153" i="3"/>
  <c r="CM106" i="3"/>
  <c r="AS85" i="5"/>
  <c r="AS84" i="5"/>
  <c r="AS88" i="5"/>
  <c r="DB83" i="5"/>
  <c r="EJ128" i="2"/>
  <c r="AS59" i="5"/>
  <c r="AS58" i="5"/>
  <c r="BL28" i="5"/>
  <c r="BL29" i="5"/>
  <c r="BL24" i="5"/>
  <c r="BN157" i="2"/>
  <c r="BN159" i="2"/>
  <c r="BN158" i="2"/>
  <c r="CA142" i="3"/>
  <c r="BZ146" i="3"/>
  <c r="BZ150" i="3" s="1"/>
  <c r="BO95" i="3"/>
  <c r="BN95" i="3"/>
  <c r="AC60" i="2"/>
  <c r="AC59" i="2"/>
  <c r="AC61" i="2"/>
  <c r="DF150" i="2"/>
  <c r="DF149" i="2"/>
  <c r="BG76" i="3"/>
  <c r="BH77" i="3"/>
  <c r="Z61" i="2"/>
  <c r="DZ58" i="2"/>
  <c r="Z59" i="2"/>
  <c r="Z60" i="2"/>
  <c r="AA59" i="2"/>
  <c r="CD65" i="4"/>
  <c r="CD64" i="4"/>
  <c r="DH36" i="4"/>
  <c r="FF11" i="3"/>
  <c r="DK11" i="2"/>
  <c r="DJ13" i="2"/>
  <c r="DJ12" i="2"/>
  <c r="CD133" i="2"/>
  <c r="CD134" i="2"/>
  <c r="CH134" i="2"/>
  <c r="AV29" i="5"/>
  <c r="AV24" i="5"/>
  <c r="AV28" i="5"/>
  <c r="AV69" i="5"/>
  <c r="X58" i="2"/>
  <c r="AY156" i="3"/>
  <c r="BO11" i="5"/>
  <c r="BN30" i="5"/>
  <c r="BN8" i="5"/>
  <c r="BN54" i="5"/>
  <c r="DE138" i="2"/>
  <c r="DE137" i="2"/>
  <c r="AU65" i="5"/>
  <c r="AU64" i="5"/>
  <c r="AZ58" i="2"/>
  <c r="BA59" i="2" s="1"/>
  <c r="CH156" i="3"/>
  <c r="BU97" i="4"/>
  <c r="DH97" i="4" s="1"/>
  <c r="BV22" i="4"/>
  <c r="BU27" i="4"/>
  <c r="DU100" i="3"/>
  <c r="DV93" i="3"/>
  <c r="BJ61" i="5"/>
  <c r="BJ62" i="5"/>
  <c r="DL37" i="5"/>
  <c r="DI44" i="4"/>
  <c r="DI47" i="4"/>
  <c r="AD61" i="2"/>
  <c r="EA58" i="2"/>
  <c r="BY305" i="3"/>
  <c r="BW308" i="3"/>
  <c r="CB55" i="4"/>
  <c r="CB56" i="4"/>
  <c r="BY35" i="4"/>
  <c r="DI79" i="2"/>
  <c r="EU79" i="2" s="1"/>
  <c r="DH132" i="2"/>
  <c r="DH81" i="2"/>
  <c r="ET85" i="2"/>
  <c r="FD17" i="3"/>
  <c r="DJ35" i="2"/>
  <c r="DI37" i="2"/>
  <c r="EU35" i="2"/>
  <c r="CE18" i="4"/>
  <c r="CE17" i="4"/>
  <c r="CF15" i="4"/>
  <c r="DG87" i="2"/>
  <c r="G61" i="2"/>
  <c r="G60" i="2"/>
  <c r="G59" i="2"/>
  <c r="K60" i="2"/>
  <c r="DU58" i="2"/>
  <c r="H59" i="2"/>
  <c r="DW93" i="3"/>
  <c r="DW100" i="3" s="1"/>
  <c r="DW104" i="3" s="1"/>
  <c r="DX88" i="3"/>
  <c r="EI154" i="2"/>
  <c r="EI155" i="2"/>
  <c r="BL50" i="5"/>
  <c r="BL53" i="5"/>
  <c r="BL52" i="5"/>
  <c r="BL51" i="5"/>
  <c r="AT150" i="3"/>
  <c r="DC32" i="5"/>
  <c r="DC21" i="5"/>
  <c r="CH150" i="3"/>
  <c r="BL96" i="3"/>
  <c r="BK100" i="3"/>
  <c r="BK104" i="3" s="1"/>
  <c r="BT25" i="4"/>
  <c r="AQ13" i="6"/>
  <c r="AR11" i="6"/>
  <c r="CE60" i="4"/>
  <c r="CF58" i="4"/>
  <c r="CB14" i="6"/>
  <c r="FI91" i="3"/>
  <c r="CO97" i="3"/>
  <c r="EL61" i="2"/>
  <c r="EL60" i="2"/>
  <c r="DC54" i="5"/>
  <c r="DC56" i="5" s="1"/>
  <c r="BJ67" i="5"/>
  <c r="BJ68" i="5"/>
  <c r="BJ57" i="5"/>
  <c r="EJ154" i="2"/>
  <c r="EJ155" i="2"/>
  <c r="CX112" i="2"/>
  <c r="CW112" i="2"/>
  <c r="CW114" i="2"/>
  <c r="CW113" i="2"/>
  <c r="DA113" i="2"/>
  <c r="EJ114" i="2"/>
  <c r="EJ113" i="2"/>
  <c r="EP60" i="2"/>
  <c r="BU17" i="5"/>
  <c r="BT19" i="5"/>
  <c r="CD53" i="4"/>
  <c r="CC54" i="4"/>
  <c r="DL29" i="2"/>
  <c r="DK34" i="2"/>
  <c r="DK39" i="2" s="1"/>
  <c r="CF62" i="4"/>
  <c r="CE63" i="4"/>
  <c r="BQ114" i="2"/>
  <c r="BQ113" i="2"/>
  <c r="BQ112" i="2"/>
  <c r="DF88" i="2"/>
  <c r="DF136" i="2"/>
  <c r="DF89" i="2"/>
  <c r="DF83" i="2"/>
  <c r="BW31" i="4"/>
  <c r="BV36" i="4"/>
  <c r="FD114" i="3"/>
  <c r="FE114" i="3" s="1"/>
  <c r="FE11" i="3"/>
  <c r="DQ153" i="3"/>
  <c r="CE132" i="2"/>
  <c r="CF135" i="2"/>
  <c r="CF132" i="2" s="1"/>
  <c r="BM44" i="5" l="1"/>
  <c r="CD52" i="4"/>
  <c r="CD70" i="4"/>
  <c r="CD79" i="4"/>
  <c r="CL86" i="3"/>
  <c r="CM86" i="3" s="1"/>
  <c r="CN106" i="3"/>
  <c r="EE61" i="2"/>
  <c r="EE60" i="2"/>
  <c r="DX86" i="3"/>
  <c r="DY74" i="3"/>
  <c r="DZ63" i="3"/>
  <c r="CL318" i="3"/>
  <c r="FE42" i="3"/>
  <c r="DH99" i="4"/>
  <c r="DH70" i="4"/>
  <c r="DH61" i="4"/>
  <c r="DH52" i="4"/>
  <c r="DH43" i="4"/>
  <c r="DH34" i="4"/>
  <c r="EU81" i="2"/>
  <c r="DG51" i="5"/>
  <c r="DG52" i="5"/>
  <c r="DG53" i="5"/>
  <c r="DF85" i="2"/>
  <c r="DF84" i="2"/>
  <c r="FE17" i="3"/>
  <c r="BZ305" i="3"/>
  <c r="BY308" i="3"/>
  <c r="BN72" i="5"/>
  <c r="FG11" i="3"/>
  <c r="FG114" i="3" s="1"/>
  <c r="DK13" i="2"/>
  <c r="DK12" i="2"/>
  <c r="DL11" i="2"/>
  <c r="EJ158" i="2"/>
  <c r="EJ159" i="2"/>
  <c r="CO153" i="3"/>
  <c r="CP62" i="3"/>
  <c r="CP152" i="3"/>
  <c r="CO64" i="3"/>
  <c r="CO74" i="3" s="1"/>
  <c r="CO86" i="3" s="1"/>
  <c r="AY153" i="3"/>
  <c r="AR13" i="6"/>
  <c r="AS11" i="6"/>
  <c r="CC11" i="6" s="1"/>
  <c r="AV25" i="5"/>
  <c r="AV26" i="5"/>
  <c r="AV14" i="5"/>
  <c r="BP95" i="3"/>
  <c r="AS89" i="5"/>
  <c r="AS90" i="5"/>
  <c r="DB88" i="5"/>
  <c r="BT100" i="4"/>
  <c r="BT96" i="4"/>
  <c r="BT95" i="4"/>
  <c r="DM143" i="2"/>
  <c r="FF27" i="3"/>
  <c r="FD28" i="3"/>
  <c r="FE28" i="3" s="1"/>
  <c r="CO314" i="3"/>
  <c r="CP315" i="3"/>
  <c r="FK91" i="3"/>
  <c r="FJ91" i="3"/>
  <c r="AT153" i="3"/>
  <c r="DI142" i="2"/>
  <c r="DI141" i="2"/>
  <c r="EU140" i="2"/>
  <c r="CX103" i="2"/>
  <c r="CW105" i="2"/>
  <c r="CW106" i="2"/>
  <c r="ER103" i="2"/>
  <c r="BS222" i="2"/>
  <c r="BS220" i="2"/>
  <c r="BS227" i="2"/>
  <c r="BS221" i="2"/>
  <c r="BS111" i="2"/>
  <c r="AW80" i="5"/>
  <c r="AV82" i="5"/>
  <c r="AV81" i="5"/>
  <c r="T61" i="2"/>
  <c r="T60" i="2"/>
  <c r="T59" i="2"/>
  <c r="DX58" i="2"/>
  <c r="U59" i="2"/>
  <c r="CI35" i="5"/>
  <c r="CH37" i="5"/>
  <c r="FD118" i="3"/>
  <c r="AQ8" i="6"/>
  <c r="DF138" i="2"/>
  <c r="DF137" i="2"/>
  <c r="DL34" i="2"/>
  <c r="DL39" i="2" s="1"/>
  <c r="DM29" i="2"/>
  <c r="EV29" i="2" s="1"/>
  <c r="BV17" i="5"/>
  <c r="BU19" i="5"/>
  <c r="DU61" i="2"/>
  <c r="DU60" i="2"/>
  <c r="DV60" i="2"/>
  <c r="BU94" i="4"/>
  <c r="DG29" i="5"/>
  <c r="DG17" i="5"/>
  <c r="X61" i="2"/>
  <c r="X60" i="2"/>
  <c r="AB60" i="2"/>
  <c r="DY58" i="2"/>
  <c r="DZ60" i="2" s="1"/>
  <c r="DZ61" i="2"/>
  <c r="CA146" i="3"/>
  <c r="CA150" i="3" s="1"/>
  <c r="CC150" i="3" s="1"/>
  <c r="CC142" i="3"/>
  <c r="CC158" i="3" s="1"/>
  <c r="BK15" i="5"/>
  <c r="BK16" i="5"/>
  <c r="BQ159" i="2"/>
  <c r="BQ158" i="2"/>
  <c r="BQ157" i="2"/>
  <c r="BT219" i="2"/>
  <c r="EM61" i="2"/>
  <c r="EM60" i="2"/>
  <c r="EN60" i="2"/>
  <c r="FE19" i="3"/>
  <c r="DG72" i="5"/>
  <c r="DG150" i="2"/>
  <c r="DG149" i="2"/>
  <c r="DC63" i="5"/>
  <c r="DC65" i="5" s="1"/>
  <c r="FD141" i="3"/>
  <c r="AU79" i="5"/>
  <c r="AU83" i="5"/>
  <c r="AV77" i="5"/>
  <c r="FC118" i="3"/>
  <c r="FE41" i="3"/>
  <c r="EY146" i="3"/>
  <c r="EZ144" i="3"/>
  <c r="DH27" i="2"/>
  <c r="DH26" i="2"/>
  <c r="CF133" i="2"/>
  <c r="CF134" i="2"/>
  <c r="CJ134" i="2"/>
  <c r="CG133" i="2"/>
  <c r="CF63" i="4"/>
  <c r="CG62" i="4"/>
  <c r="BU98" i="4"/>
  <c r="BU99" i="4"/>
  <c r="BU61" i="4"/>
  <c r="BU52" i="4"/>
  <c r="BU43" i="4"/>
  <c r="BU34" i="4"/>
  <c r="DW60" i="2"/>
  <c r="DW61" i="2"/>
  <c r="AT88" i="5"/>
  <c r="AT85" i="5"/>
  <c r="AT84" i="5"/>
  <c r="EA60" i="2"/>
  <c r="EA61" i="2"/>
  <c r="EB60" i="2"/>
  <c r="CH157" i="3"/>
  <c r="CH158" i="3"/>
  <c r="CM157" i="3"/>
  <c r="BO54" i="5"/>
  <c r="BO30" i="5"/>
  <c r="BO72" i="5" s="1"/>
  <c r="BO8" i="5"/>
  <c r="BP11" i="5"/>
  <c r="EU93" i="2"/>
  <c r="AX49" i="5"/>
  <c r="AX9" i="5"/>
  <c r="AX10" i="5"/>
  <c r="AX27" i="5"/>
  <c r="BB10" i="5"/>
  <c r="CZ107" i="2"/>
  <c r="AW29" i="5"/>
  <c r="AW24" i="5"/>
  <c r="DC24" i="5" s="1"/>
  <c r="AW28" i="5"/>
  <c r="AW69" i="5"/>
  <c r="DC69" i="5" s="1"/>
  <c r="BA29" i="5"/>
  <c r="BM53" i="5"/>
  <c r="BM52" i="5"/>
  <c r="BM51" i="5"/>
  <c r="BM50" i="5"/>
  <c r="EU37" i="2"/>
  <c r="AZ60" i="2"/>
  <c r="AZ61" i="2"/>
  <c r="AZ59" i="2"/>
  <c r="BD60" i="2"/>
  <c r="EF58" i="2"/>
  <c r="BY26" i="4"/>
  <c r="AY54" i="5"/>
  <c r="AZ11" i="5"/>
  <c r="AY8" i="5"/>
  <c r="AY30" i="5"/>
  <c r="DG21" i="5"/>
  <c r="DG32" i="5"/>
  <c r="BS153" i="3"/>
  <c r="BX152" i="3"/>
  <c r="BX153" i="3" s="1"/>
  <c r="BK62" i="5"/>
  <c r="BK61" i="5"/>
  <c r="BX31" i="4"/>
  <c r="BW36" i="4"/>
  <c r="CC55" i="4"/>
  <c r="CC56" i="4"/>
  <c r="BJ59" i="5"/>
  <c r="BJ58" i="5"/>
  <c r="AQ14" i="6"/>
  <c r="CH153" i="3"/>
  <c r="DJ40" i="4"/>
  <c r="DG136" i="2"/>
  <c r="DG89" i="2"/>
  <c r="DG88" i="2"/>
  <c r="DG83" i="2"/>
  <c r="BV97" i="4"/>
  <c r="BV25" i="4" s="1"/>
  <c r="BW22" i="4"/>
  <c r="BV27" i="4"/>
  <c r="DC51" i="5"/>
  <c r="DC52" i="5"/>
  <c r="DC53" i="5"/>
  <c r="DC27" i="5"/>
  <c r="EJ131" i="2"/>
  <c r="EJ130" i="2"/>
  <c r="FB310" i="3"/>
  <c r="FC48" i="3"/>
  <c r="FB49" i="3"/>
  <c r="CE97" i="4"/>
  <c r="CF49" i="4"/>
  <c r="EU32" i="2"/>
  <c r="ET107" i="2"/>
  <c r="FI26" i="3"/>
  <c r="FJ26" i="3" s="1"/>
  <c r="Y59" i="2"/>
  <c r="BM28" i="5"/>
  <c r="BM29" i="5"/>
  <c r="BM24" i="5"/>
  <c r="AU62" i="5"/>
  <c r="AU61" i="5"/>
  <c r="CW93" i="3"/>
  <c r="BK67" i="5"/>
  <c r="BK68" i="5"/>
  <c r="BK57" i="5"/>
  <c r="CA45" i="4"/>
  <c r="CB44" i="4"/>
  <c r="BR114" i="2"/>
  <c r="BR113" i="2"/>
  <c r="BR112" i="2"/>
  <c r="FB46" i="3"/>
  <c r="FA144" i="3"/>
  <c r="BR129" i="2"/>
  <c r="BR130" i="2"/>
  <c r="BR131" i="2"/>
  <c r="BR156" i="2"/>
  <c r="DJ54" i="4"/>
  <c r="CP97" i="3"/>
  <c r="DX93" i="3"/>
  <c r="DX100" i="3" s="1"/>
  <c r="DX104" i="3" s="1"/>
  <c r="DY88" i="3"/>
  <c r="DI132" i="2"/>
  <c r="DI81" i="2"/>
  <c r="DJ79" i="2"/>
  <c r="BL66" i="5"/>
  <c r="BL70" i="5"/>
  <c r="BL60" i="5"/>
  <c r="BL71" i="5"/>
  <c r="AT58" i="5"/>
  <c r="AT59" i="5"/>
  <c r="CQ82" i="3"/>
  <c r="CP84" i="3"/>
  <c r="BN40" i="5"/>
  <c r="BN41" i="5"/>
  <c r="BN44" i="5" s="1"/>
  <c r="BO38" i="5"/>
  <c r="BN20" i="5"/>
  <c r="CO317" i="3"/>
  <c r="CN316" i="3"/>
  <c r="AQ19" i="6"/>
  <c r="AQ18" i="6"/>
  <c r="CE133" i="2"/>
  <c r="CE134" i="2"/>
  <c r="CI134" i="2"/>
  <c r="BM96" i="3"/>
  <c r="BL100" i="3"/>
  <c r="BL104" i="3" s="1"/>
  <c r="FF114" i="3"/>
  <c r="AW64" i="5"/>
  <c r="AW65" i="5"/>
  <c r="BA65" i="5"/>
  <c r="DI25" i="2"/>
  <c r="EU25" i="2" s="1"/>
  <c r="DI23" i="2"/>
  <c r="DI22" i="2"/>
  <c r="BR228" i="2"/>
  <c r="BR229" i="2" s="1"/>
  <c r="FF42" i="3"/>
  <c r="DK20" i="2"/>
  <c r="DG43" i="5"/>
  <c r="DG38" i="5"/>
  <c r="DU104" i="3"/>
  <c r="DV100" i="3"/>
  <c r="DH38" i="4"/>
  <c r="FF19" i="3"/>
  <c r="DJ21" i="2"/>
  <c r="DJ32" i="2"/>
  <c r="DK30" i="2"/>
  <c r="BS102" i="4"/>
  <c r="BS101" i="4"/>
  <c r="DH101" i="2"/>
  <c r="DI99" i="2"/>
  <c r="EU99" i="2" s="1"/>
  <c r="DH148" i="2"/>
  <c r="CE65" i="4"/>
  <c r="CE64" i="4"/>
  <c r="CE53" i="4"/>
  <c r="CD54" i="4"/>
  <c r="CG58" i="4"/>
  <c r="DK58" i="4" s="1"/>
  <c r="CF18" i="4"/>
  <c r="CG15" i="4"/>
  <c r="DK15" i="4" s="1"/>
  <c r="CF17" i="4"/>
  <c r="DH87" i="2"/>
  <c r="FF17" i="3"/>
  <c r="DJ37" i="2"/>
  <c r="DK35" i="2"/>
  <c r="DH133" i="2"/>
  <c r="DH134" i="2"/>
  <c r="BZ35" i="4"/>
  <c r="BU25" i="4"/>
  <c r="BN49" i="5"/>
  <c r="BN10" i="5"/>
  <c r="BN9" i="5"/>
  <c r="BN27" i="5"/>
  <c r="AV70" i="5"/>
  <c r="AV71" i="5"/>
  <c r="AV60" i="5"/>
  <c r="AV66" i="5"/>
  <c r="EN132" i="2"/>
  <c r="BH76" i="3"/>
  <c r="BI76" i="3" s="1"/>
  <c r="BJ77" i="3"/>
  <c r="BI77" i="3"/>
  <c r="BL14" i="5"/>
  <c r="BL26" i="5"/>
  <c r="BL25" i="5"/>
  <c r="DB80" i="5"/>
  <c r="DB82" i="5" s="1"/>
  <c r="DB85" i="5"/>
  <c r="CD61" i="4"/>
  <c r="DK91" i="2"/>
  <c r="DJ93" i="2"/>
  <c r="DJ140" i="2"/>
  <c r="AX72" i="5"/>
  <c r="DZ81" i="3"/>
  <c r="DY84" i="3"/>
  <c r="AU16" i="5"/>
  <c r="AU15" i="5"/>
  <c r="EU21" i="2"/>
  <c r="AW53" i="5"/>
  <c r="AW52" i="5"/>
  <c r="AW51" i="5"/>
  <c r="AW50" i="5"/>
  <c r="BA51" i="5"/>
  <c r="BM69" i="5"/>
  <c r="BM43" i="5"/>
  <c r="BM42" i="5"/>
  <c r="AU68" i="5"/>
  <c r="AU57" i="5"/>
  <c r="AU67" i="5"/>
  <c r="CS303" i="3"/>
  <c r="CN312" i="3"/>
  <c r="CO313" i="3"/>
  <c r="FE27" i="3"/>
  <c r="EB106" i="3"/>
  <c r="EC96" i="3"/>
  <c r="AR17" i="6"/>
  <c r="AR8" i="6" s="1"/>
  <c r="AR7" i="6"/>
  <c r="AS5" i="6"/>
  <c r="CC146" i="3" l="1"/>
  <c r="CE52" i="4"/>
  <c r="CE70" i="4"/>
  <c r="CE79" i="4"/>
  <c r="DH94" i="4"/>
  <c r="DH100" i="4" s="1"/>
  <c r="DH102" i="4" s="1"/>
  <c r="CG63" i="4"/>
  <c r="CG64" i="4" s="1"/>
  <c r="CO106" i="3"/>
  <c r="DY86" i="3"/>
  <c r="DZ74" i="3"/>
  <c r="EA74" i="3" s="1"/>
  <c r="EA63" i="3"/>
  <c r="CN318" i="3"/>
  <c r="FE118" i="3"/>
  <c r="BS228" i="2"/>
  <c r="BS229" i="2" s="1"/>
  <c r="EU27" i="2"/>
  <c r="DC71" i="5"/>
  <c r="DC60" i="5"/>
  <c r="DC62" i="5" s="1"/>
  <c r="CA35" i="4"/>
  <c r="DK60" i="4"/>
  <c r="CF53" i="4"/>
  <c r="CE54" i="4"/>
  <c r="FG42" i="3"/>
  <c r="FG41" i="3" s="1"/>
  <c r="DL20" i="2"/>
  <c r="BO41" i="5"/>
  <c r="BP38" i="5"/>
  <c r="BO40" i="5"/>
  <c r="BO20" i="5"/>
  <c r="BU219" i="2"/>
  <c r="EK219" i="2" s="1"/>
  <c r="EK221" i="2" s="1"/>
  <c r="DG19" i="5"/>
  <c r="DG20" i="5"/>
  <c r="BW17" i="5"/>
  <c r="BV19" i="5"/>
  <c r="FL91" i="3"/>
  <c r="CC13" i="6"/>
  <c r="BK59" i="5"/>
  <c r="BK58" i="5"/>
  <c r="FC310" i="3"/>
  <c r="FD48" i="3"/>
  <c r="FC49" i="3"/>
  <c r="BY31" i="4"/>
  <c r="DI31" i="4" s="1"/>
  <c r="BX36" i="4"/>
  <c r="EZ146" i="3"/>
  <c r="DB90" i="5"/>
  <c r="DL13" i="2"/>
  <c r="DL12" i="2"/>
  <c r="FH11" i="3"/>
  <c r="DM11" i="2"/>
  <c r="EV11" i="2" s="1"/>
  <c r="DH136" i="2"/>
  <c r="DH88" i="2"/>
  <c r="DH89" i="2"/>
  <c r="DH83" i="2"/>
  <c r="DI101" i="2"/>
  <c r="DJ99" i="2"/>
  <c r="DI148" i="2"/>
  <c r="EU148" i="2" s="1"/>
  <c r="DG85" i="2"/>
  <c r="DG84" i="2"/>
  <c r="AZ54" i="5"/>
  <c r="AZ8" i="5"/>
  <c r="AZ30" i="5"/>
  <c r="AZ72" i="5" s="1"/>
  <c r="DD11" i="5"/>
  <c r="FF141" i="3"/>
  <c r="FE141" i="3"/>
  <c r="EU23" i="2"/>
  <c r="DV104" i="3"/>
  <c r="DJ132" i="2"/>
  <c r="DJ81" i="2"/>
  <c r="DK79" i="2"/>
  <c r="CF97" i="4"/>
  <c r="CG49" i="4"/>
  <c r="DK49" i="4" s="1"/>
  <c r="DJ42" i="4"/>
  <c r="DK42" i="4"/>
  <c r="AW71" i="5"/>
  <c r="AW60" i="5"/>
  <c r="AW70" i="5"/>
  <c r="AW66" i="5"/>
  <c r="DC66" i="5" s="1"/>
  <c r="BA71" i="5"/>
  <c r="DA107" i="2"/>
  <c r="EU107" i="2"/>
  <c r="BO9" i="5"/>
  <c r="BO49" i="5"/>
  <c r="BO10" i="5"/>
  <c r="BO27" i="5"/>
  <c r="AT89" i="5"/>
  <c r="AT90" i="5"/>
  <c r="DG74" i="5"/>
  <c r="DG63" i="5"/>
  <c r="DG65" i="5" s="1"/>
  <c r="BU100" i="4"/>
  <c r="BU96" i="4"/>
  <c r="BU95" i="4"/>
  <c r="EU143" i="2"/>
  <c r="EU142" i="2"/>
  <c r="CQ315" i="3"/>
  <c r="CP314" i="3"/>
  <c r="DC14" i="5"/>
  <c r="DC16" i="5" s="1"/>
  <c r="DC26" i="5"/>
  <c r="CA305" i="3"/>
  <c r="BZ308" i="3"/>
  <c r="AU88" i="5"/>
  <c r="AU84" i="5"/>
  <c r="AU85" i="5"/>
  <c r="BT101" i="4"/>
  <c r="BT102" i="4"/>
  <c r="DZ84" i="3"/>
  <c r="EA81" i="3"/>
  <c r="EB81" i="3" s="1"/>
  <c r="DH150" i="2"/>
  <c r="DH149" i="2"/>
  <c r="BV98" i="4"/>
  <c r="BV99" i="4"/>
  <c r="BV61" i="4"/>
  <c r="BV52" i="4"/>
  <c r="BV43" i="4"/>
  <c r="BV34" i="4"/>
  <c r="AY49" i="5"/>
  <c r="AY27" i="5"/>
  <c r="AY10" i="5"/>
  <c r="AY9" i="5"/>
  <c r="BC10" i="5"/>
  <c r="DN143" i="2"/>
  <c r="AS13" i="6"/>
  <c r="AT11" i="6"/>
  <c r="BK77" i="3"/>
  <c r="BJ76" i="3"/>
  <c r="FF41" i="3"/>
  <c r="BP54" i="5"/>
  <c r="BP30" i="5"/>
  <c r="BP8" i="5"/>
  <c r="BQ11" i="5"/>
  <c r="CX105" i="2"/>
  <c r="CY103" i="2"/>
  <c r="CX106" i="2"/>
  <c r="AS17" i="6"/>
  <c r="AS14" i="6" s="1"/>
  <c r="AS7" i="6"/>
  <c r="AT5" i="6"/>
  <c r="CC5" i="6"/>
  <c r="FG17" i="3"/>
  <c r="DK37" i="2"/>
  <c r="DL35" i="2"/>
  <c r="BL62" i="5"/>
  <c r="BL61" i="5"/>
  <c r="CQ97" i="3"/>
  <c r="CH15" i="4"/>
  <c r="CG17" i="4"/>
  <c r="CG18" i="4"/>
  <c r="DI87" i="2"/>
  <c r="DJ23" i="2"/>
  <c r="DJ22" i="2"/>
  <c r="DJ25" i="2"/>
  <c r="DG40" i="5"/>
  <c r="CO316" i="3"/>
  <c r="CP317" i="3"/>
  <c r="CS82" i="3"/>
  <c r="CQ84" i="3"/>
  <c r="CR82" i="3"/>
  <c r="DJ56" i="4"/>
  <c r="DH48" i="4"/>
  <c r="FA146" i="3"/>
  <c r="CE98" i="4"/>
  <c r="CE61" i="4"/>
  <c r="BV94" i="4"/>
  <c r="BZ26" i="4"/>
  <c r="BT222" i="2"/>
  <c r="BT221" i="2"/>
  <c r="BT220" i="2"/>
  <c r="BT111" i="2"/>
  <c r="BT227" i="2"/>
  <c r="CJ35" i="5"/>
  <c r="CI37" i="5"/>
  <c r="DX61" i="2"/>
  <c r="DX60" i="2"/>
  <c r="AW82" i="5"/>
  <c r="AX80" i="5"/>
  <c r="ER106" i="2"/>
  <c r="ER105" i="2"/>
  <c r="AV16" i="5"/>
  <c r="AV15" i="5"/>
  <c r="AR14" i="6"/>
  <c r="EC106" i="3"/>
  <c r="ED96" i="3"/>
  <c r="BL15" i="5"/>
  <c r="BL16" i="5"/>
  <c r="EU101" i="2"/>
  <c r="DI27" i="2"/>
  <c r="DI26" i="2"/>
  <c r="DZ88" i="3"/>
  <c r="DY93" i="3"/>
  <c r="DY100" i="3" s="1"/>
  <c r="DY104" i="3" s="1"/>
  <c r="FB144" i="3"/>
  <c r="FB146" i="3" s="1"/>
  <c r="FC46" i="3"/>
  <c r="AY72" i="5"/>
  <c r="EF61" i="2"/>
  <c r="EF60" i="2"/>
  <c r="EG60" i="2"/>
  <c r="FG27" i="3"/>
  <c r="FF28" i="3"/>
  <c r="DJ142" i="2"/>
  <c r="DJ141" i="2"/>
  <c r="AV68" i="5"/>
  <c r="AV57" i="5"/>
  <c r="AV67" i="5"/>
  <c r="FG19" i="3"/>
  <c r="DK32" i="2"/>
  <c r="DL30" i="2"/>
  <c r="DK21" i="2"/>
  <c r="BN69" i="5"/>
  <c r="BN42" i="5"/>
  <c r="BN43" i="5"/>
  <c r="BS129" i="2"/>
  <c r="BS131" i="2"/>
  <c r="BS156" i="2"/>
  <c r="BS130" i="2"/>
  <c r="DK17" i="4"/>
  <c r="DK18" i="4"/>
  <c r="CT303" i="3"/>
  <c r="AV61" i="5"/>
  <c r="AV62" i="5"/>
  <c r="BN96" i="3"/>
  <c r="EB62" i="2" s="1"/>
  <c r="BO96" i="3"/>
  <c r="BM100" i="3"/>
  <c r="BM26" i="5"/>
  <c r="BM25" i="5"/>
  <c r="BM14" i="5"/>
  <c r="AX29" i="5"/>
  <c r="AX24" i="5"/>
  <c r="AX28" i="5"/>
  <c r="AX69" i="5"/>
  <c r="BB29" i="5"/>
  <c r="CF64" i="4"/>
  <c r="CF65" i="4"/>
  <c r="DY61" i="2"/>
  <c r="DY60" i="2"/>
  <c r="DM34" i="2"/>
  <c r="EV34" i="2" s="1"/>
  <c r="DN29" i="2"/>
  <c r="BQ95" i="3"/>
  <c r="DG24" i="5"/>
  <c r="BN52" i="5"/>
  <c r="BN51" i="5"/>
  <c r="BN50" i="5"/>
  <c r="BN53" i="5"/>
  <c r="AR19" i="6"/>
  <c r="AR18" i="6"/>
  <c r="CO312" i="3"/>
  <c r="CP313" i="3"/>
  <c r="AU59" i="5"/>
  <c r="AU58" i="5"/>
  <c r="BM70" i="5"/>
  <c r="BM60" i="5"/>
  <c r="BM66" i="5"/>
  <c r="BM71" i="5"/>
  <c r="DL91" i="2"/>
  <c r="DK93" i="2"/>
  <c r="DK140" i="2"/>
  <c r="EN134" i="2"/>
  <c r="EN135" i="2"/>
  <c r="EO134" i="2"/>
  <c r="BN29" i="5"/>
  <c r="BN24" i="5"/>
  <c r="BN28" i="5"/>
  <c r="CD94" i="4"/>
  <c r="CD55" i="4"/>
  <c r="CD56" i="4"/>
  <c r="DH79" i="4"/>
  <c r="BL67" i="5"/>
  <c r="BL68" i="5"/>
  <c r="BL57" i="5"/>
  <c r="DI133" i="2"/>
  <c r="DI134" i="2"/>
  <c r="EU132" i="2"/>
  <c r="BR159" i="2"/>
  <c r="BR158" i="2"/>
  <c r="BR157" i="2"/>
  <c r="CB45" i="4"/>
  <c r="CC44" i="4"/>
  <c r="CC45" i="4" s="1"/>
  <c r="FK26" i="3"/>
  <c r="DC17" i="5"/>
  <c r="DC29" i="5"/>
  <c r="BW97" i="4"/>
  <c r="BW25" i="4" s="1"/>
  <c r="BX22" i="4"/>
  <c r="BW27" i="4"/>
  <c r="DG137" i="2"/>
  <c r="DG138" i="2"/>
  <c r="AW25" i="5"/>
  <c r="AW26" i="5"/>
  <c r="AW14" i="5"/>
  <c r="BA26" i="5"/>
  <c r="AX50" i="5"/>
  <c r="AX52" i="5"/>
  <c r="AX51" i="5"/>
  <c r="AX53" i="5"/>
  <c r="BB51" i="5"/>
  <c r="AV83" i="5"/>
  <c r="AW77" i="5"/>
  <c r="DC77" i="5" s="1"/>
  <c r="DC79" i="5" s="1"/>
  <c r="AV79" i="5"/>
  <c r="BS113" i="2"/>
  <c r="BS112" i="2"/>
  <c r="BS114" i="2"/>
  <c r="ES103" i="2"/>
  <c r="CP153" i="3"/>
  <c r="CP64" i="3"/>
  <c r="CP106" i="3" s="1"/>
  <c r="CQ152" i="3"/>
  <c r="CQ62" i="3"/>
  <c r="DG69" i="5"/>
  <c r="CO318" i="3" l="1"/>
  <c r="DH96" i="4"/>
  <c r="DK63" i="4"/>
  <c r="CF52" i="4"/>
  <c r="CF88" i="4"/>
  <c r="CF70" i="4"/>
  <c r="CF79" i="4"/>
  <c r="CG65" i="4"/>
  <c r="EO62" i="2"/>
  <c r="EB63" i="3"/>
  <c r="DM39" i="2"/>
  <c r="EV39" i="2" s="1"/>
  <c r="AW15" i="5"/>
  <c r="AW16" i="5"/>
  <c r="BA16" i="5"/>
  <c r="DK142" i="2"/>
  <c r="DK141" i="2"/>
  <c r="CQ313" i="3"/>
  <c r="CP312" i="3"/>
  <c r="BT129" i="2"/>
  <c r="BT130" i="2"/>
  <c r="BT131" i="2"/>
  <c r="BT156" i="2"/>
  <c r="FH17" i="3"/>
  <c r="DL37" i="2"/>
  <c r="DM35" i="2"/>
  <c r="EV35" i="2" s="1"/>
  <c r="BQ54" i="5"/>
  <c r="BQ30" i="5"/>
  <c r="BQ72" i="5" s="1"/>
  <c r="BQ8" i="5"/>
  <c r="DH8" i="5" s="1"/>
  <c r="DH10" i="5" s="1"/>
  <c r="BR11" i="5"/>
  <c r="EU150" i="2"/>
  <c r="EU151" i="2"/>
  <c r="CP74" i="3"/>
  <c r="CP86" i="3" s="1"/>
  <c r="BR95" i="3"/>
  <c r="BM16" i="5"/>
  <c r="BM15" i="5"/>
  <c r="BV95" i="4"/>
  <c r="BV100" i="4"/>
  <c r="BV96" i="4"/>
  <c r="CS97" i="3"/>
  <c r="CR97" i="3"/>
  <c r="BP49" i="5"/>
  <c r="BP9" i="5"/>
  <c r="BP10" i="5"/>
  <c r="BP27" i="5"/>
  <c r="DJ148" i="2"/>
  <c r="DJ101" i="2"/>
  <c r="DK99" i="2"/>
  <c r="DI33" i="4"/>
  <c r="BW19" i="5"/>
  <c r="BX17" i="5"/>
  <c r="CE56" i="4"/>
  <c r="CE94" i="4"/>
  <c r="CE55" i="4"/>
  <c r="BW99" i="4"/>
  <c r="BW98" i="4"/>
  <c r="BW61" i="4"/>
  <c r="BW52" i="4"/>
  <c r="BW43" i="4"/>
  <c r="BW34" i="4"/>
  <c r="DM91" i="2"/>
  <c r="DL93" i="2"/>
  <c r="DL140" i="2"/>
  <c r="AX71" i="5"/>
  <c r="AX60" i="5"/>
  <c r="AX66" i="5"/>
  <c r="AX70" i="5"/>
  <c r="BB71" i="5"/>
  <c r="AV58" i="5"/>
  <c r="AV59" i="5"/>
  <c r="CR84" i="3"/>
  <c r="EV13" i="2"/>
  <c r="BP72" i="5"/>
  <c r="AW57" i="5"/>
  <c r="AW68" i="5"/>
  <c r="AW67" i="5"/>
  <c r="BA68" i="5"/>
  <c r="DH137" i="2"/>
  <c r="DH138" i="2"/>
  <c r="AV84" i="5"/>
  <c r="AV88" i="5"/>
  <c r="AV85" i="5"/>
  <c r="BL58" i="5"/>
  <c r="BL59" i="5"/>
  <c r="DK65" i="4"/>
  <c r="ED106" i="3"/>
  <c r="EE96" i="3"/>
  <c r="CT82" i="3"/>
  <c r="CS84" i="3"/>
  <c r="DH54" i="5"/>
  <c r="FF118" i="3"/>
  <c r="AY50" i="5"/>
  <c r="AY53" i="5"/>
  <c r="AY52" i="5"/>
  <c r="AY51" i="5"/>
  <c r="BC51" i="5"/>
  <c r="DK51" i="4"/>
  <c r="FH114" i="3"/>
  <c r="EK128" i="2"/>
  <c r="FH42" i="3"/>
  <c r="DM20" i="2"/>
  <c r="DC68" i="5"/>
  <c r="DC57" i="5"/>
  <c r="DC59" i="5" s="1"/>
  <c r="FH27" i="3"/>
  <c r="FG28" i="3"/>
  <c r="BT112" i="2"/>
  <c r="BT113" i="2"/>
  <c r="BT114" i="2"/>
  <c r="AT17" i="6"/>
  <c r="AT7" i="6"/>
  <c r="AU5" i="6"/>
  <c r="BU101" i="4"/>
  <c r="BU102" i="4"/>
  <c r="DI150" i="2"/>
  <c r="DI149" i="2"/>
  <c r="BP41" i="5"/>
  <c r="BQ38" i="5"/>
  <c r="BP40" i="5"/>
  <c r="BP20" i="5"/>
  <c r="EA88" i="3"/>
  <c r="EB88" i="3" s="1"/>
  <c r="DZ93" i="3"/>
  <c r="CI15" i="4"/>
  <c r="CH17" i="4"/>
  <c r="CH18" i="4"/>
  <c r="DJ87" i="2"/>
  <c r="DK81" i="2"/>
  <c r="DL79" i="2"/>
  <c r="DK132" i="2"/>
  <c r="AZ49" i="5"/>
  <c r="AZ27" i="5"/>
  <c r="AZ10" i="5"/>
  <c r="AZ9" i="5"/>
  <c r="BA9" i="5"/>
  <c r="BD10" i="5"/>
  <c r="BO42" i="5"/>
  <c r="BO43" i="5"/>
  <c r="BO69" i="5"/>
  <c r="DG60" i="5"/>
  <c r="DG62" i="5" s="1"/>
  <c r="DG71" i="5"/>
  <c r="BM61" i="5"/>
  <c r="BM62" i="5"/>
  <c r="DE30" i="5"/>
  <c r="AS19" i="6"/>
  <c r="AS18" i="6"/>
  <c r="AT13" i="6"/>
  <c r="AU11" i="6"/>
  <c r="AY28" i="5"/>
  <c r="AY29" i="5"/>
  <c r="AY24" i="5"/>
  <c r="AY69" i="5"/>
  <c r="BC29" i="5"/>
  <c r="CB305" i="3"/>
  <c r="CA308" i="3"/>
  <c r="CC17" i="6"/>
  <c r="CQ153" i="3"/>
  <c r="CS152" i="3"/>
  <c r="CW152" i="3" s="1"/>
  <c r="CW153" i="3" s="1"/>
  <c r="CR62" i="3"/>
  <c r="CQ64" i="3"/>
  <c r="CR64" i="3" s="1"/>
  <c r="CS62" i="3"/>
  <c r="BV219" i="2"/>
  <c r="DC20" i="5"/>
  <c r="DC19" i="5"/>
  <c r="CD100" i="4"/>
  <c r="DO29" i="2"/>
  <c r="DN34" i="2"/>
  <c r="DN39" i="2" s="1"/>
  <c r="AX14" i="5"/>
  <c r="AX25" i="5"/>
  <c r="AX26" i="5"/>
  <c r="BB26" i="5"/>
  <c r="BM104" i="3"/>
  <c r="BN100" i="3"/>
  <c r="BS158" i="2"/>
  <c r="BS157" i="2"/>
  <c r="BS159" i="2"/>
  <c r="BN70" i="5"/>
  <c r="BN71" i="5"/>
  <c r="BN60" i="5"/>
  <c r="BN66" i="5"/>
  <c r="FD46" i="3"/>
  <c r="FC144" i="3"/>
  <c r="FC146" i="3" s="1"/>
  <c r="CA26" i="4"/>
  <c r="CP316" i="3"/>
  <c r="CQ317" i="3"/>
  <c r="DJ26" i="2"/>
  <c r="DJ27" i="2"/>
  <c r="DI136" i="2"/>
  <c r="DI89" i="2"/>
  <c r="DI88" i="2"/>
  <c r="DI83" i="2"/>
  <c r="DD72" i="5"/>
  <c r="CC7" i="6"/>
  <c r="CY105" i="2"/>
  <c r="CZ103" i="2"/>
  <c r="EC81" i="3"/>
  <c r="EB84" i="3"/>
  <c r="AW61" i="5"/>
  <c r="AW62" i="5"/>
  <c r="BA62" i="5"/>
  <c r="CG97" i="4"/>
  <c r="EU87" i="2"/>
  <c r="FG118" i="3"/>
  <c r="FL26" i="3"/>
  <c r="CU303" i="3"/>
  <c r="FH19" i="3"/>
  <c r="DL32" i="2"/>
  <c r="DM30" i="2"/>
  <c r="DL21" i="2"/>
  <c r="CQ314" i="3"/>
  <c r="CS315" i="3"/>
  <c r="BO29" i="5"/>
  <c r="BO24" i="5"/>
  <c r="BO28" i="5"/>
  <c r="CB35" i="4"/>
  <c r="BY22" i="4"/>
  <c r="BX97" i="4"/>
  <c r="BX27" i="4"/>
  <c r="BN25" i="5"/>
  <c r="BN26" i="5"/>
  <c r="BN14" i="5"/>
  <c r="BM68" i="5"/>
  <c r="BM57" i="5"/>
  <c r="BM67" i="5"/>
  <c r="CJ37" i="5"/>
  <c r="CK35" i="5"/>
  <c r="DM35" i="5" s="1"/>
  <c r="FG141" i="3"/>
  <c r="AW83" i="5"/>
  <c r="AX77" i="5"/>
  <c r="AW79" i="5"/>
  <c r="DG66" i="5"/>
  <c r="DD8" i="5"/>
  <c r="AU90" i="5"/>
  <c r="AU89" i="5"/>
  <c r="BO51" i="5"/>
  <c r="BO52" i="5"/>
  <c r="BO53" i="5"/>
  <c r="BO50" i="5"/>
  <c r="DD54" i="5"/>
  <c r="FI11" i="3"/>
  <c r="FI114" i="3" s="1"/>
  <c r="DM13" i="2"/>
  <c r="DM12" i="2"/>
  <c r="DN11" i="2"/>
  <c r="BZ31" i="4"/>
  <c r="BY36" i="4"/>
  <c r="FM91" i="3"/>
  <c r="CG53" i="4"/>
  <c r="CG54" i="4" s="1"/>
  <c r="CF54" i="4"/>
  <c r="DH11" i="5"/>
  <c r="ES105" i="2"/>
  <c r="BW94" i="4"/>
  <c r="EU135" i="2"/>
  <c r="EU134" i="2"/>
  <c r="DG14" i="5"/>
  <c r="DG16" i="5" s="1"/>
  <c r="DG26" i="5"/>
  <c r="BP96" i="3"/>
  <c r="BO100" i="3"/>
  <c r="BO104" i="3" s="1"/>
  <c r="BO44" i="5"/>
  <c r="DK23" i="2"/>
  <c r="DK22" i="2"/>
  <c r="DK25" i="2"/>
  <c r="AY80" i="5"/>
  <c r="AX82" i="5"/>
  <c r="BT228" i="2"/>
  <c r="BT229" i="2" s="1"/>
  <c r="AX64" i="5"/>
  <c r="AX65" i="5"/>
  <c r="BB65" i="5"/>
  <c r="AS8" i="6"/>
  <c r="BL77" i="3"/>
  <c r="BK76" i="3"/>
  <c r="DO143" i="2"/>
  <c r="DZ86" i="3"/>
  <c r="EA86" i="3" s="1"/>
  <c r="EA84" i="3"/>
  <c r="AU86" i="5"/>
  <c r="DB107" i="2"/>
  <c r="EV107" i="2"/>
  <c r="CF98" i="4"/>
  <c r="CF61" i="4"/>
  <c r="DJ133" i="2"/>
  <c r="DJ134" i="2"/>
  <c r="DJ45" i="4"/>
  <c r="DH85" i="2"/>
  <c r="DH84" i="2"/>
  <c r="FD49" i="3"/>
  <c r="FD310" i="3"/>
  <c r="FF48" i="3"/>
  <c r="BU221" i="2"/>
  <c r="BU222" i="2"/>
  <c r="BU227" i="2"/>
  <c r="BU220" i="2"/>
  <c r="BU111" i="2"/>
  <c r="EK111" i="2" s="1"/>
  <c r="DD30" i="5"/>
  <c r="DD21" i="5" s="1"/>
  <c r="CG52" i="4" l="1"/>
  <c r="CG88" i="4"/>
  <c r="CG70" i="4"/>
  <c r="CG79" i="4"/>
  <c r="BX25" i="4"/>
  <c r="BX70" i="4"/>
  <c r="DK97" i="4"/>
  <c r="DK52" i="4" s="1"/>
  <c r="DK54" i="4"/>
  <c r="DK56" i="4" s="1"/>
  <c r="CQ106" i="3"/>
  <c r="CP318" i="3"/>
  <c r="CR106" i="3"/>
  <c r="CQ74" i="3"/>
  <c r="CR74" i="3" s="1"/>
  <c r="EB74" i="3"/>
  <c r="EB86" i="3" s="1"/>
  <c r="EC63" i="3"/>
  <c r="FJ114" i="3"/>
  <c r="BW95" i="4"/>
  <c r="BW100" i="4"/>
  <c r="BW96" i="4"/>
  <c r="AX83" i="5"/>
  <c r="AY77" i="5"/>
  <c r="AX79" i="5"/>
  <c r="AT19" i="6"/>
  <c r="AT18" i="6"/>
  <c r="FI42" i="3"/>
  <c r="FI41" i="3" s="1"/>
  <c r="DN20" i="2"/>
  <c r="EV20" i="2"/>
  <c r="DN91" i="2"/>
  <c r="DM93" i="2"/>
  <c r="DM140" i="2"/>
  <c r="BX19" i="5"/>
  <c r="BY17" i="5"/>
  <c r="DI137" i="2"/>
  <c r="DI138" i="2"/>
  <c r="BN68" i="5"/>
  <c r="BN57" i="5"/>
  <c r="BN67" i="5"/>
  <c r="AX15" i="5"/>
  <c r="AX16" i="5"/>
  <c r="BB16" i="5"/>
  <c r="DE21" i="5"/>
  <c r="DF32" i="5"/>
  <c r="EK114" i="2"/>
  <c r="EK113" i="2"/>
  <c r="BQ49" i="5"/>
  <c r="DH49" i="5" s="1"/>
  <c r="BQ9" i="5"/>
  <c r="BQ10" i="5"/>
  <c r="BQ27" i="5"/>
  <c r="DH27" i="5" s="1"/>
  <c r="DD63" i="5"/>
  <c r="DD74" i="5"/>
  <c r="DE74" i="5"/>
  <c r="CQ316" i="3"/>
  <c r="CS317" i="3"/>
  <c r="BN61" i="5"/>
  <c r="BN62" i="5"/>
  <c r="EB93" i="3"/>
  <c r="EB100" i="3" s="1"/>
  <c r="EB104" i="3" s="1"/>
  <c r="EC88" i="3"/>
  <c r="AV90" i="5"/>
  <c r="AV89" i="5"/>
  <c r="DL141" i="2"/>
  <c r="DL142" i="2"/>
  <c r="CQ312" i="3"/>
  <c r="CS313" i="3"/>
  <c r="AZ80" i="5"/>
  <c r="AY82" i="5"/>
  <c r="CA31" i="4"/>
  <c r="BZ36" i="4"/>
  <c r="FH141" i="3"/>
  <c r="CT315" i="3"/>
  <c r="CS314" i="3"/>
  <c r="BP44" i="5"/>
  <c r="CZ105" i="2"/>
  <c r="DA103" i="2"/>
  <c r="DI85" i="2"/>
  <c r="DI84" i="2"/>
  <c r="EU83" i="2"/>
  <c r="FF46" i="3"/>
  <c r="FD144" i="3"/>
  <c r="FD146" i="3" s="1"/>
  <c r="FE46" i="3"/>
  <c r="CT152" i="3"/>
  <c r="CS153" i="3"/>
  <c r="CS64" i="3"/>
  <c r="CS106" i="3" s="1"/>
  <c r="CT62" i="3"/>
  <c r="AZ50" i="5"/>
  <c r="AZ53" i="5"/>
  <c r="AZ52" i="5"/>
  <c r="AZ51" i="5"/>
  <c r="BA50" i="5"/>
  <c r="BD51" i="5"/>
  <c r="DD49" i="5"/>
  <c r="EE106" i="3"/>
  <c r="EF96" i="3"/>
  <c r="EV91" i="2"/>
  <c r="DK148" i="2"/>
  <c r="DK101" i="2"/>
  <c r="DL99" i="2"/>
  <c r="BT157" i="2"/>
  <c r="BT158" i="2"/>
  <c r="BT159" i="2"/>
  <c r="FN91" i="3"/>
  <c r="DD10" i="5"/>
  <c r="DE10" i="5"/>
  <c r="FI19" i="3"/>
  <c r="DM21" i="2"/>
  <c r="DN30" i="2"/>
  <c r="DM32" i="2"/>
  <c r="EU89" i="2"/>
  <c r="FI27" i="3"/>
  <c r="FJ27" i="3" s="1"/>
  <c r="FH28" i="3"/>
  <c r="DJ149" i="2"/>
  <c r="DJ150" i="2"/>
  <c r="DC107" i="2"/>
  <c r="EW107" i="2"/>
  <c r="AW85" i="5"/>
  <c r="AW84" i="5"/>
  <c r="AW88" i="5"/>
  <c r="DC88" i="5" s="1"/>
  <c r="DC83" i="5"/>
  <c r="AY14" i="5"/>
  <c r="AY26" i="5"/>
  <c r="AY25" i="5"/>
  <c r="BC26" i="5"/>
  <c r="BL76" i="3"/>
  <c r="BM77" i="3"/>
  <c r="BX94" i="4"/>
  <c r="BN104" i="3"/>
  <c r="CC19" i="6"/>
  <c r="CC14" i="6"/>
  <c r="DJ89" i="2"/>
  <c r="DJ136" i="2"/>
  <c r="DJ88" i="2"/>
  <c r="DJ83" i="2"/>
  <c r="AU7" i="6"/>
  <c r="AU17" i="6"/>
  <c r="AU14" i="6" s="1"/>
  <c r="AV5" i="6"/>
  <c r="BP28" i="5"/>
  <c r="BP29" i="5"/>
  <c r="BP24" i="5"/>
  <c r="CT97" i="3"/>
  <c r="BT95" i="3"/>
  <c r="BS95" i="3"/>
  <c r="CF56" i="4"/>
  <c r="CF94" i="4"/>
  <c r="CF55" i="4"/>
  <c r="DD56" i="5"/>
  <c r="DE56" i="5"/>
  <c r="DG68" i="5"/>
  <c r="DG57" i="5"/>
  <c r="DG59" i="5" s="1"/>
  <c r="DM37" i="5"/>
  <c r="BX99" i="4"/>
  <c r="BX98" i="4"/>
  <c r="BX61" i="4"/>
  <c r="BX52" i="4"/>
  <c r="BX43" i="4"/>
  <c r="BX34" i="4"/>
  <c r="CV303" i="3"/>
  <c r="CB26" i="4"/>
  <c r="CB308" i="3"/>
  <c r="CD305" i="3"/>
  <c r="BO71" i="5"/>
  <c r="BO60" i="5"/>
  <c r="BO66" i="5"/>
  <c r="BO70" i="5"/>
  <c r="DK134" i="2"/>
  <c r="DK133" i="2"/>
  <c r="BU129" i="2"/>
  <c r="BU131" i="2"/>
  <c r="BU130" i="2"/>
  <c r="BU156" i="2"/>
  <c r="EK156" i="2" s="1"/>
  <c r="CU82" i="3"/>
  <c r="CT84" i="3"/>
  <c r="EU136" i="2"/>
  <c r="AW58" i="5"/>
  <c r="AW59" i="5"/>
  <c r="BA59" i="5"/>
  <c r="AX67" i="5"/>
  <c r="AX68" i="5"/>
  <c r="AX57" i="5"/>
  <c r="BB68" i="5"/>
  <c r="CE100" i="4"/>
  <c r="CE95" i="4"/>
  <c r="EV37" i="2"/>
  <c r="CC35" i="4"/>
  <c r="FM26" i="3"/>
  <c r="AY66" i="5"/>
  <c r="AY70" i="5"/>
  <c r="AY60" i="5"/>
  <c r="AY71" i="5"/>
  <c r="BC71" i="5"/>
  <c r="BP42" i="5"/>
  <c r="BP43" i="5"/>
  <c r="BP69" i="5"/>
  <c r="AY64" i="5"/>
  <c r="AY65" i="5"/>
  <c r="BC65" i="5"/>
  <c r="DH72" i="5"/>
  <c r="AX61" i="5"/>
  <c r="AX62" i="5"/>
  <c r="BB62" i="5"/>
  <c r="BR54" i="5"/>
  <c r="BS11" i="5"/>
  <c r="BR8" i="5"/>
  <c r="BR30" i="5"/>
  <c r="DK47" i="4"/>
  <c r="DJ44" i="4"/>
  <c r="DJ47" i="4"/>
  <c r="BQ96" i="3"/>
  <c r="BP100" i="3"/>
  <c r="BP104" i="3" s="1"/>
  <c r="BO25" i="5"/>
  <c r="BO26" i="5"/>
  <c r="BO14" i="5"/>
  <c r="EC84" i="3"/>
  <c r="ED81" i="3"/>
  <c r="BV221" i="2"/>
  <c r="BW219" i="2"/>
  <c r="BV227" i="2"/>
  <c r="BV222" i="2"/>
  <c r="BV220" i="2"/>
  <c r="BV111" i="2"/>
  <c r="DZ100" i="3"/>
  <c r="EA93" i="3"/>
  <c r="FH41" i="3"/>
  <c r="FF310" i="3"/>
  <c r="FF49" i="3"/>
  <c r="FG48" i="3"/>
  <c r="DK26" i="2"/>
  <c r="DK27" i="2"/>
  <c r="EK131" i="2"/>
  <c r="EK130" i="2"/>
  <c r="BM59" i="5"/>
  <c r="BM58" i="5"/>
  <c r="AT14" i="6"/>
  <c r="AZ28" i="5"/>
  <c r="AZ29" i="5"/>
  <c r="AZ24" i="5"/>
  <c r="AZ69" i="5"/>
  <c r="DD69" i="5" s="1"/>
  <c r="BA28" i="5"/>
  <c r="BD29" i="5"/>
  <c r="DD27" i="5"/>
  <c r="BU112" i="2"/>
  <c r="BU113" i="2"/>
  <c r="BU114" i="2"/>
  <c r="BU228" i="2"/>
  <c r="BU229" i="2" s="1"/>
  <c r="EK227" i="2"/>
  <c r="DK79" i="4"/>
  <c r="DP143" i="2"/>
  <c r="CG56" i="4"/>
  <c r="CG55" i="4"/>
  <c r="CG94" i="4"/>
  <c r="FK11" i="3"/>
  <c r="DO11" i="2"/>
  <c r="DN13" i="2"/>
  <c r="DN12" i="2"/>
  <c r="CK37" i="5"/>
  <c r="CL35" i="5"/>
  <c r="BN16" i="5"/>
  <c r="BN15" i="5"/>
  <c r="BZ22" i="4"/>
  <c r="BY97" i="4"/>
  <c r="BY70" i="4" s="1"/>
  <c r="BY27" i="4"/>
  <c r="AZ64" i="5"/>
  <c r="AZ65" i="5"/>
  <c r="BA64" i="5"/>
  <c r="BD65" i="5"/>
  <c r="DL25" i="2"/>
  <c r="DL23" i="2"/>
  <c r="DL22" i="2"/>
  <c r="CG98" i="4"/>
  <c r="CG61" i="4"/>
  <c r="CC8" i="6"/>
  <c r="DP29" i="2"/>
  <c r="DO34" i="2"/>
  <c r="DO39" i="2" s="1"/>
  <c r="EH62" i="2"/>
  <c r="AV11" i="6"/>
  <c r="AU13" i="6"/>
  <c r="DI36" i="4"/>
  <c r="DM79" i="2"/>
  <c r="DL81" i="2"/>
  <c r="DL132" i="2"/>
  <c r="CI17" i="4"/>
  <c r="CI18" i="4"/>
  <c r="CJ15" i="4"/>
  <c r="DK87" i="2"/>
  <c r="BR38" i="5"/>
  <c r="BQ41" i="5"/>
  <c r="BQ44" i="5" s="1"/>
  <c r="BQ40" i="5"/>
  <c r="BQ20" i="5"/>
  <c r="AT8" i="6"/>
  <c r="FJ11" i="3"/>
  <c r="DH30" i="5"/>
  <c r="BP50" i="5"/>
  <c r="BP53" i="5"/>
  <c r="BP52" i="5"/>
  <c r="BP51" i="5"/>
  <c r="BV101" i="4"/>
  <c r="BV102" i="4"/>
  <c r="FI17" i="3"/>
  <c r="FJ17" i="3" s="1"/>
  <c r="DN35" i="2"/>
  <c r="DM37" i="2"/>
  <c r="EV30" i="2"/>
  <c r="DH41" i="5" l="1"/>
  <c r="DK70" i="4"/>
  <c r="DK34" i="4"/>
  <c r="DK43" i="4"/>
  <c r="DK61" i="4"/>
  <c r="CQ86" i="3"/>
  <c r="CR86" i="3" s="1"/>
  <c r="CQ318" i="3"/>
  <c r="ED63" i="3"/>
  <c r="EC74" i="3"/>
  <c r="EC86" i="3" s="1"/>
  <c r="FJ42" i="3"/>
  <c r="EV32" i="2"/>
  <c r="DM132" i="2"/>
  <c r="DM81" i="2"/>
  <c r="DN79" i="2"/>
  <c r="EV79" i="2"/>
  <c r="BS54" i="5"/>
  <c r="BT11" i="5"/>
  <c r="BS30" i="5"/>
  <c r="BS72" i="5" s="1"/>
  <c r="BS8" i="5"/>
  <c r="FO91" i="3"/>
  <c r="AX85" i="5"/>
  <c r="AX84" i="5"/>
  <c r="AX88" i="5"/>
  <c r="BY94" i="4"/>
  <c r="EE81" i="3"/>
  <c r="ED84" i="3"/>
  <c r="BP71" i="5"/>
  <c r="BP60" i="5"/>
  <c r="BP66" i="5"/>
  <c r="BP70" i="5"/>
  <c r="EU138" i="2"/>
  <c r="EU139" i="2"/>
  <c r="DH29" i="5"/>
  <c r="DH17" i="5"/>
  <c r="FK17" i="3"/>
  <c r="DO35" i="2"/>
  <c r="DN37" i="2"/>
  <c r="BY99" i="4"/>
  <c r="BY98" i="4"/>
  <c r="BY61" i="4"/>
  <c r="BY52" i="4"/>
  <c r="BY43" i="4"/>
  <c r="BY34" i="4"/>
  <c r="DI97" i="4"/>
  <c r="EK158" i="2"/>
  <c r="EK159" i="2"/>
  <c r="DM141" i="2"/>
  <c r="DM142" i="2"/>
  <c r="EV140" i="2"/>
  <c r="FK42" i="3"/>
  <c r="DO20" i="2"/>
  <c r="DD17" i="5"/>
  <c r="DD29" i="5"/>
  <c r="DE29" i="5"/>
  <c r="FH118" i="3"/>
  <c r="FJ41" i="3"/>
  <c r="BR72" i="5"/>
  <c r="DC90" i="5"/>
  <c r="CE101" i="4"/>
  <c r="CU84" i="3"/>
  <c r="CV82" i="3"/>
  <c r="CC26" i="4"/>
  <c r="AU8" i="6"/>
  <c r="DC80" i="5"/>
  <c r="DC82" i="5" s="1"/>
  <c r="DC85" i="5"/>
  <c r="CU152" i="3"/>
  <c r="CT153" i="3"/>
  <c r="CT64" i="3"/>
  <c r="CT106" i="3" s="1"/>
  <c r="CU62" i="3"/>
  <c r="EU85" i="2"/>
  <c r="FI118" i="3"/>
  <c r="DD60" i="5"/>
  <c r="DD71" i="5"/>
  <c r="DE71" i="5"/>
  <c r="AZ66" i="5"/>
  <c r="AZ70" i="5"/>
  <c r="AZ60" i="5"/>
  <c r="AZ71" i="5"/>
  <c r="BA70" i="5"/>
  <c r="BD71" i="5"/>
  <c r="EV93" i="2"/>
  <c r="CT317" i="3"/>
  <c r="CS316" i="3"/>
  <c r="DN93" i="2"/>
  <c r="DO91" i="2"/>
  <c r="DN140" i="2"/>
  <c r="DH38" i="5"/>
  <c r="DH40" i="5" s="1"/>
  <c r="DH43" i="5"/>
  <c r="CJ18" i="4"/>
  <c r="CK15" i="4"/>
  <c r="CJ17" i="4"/>
  <c r="DL87" i="2"/>
  <c r="CM35" i="5"/>
  <c r="CL37" i="5"/>
  <c r="CG100" i="4"/>
  <c r="CG95" i="4"/>
  <c r="CF100" i="4"/>
  <c r="CF95" i="4"/>
  <c r="DK94" i="4"/>
  <c r="BN77" i="3"/>
  <c r="BO77" i="3"/>
  <c r="BM76" i="3"/>
  <c r="BN76" i="3" s="1"/>
  <c r="DM25" i="2"/>
  <c r="EV25" i="2" s="1"/>
  <c r="DM23" i="2"/>
  <c r="DM22" i="2"/>
  <c r="DJ138" i="2"/>
  <c r="DJ137" i="2"/>
  <c r="FK27" i="3"/>
  <c r="FI28" i="3"/>
  <c r="FJ28" i="3" s="1"/>
  <c r="EG96" i="3"/>
  <c r="EF106" i="3"/>
  <c r="DA105" i="2"/>
  <c r="DB103" i="2"/>
  <c r="CB31" i="4"/>
  <c r="CA36" i="4"/>
  <c r="BQ28" i="5"/>
  <c r="BQ29" i="5"/>
  <c r="BQ24" i="5"/>
  <c r="DH24" i="5" s="1"/>
  <c r="DQ29" i="2"/>
  <c r="EW29" i="2" s="1"/>
  <c r="DP34" i="2"/>
  <c r="DP39" i="2" s="1"/>
  <c r="BY25" i="4"/>
  <c r="FE144" i="3"/>
  <c r="BQ43" i="5"/>
  <c r="BQ69" i="5"/>
  <c r="BQ42" i="5"/>
  <c r="DL134" i="2"/>
  <c r="DL133" i="2"/>
  <c r="BV131" i="2"/>
  <c r="BV130" i="2"/>
  <c r="BV129" i="2"/>
  <c r="BV156" i="2"/>
  <c r="EV21" i="2"/>
  <c r="CA22" i="4"/>
  <c r="BZ97" i="4"/>
  <c r="BZ27" i="4"/>
  <c r="FL11" i="3"/>
  <c r="FL114" i="3" s="1"/>
  <c r="DP11" i="2"/>
  <c r="DO13" i="2"/>
  <c r="DO12" i="2"/>
  <c r="BV228" i="2"/>
  <c r="BV229" i="2" s="1"/>
  <c r="BO16" i="5"/>
  <c r="BO15" i="5"/>
  <c r="BX219" i="2"/>
  <c r="AY67" i="5"/>
  <c r="AY68" i="5"/>
  <c r="AY57" i="5"/>
  <c r="BC68" i="5"/>
  <c r="BU157" i="2"/>
  <c r="BU158" i="2"/>
  <c r="BU159" i="2"/>
  <c r="BU95" i="3"/>
  <c r="DJ85" i="2"/>
  <c r="DJ84" i="2"/>
  <c r="DD107" i="2"/>
  <c r="CS74" i="3"/>
  <c r="CS86" i="3" s="1"/>
  <c r="FI141" i="3"/>
  <c r="AZ82" i="5"/>
  <c r="BA80" i="5"/>
  <c r="DD65" i="5"/>
  <c r="DE65" i="5"/>
  <c r="BN58" i="5"/>
  <c r="BN59" i="5"/>
  <c r="BY19" i="5"/>
  <c r="BZ17" i="5"/>
  <c r="DK88" i="2"/>
  <c r="DK89" i="2"/>
  <c r="DK136" i="2"/>
  <c r="DK83" i="2"/>
  <c r="FK114" i="3"/>
  <c r="AX59" i="5"/>
  <c r="AX58" i="5"/>
  <c r="BB59" i="5"/>
  <c r="BO67" i="5"/>
  <c r="BO57" i="5"/>
  <c r="BO68" i="5"/>
  <c r="AV17" i="6"/>
  <c r="AV8" i="6" s="1"/>
  <c r="AW5" i="6"/>
  <c r="AV7" i="6"/>
  <c r="AY15" i="5"/>
  <c r="AY16" i="5"/>
  <c r="BC16" i="5"/>
  <c r="FK19" i="3"/>
  <c r="DO30" i="2"/>
  <c r="DN21" i="2"/>
  <c r="DN32" i="2"/>
  <c r="DH51" i="5"/>
  <c r="DH52" i="5"/>
  <c r="DH53" i="5"/>
  <c r="AZ14" i="5"/>
  <c r="AZ26" i="5"/>
  <c r="AZ25" i="5"/>
  <c r="BA25" i="5"/>
  <c r="BD26" i="5"/>
  <c r="DD24" i="5"/>
  <c r="BV112" i="2"/>
  <c r="BV114" i="2"/>
  <c r="BV113" i="2"/>
  <c r="BZ113" i="2"/>
  <c r="BO61" i="5"/>
  <c r="BO62" i="5"/>
  <c r="AU19" i="6"/>
  <c r="AU18" i="6"/>
  <c r="FE146" i="3"/>
  <c r="EC93" i="3"/>
  <c r="EC100" i="3" s="1"/>
  <c r="EC104" i="3" s="1"/>
  <c r="ED88" i="3"/>
  <c r="DL27" i="2"/>
  <c r="DL26" i="2"/>
  <c r="DQ143" i="2"/>
  <c r="BR96" i="3"/>
  <c r="BQ100" i="3"/>
  <c r="BQ104" i="3" s="1"/>
  <c r="AY62" i="5"/>
  <c r="AY61" i="5"/>
  <c r="BC62" i="5"/>
  <c r="BP14" i="5"/>
  <c r="BP26" i="5"/>
  <c r="BP25" i="5"/>
  <c r="DM99" i="2"/>
  <c r="EV99" i="2" s="1"/>
  <c r="DL148" i="2"/>
  <c r="DL101" i="2"/>
  <c r="FG46" i="3"/>
  <c r="FF144" i="3"/>
  <c r="CU315" i="3"/>
  <c r="CT314" i="3"/>
  <c r="BW102" i="4"/>
  <c r="BW101" i="4"/>
  <c r="BR40" i="5"/>
  <c r="BS38" i="5"/>
  <c r="BR41" i="5"/>
  <c r="BR20" i="5"/>
  <c r="AV13" i="6"/>
  <c r="AW11" i="6"/>
  <c r="CD11" i="6" s="1"/>
  <c r="FG310" i="3"/>
  <c r="FG49" i="3"/>
  <c r="FH48" i="3"/>
  <c r="EA100" i="3"/>
  <c r="DZ104" i="3"/>
  <c r="BW227" i="2"/>
  <c r="BW222" i="2"/>
  <c r="BW220" i="2"/>
  <c r="BW221" i="2"/>
  <c r="BW111" i="2"/>
  <c r="BR49" i="5"/>
  <c r="BR10" i="5"/>
  <c r="BR9" i="5"/>
  <c r="BR27" i="5"/>
  <c r="DH74" i="5"/>
  <c r="FN26" i="3"/>
  <c r="CE305" i="3"/>
  <c r="CD308" i="3"/>
  <c r="CX303" i="3"/>
  <c r="BX96" i="4"/>
  <c r="BX95" i="4"/>
  <c r="BX100" i="4"/>
  <c r="AW90" i="5"/>
  <c r="AW89" i="5"/>
  <c r="DK149" i="2"/>
  <c r="DK150" i="2"/>
  <c r="DD51" i="5"/>
  <c r="DD53" i="5"/>
  <c r="DD52" i="5"/>
  <c r="DE51" i="5"/>
  <c r="FJ19" i="3"/>
  <c r="CT313" i="3"/>
  <c r="CS312" i="3"/>
  <c r="BQ50" i="5"/>
  <c r="BQ53" i="5"/>
  <c r="BQ52" i="5"/>
  <c r="BQ51" i="5"/>
  <c r="AY83" i="5"/>
  <c r="AY79" i="5"/>
  <c r="AZ77" i="5"/>
  <c r="BZ25" i="4" l="1"/>
  <c r="BZ70" i="4"/>
  <c r="CS318" i="3"/>
  <c r="ED74" i="3"/>
  <c r="ED86" i="3" s="1"/>
  <c r="EE63" i="3"/>
  <c r="FJ118" i="3"/>
  <c r="BW228" i="2"/>
  <c r="BW229" i="2" s="1"/>
  <c r="CD13" i="6"/>
  <c r="EV101" i="2"/>
  <c r="FH46" i="3"/>
  <c r="FG144" i="3"/>
  <c r="FG146" i="3" s="1"/>
  <c r="DN22" i="2"/>
  <c r="DN23" i="2"/>
  <c r="DN25" i="2"/>
  <c r="BO59" i="5"/>
  <c r="BO58" i="5"/>
  <c r="EV143" i="2"/>
  <c r="EV142" i="2"/>
  <c r="BS49" i="5"/>
  <c r="BS10" i="5"/>
  <c r="BS9" i="5"/>
  <c r="BS27" i="5"/>
  <c r="AW7" i="6"/>
  <c r="AX5" i="6"/>
  <c r="AW17" i="6"/>
  <c r="FK141" i="3"/>
  <c r="FJ141" i="3"/>
  <c r="BQ66" i="5"/>
  <c r="DH66" i="5" s="1"/>
  <c r="BQ71" i="5"/>
  <c r="BQ70" i="5"/>
  <c r="BQ60" i="5"/>
  <c r="DD62" i="5"/>
  <c r="DE62" i="5"/>
  <c r="BP61" i="5"/>
  <c r="BP62" i="5"/>
  <c r="BY95" i="4"/>
  <c r="BY100" i="4"/>
  <c r="BY96" i="4"/>
  <c r="DI94" i="4"/>
  <c r="AX89" i="5"/>
  <c r="AX90" i="5"/>
  <c r="DM134" i="2"/>
  <c r="DM133" i="2"/>
  <c r="DH14" i="5"/>
  <c r="DH16" i="5" s="1"/>
  <c r="DH26" i="5"/>
  <c r="BX102" i="4"/>
  <c r="BX101" i="4"/>
  <c r="CY303" i="3"/>
  <c r="BW114" i="2"/>
  <c r="BW113" i="2"/>
  <c r="CA113" i="2"/>
  <c r="BW112" i="2"/>
  <c r="ED93" i="3"/>
  <c r="ED100" i="3" s="1"/>
  <c r="ED104" i="3" s="1"/>
  <c r="EE88" i="3"/>
  <c r="BY219" i="2"/>
  <c r="EL219" i="2" s="1"/>
  <c r="EL221" i="2" s="1"/>
  <c r="FM11" i="3"/>
  <c r="DQ11" i="2"/>
  <c r="EW11" i="2" s="1"/>
  <c r="DP13" i="2"/>
  <c r="DP12" i="2"/>
  <c r="EV23" i="2"/>
  <c r="EV132" i="2"/>
  <c r="DK100" i="4"/>
  <c r="DO93" i="2"/>
  <c r="DP91" i="2"/>
  <c r="DO140" i="2"/>
  <c r="AZ62" i="5"/>
  <c r="AZ61" i="5"/>
  <c r="BA61" i="5"/>
  <c r="BD62" i="5"/>
  <c r="CT74" i="3"/>
  <c r="CT86" i="3" s="1"/>
  <c r="BT54" i="5"/>
  <c r="BU11" i="5"/>
  <c r="BT30" i="5"/>
  <c r="BT72" i="5" s="1"/>
  <c r="BT8" i="5"/>
  <c r="DN99" i="2"/>
  <c r="DM148" i="2"/>
  <c r="EV148" i="2" s="1"/>
  <c r="DM101" i="2"/>
  <c r="DD14" i="5"/>
  <c r="DD26" i="5"/>
  <c r="DE26" i="5"/>
  <c r="CF101" i="4"/>
  <c r="CU153" i="3"/>
  <c r="CV62" i="3"/>
  <c r="CV152" i="3"/>
  <c r="CU64" i="3"/>
  <c r="CU106" i="3" s="1"/>
  <c r="BP67" i="5"/>
  <c r="BP68" i="5"/>
  <c r="BP57" i="5"/>
  <c r="BS96" i="3"/>
  <c r="EC62" i="2" s="1"/>
  <c r="BT96" i="3"/>
  <c r="BR100" i="3"/>
  <c r="FL19" i="3"/>
  <c r="DP30" i="2"/>
  <c r="DO21" i="2"/>
  <c r="DO32" i="2"/>
  <c r="BX220" i="2"/>
  <c r="BX221" i="2"/>
  <c r="BX111" i="2"/>
  <c r="BX227" i="2"/>
  <c r="BX222" i="2"/>
  <c r="CW82" i="3"/>
  <c r="CV84" i="3"/>
  <c r="AZ83" i="5"/>
  <c r="AZ79" i="5"/>
  <c r="BA77" i="5"/>
  <c r="DD77" i="5" s="1"/>
  <c r="DD79" i="5" s="1"/>
  <c r="CU313" i="3"/>
  <c r="CT312" i="3"/>
  <c r="FH310" i="3"/>
  <c r="FI48" i="3"/>
  <c r="FH49" i="3"/>
  <c r="AV19" i="6"/>
  <c r="AV18" i="6"/>
  <c r="EG106" i="3"/>
  <c r="EH96" i="3"/>
  <c r="FL17" i="3"/>
  <c r="DP35" i="2"/>
  <c r="DO37" i="2"/>
  <c r="CF305" i="3"/>
  <c r="CE308" i="3"/>
  <c r="BR69" i="5"/>
  <c r="BR43" i="5"/>
  <c r="BR42" i="5"/>
  <c r="CU314" i="3"/>
  <c r="CV315" i="3"/>
  <c r="DL150" i="2"/>
  <c r="DL149" i="2"/>
  <c r="BP15" i="5"/>
  <c r="BP16" i="5"/>
  <c r="EV27" i="2"/>
  <c r="DK138" i="2"/>
  <c r="DK137" i="2"/>
  <c r="CA17" i="5"/>
  <c r="BZ19" i="5"/>
  <c r="AY59" i="5"/>
  <c r="AY58" i="5"/>
  <c r="BC59" i="5"/>
  <c r="BZ94" i="4"/>
  <c r="DQ34" i="2"/>
  <c r="DQ39" i="2" s="1"/>
  <c r="EW39" i="2" s="1"/>
  <c r="CC31" i="4"/>
  <c r="DJ31" i="4" s="1"/>
  <c r="CB36" i="4"/>
  <c r="DL88" i="2"/>
  <c r="DL89" i="2"/>
  <c r="DL136" i="2"/>
  <c r="DL83" i="2"/>
  <c r="DN141" i="2"/>
  <c r="DN142" i="2"/>
  <c r="AZ67" i="5"/>
  <c r="AZ68" i="5"/>
  <c r="AZ57" i="5"/>
  <c r="BA67" i="5"/>
  <c r="BD68" i="5"/>
  <c r="DD66" i="5"/>
  <c r="DD20" i="5"/>
  <c r="DD19" i="5"/>
  <c r="DE19" i="5"/>
  <c r="FL42" i="3"/>
  <c r="FL41" i="3" s="1"/>
  <c r="DP20" i="2"/>
  <c r="DI99" i="4"/>
  <c r="DI70" i="4"/>
  <c r="DI79" i="4"/>
  <c r="DI61" i="4"/>
  <c r="DI52" i="4"/>
  <c r="DI43" i="4"/>
  <c r="DI34" i="4"/>
  <c r="EV81" i="2"/>
  <c r="CD5" i="6"/>
  <c r="AW13" i="6"/>
  <c r="AX11" i="6"/>
  <c r="CK18" i="4"/>
  <c r="CL15" i="4"/>
  <c r="CK17" i="4"/>
  <c r="DM87" i="2"/>
  <c r="BR50" i="5"/>
  <c r="BR53" i="5"/>
  <c r="BR52" i="5"/>
  <c r="BR51" i="5"/>
  <c r="EA104" i="3"/>
  <c r="CA97" i="4"/>
  <c r="CA70" i="4" s="1"/>
  <c r="CB22" i="4"/>
  <c r="CA27" i="4"/>
  <c r="BO76" i="3"/>
  <c r="BP77" i="3"/>
  <c r="CN35" i="5"/>
  <c r="CM37" i="5"/>
  <c r="BR28" i="5"/>
  <c r="BR29" i="5"/>
  <c r="BR24" i="5"/>
  <c r="DK84" i="2"/>
  <c r="DK85" i="2"/>
  <c r="BV159" i="2"/>
  <c r="BV158" i="2"/>
  <c r="BV157" i="2"/>
  <c r="DL15" i="4"/>
  <c r="DH69" i="5"/>
  <c r="AY85" i="5"/>
  <c r="AY84" i="5"/>
  <c r="AY88" i="5"/>
  <c r="FO26" i="3"/>
  <c r="AV14" i="6"/>
  <c r="BS40" i="5"/>
  <c r="BS41" i="5"/>
  <c r="BT38" i="5"/>
  <c r="BS20" i="5"/>
  <c r="FF146" i="3"/>
  <c r="AZ15" i="5"/>
  <c r="AZ16" i="5"/>
  <c r="BA15" i="5"/>
  <c r="BD16" i="5"/>
  <c r="BA82" i="5"/>
  <c r="BB80" i="5"/>
  <c r="DE107" i="2"/>
  <c r="BV95" i="3"/>
  <c r="BZ99" i="4"/>
  <c r="BZ98" i="4"/>
  <c r="BZ61" i="4"/>
  <c r="BZ52" i="4"/>
  <c r="BZ43" i="4"/>
  <c r="CD99" i="4"/>
  <c r="BZ34" i="4"/>
  <c r="BR44" i="5"/>
  <c r="BQ14" i="5"/>
  <c r="BQ26" i="5"/>
  <c r="BQ25" i="5"/>
  <c r="DB105" i="2"/>
  <c r="DC103" i="2"/>
  <c r="FL27" i="3"/>
  <c r="FK28" i="3"/>
  <c r="DM27" i="2"/>
  <c r="DM26" i="2"/>
  <c r="CG101" i="4"/>
  <c r="CU317" i="3"/>
  <c r="CT316" i="3"/>
  <c r="BW131" i="2"/>
  <c r="BW130" i="2"/>
  <c r="BW129" i="2"/>
  <c r="BW156" i="2"/>
  <c r="FK41" i="3"/>
  <c r="DH20" i="5"/>
  <c r="DH19" i="5"/>
  <c r="EE84" i="3"/>
  <c r="EF81" i="3"/>
  <c r="EG81" i="3" s="1"/>
  <c r="DO79" i="2"/>
  <c r="DN132" i="2"/>
  <c r="DN81" i="2"/>
  <c r="CU74" i="3" l="1"/>
  <c r="CU86" i="3" s="1"/>
  <c r="EE74" i="3"/>
  <c r="EF74" i="3" s="1"/>
  <c r="EF63" i="3"/>
  <c r="EV151" i="2"/>
  <c r="EV150" i="2"/>
  <c r="BT40" i="5"/>
  <c r="BT41" i="5"/>
  <c r="BU38" i="5"/>
  <c r="BT20" i="5"/>
  <c r="CA98" i="4"/>
  <c r="CA99" i="4"/>
  <c r="CA61" i="4"/>
  <c r="CA52" i="4"/>
  <c r="CA43" i="4"/>
  <c r="CE99" i="4"/>
  <c r="CA34" i="4"/>
  <c r="DJ33" i="4"/>
  <c r="DK33" i="4"/>
  <c r="BP76" i="3"/>
  <c r="BQ77" i="3"/>
  <c r="FL118" i="3"/>
  <c r="BZ100" i="4"/>
  <c r="BZ96" i="4"/>
  <c r="BZ95" i="4"/>
  <c r="CD96" i="4"/>
  <c r="CG305" i="3"/>
  <c r="CF308" i="3"/>
  <c r="FI310" i="3"/>
  <c r="FK48" i="3"/>
  <c r="FI49" i="3"/>
  <c r="AZ88" i="5"/>
  <c r="AZ84" i="5"/>
  <c r="AZ85" i="5"/>
  <c r="BU96" i="3"/>
  <c r="BT100" i="3"/>
  <c r="BT104" i="3" s="1"/>
  <c r="EW13" i="2"/>
  <c r="EL128" i="2"/>
  <c r="DN27" i="2"/>
  <c r="DN26" i="2"/>
  <c r="FI46" i="3"/>
  <c r="FJ46" i="3" s="1"/>
  <c r="FH144" i="3"/>
  <c r="FH146" i="3" s="1"/>
  <c r="DO132" i="2"/>
  <c r="DO81" i="2"/>
  <c r="DP79" i="2"/>
  <c r="BW95" i="3"/>
  <c r="BB82" i="5"/>
  <c r="BC80" i="5"/>
  <c r="AX13" i="6"/>
  <c r="AY11" i="6"/>
  <c r="DD57" i="5"/>
  <c r="DD68" i="5"/>
  <c r="DE68" i="5"/>
  <c r="CC36" i="4"/>
  <c r="EH106" i="3"/>
  <c r="EI96" i="3"/>
  <c r="CW84" i="3"/>
  <c r="BT10" i="5"/>
  <c r="BT9" i="5"/>
  <c r="BT49" i="5"/>
  <c r="BT27" i="5"/>
  <c r="DQ91" i="2"/>
  <c r="DP93" i="2"/>
  <c r="DP140" i="2"/>
  <c r="EF88" i="3"/>
  <c r="EG88" i="3" s="1"/>
  <c r="EE93" i="3"/>
  <c r="DI100" i="4"/>
  <c r="DI96" i="4"/>
  <c r="AX17" i="6"/>
  <c r="AX8" i="6" s="1"/>
  <c r="AX7" i="6"/>
  <c r="AY5" i="6"/>
  <c r="BS53" i="5"/>
  <c r="BS52" i="5"/>
  <c r="BS51" i="5"/>
  <c r="BS50" i="5"/>
  <c r="BS44" i="5"/>
  <c r="BS100" i="3"/>
  <c r="BR104" i="3"/>
  <c r="FM114" i="3"/>
  <c r="BQ62" i="5"/>
  <c r="BQ61" i="5"/>
  <c r="FL141" i="3"/>
  <c r="BR14" i="5"/>
  <c r="BR26" i="5"/>
  <c r="BR25" i="5"/>
  <c r="DL138" i="2"/>
  <c r="DL137" i="2"/>
  <c r="CV153" i="3"/>
  <c r="CV64" i="3"/>
  <c r="CW64" i="3" s="1"/>
  <c r="CX152" i="3"/>
  <c r="DB152" i="3" s="1"/>
  <c r="DB153" i="3" s="1"/>
  <c r="CX62" i="3"/>
  <c r="CW62" i="3"/>
  <c r="DN148" i="2"/>
  <c r="DN101" i="2"/>
  <c r="DO99" i="2"/>
  <c r="DO142" i="2"/>
  <c r="DO141" i="2"/>
  <c r="AW18" i="6"/>
  <c r="AW19" i="6"/>
  <c r="CD17" i="6"/>
  <c r="CD8" i="6" s="1"/>
  <c r="DH57" i="5"/>
  <c r="DH59" i="5" s="1"/>
  <c r="DH68" i="5"/>
  <c r="FK118" i="3"/>
  <c r="CV317" i="3"/>
  <c r="CU316" i="3"/>
  <c r="CO35" i="5"/>
  <c r="CN37" i="5"/>
  <c r="CA94" i="4"/>
  <c r="CB17" i="5"/>
  <c r="CA19" i="5"/>
  <c r="CT318" i="3"/>
  <c r="BX228" i="2"/>
  <c r="BX229" i="2" s="1"/>
  <c r="DO25" i="2"/>
  <c r="DO23" i="2"/>
  <c r="DO22" i="2"/>
  <c r="DD16" i="5"/>
  <c r="DE16" i="5"/>
  <c r="EW34" i="2"/>
  <c r="BY227" i="2"/>
  <c r="BY220" i="2"/>
  <c r="BY222" i="2"/>
  <c r="BY221" i="2"/>
  <c r="BY111" i="2"/>
  <c r="CZ303" i="3"/>
  <c r="BQ67" i="5"/>
  <c r="BQ57" i="5"/>
  <c r="BQ68" i="5"/>
  <c r="FM42" i="3"/>
  <c r="FM41" i="3" s="1"/>
  <c r="DQ20" i="2"/>
  <c r="FN42" i="3" s="1"/>
  <c r="FN41" i="3" s="1"/>
  <c r="DN133" i="2"/>
  <c r="DN134" i="2"/>
  <c r="AY89" i="5"/>
  <c r="AY90" i="5"/>
  <c r="CB97" i="4"/>
  <c r="CC22" i="4"/>
  <c r="CB27" i="4"/>
  <c r="CV313" i="3"/>
  <c r="CU312" i="3"/>
  <c r="CU318" i="3" s="1"/>
  <c r="BX114" i="2"/>
  <c r="BX113" i="2"/>
  <c r="BX112" i="2"/>
  <c r="CB113" i="2"/>
  <c r="FM19" i="3"/>
  <c r="DP21" i="2"/>
  <c r="DP32" i="2"/>
  <c r="DQ30" i="2"/>
  <c r="BU30" i="5"/>
  <c r="BU8" i="5"/>
  <c r="BU54" i="5"/>
  <c r="DI54" i="5" s="1"/>
  <c r="BV11" i="5"/>
  <c r="DI11" i="5"/>
  <c r="EV135" i="2"/>
  <c r="EV134" i="2"/>
  <c r="BY102" i="4"/>
  <c r="BY101" i="4"/>
  <c r="AW8" i="6"/>
  <c r="DH60" i="5"/>
  <c r="DH62" i="5" s="1"/>
  <c r="DH71" i="5"/>
  <c r="CL18" i="4"/>
  <c r="CM15" i="4"/>
  <c r="CL17" i="4"/>
  <c r="DN87" i="2"/>
  <c r="BP59" i="5"/>
  <c r="BP58" i="5"/>
  <c r="DM150" i="2"/>
  <c r="DM149" i="2"/>
  <c r="DF107" i="2"/>
  <c r="BS69" i="5"/>
  <c r="BS42" i="5"/>
  <c r="BS43" i="5"/>
  <c r="BT44" i="5"/>
  <c r="DL17" i="4"/>
  <c r="DL18" i="4"/>
  <c r="EG84" i="3"/>
  <c r="EH81" i="3"/>
  <c r="BW159" i="2"/>
  <c r="BW158" i="2"/>
  <c r="BW157" i="2"/>
  <c r="FM27" i="3"/>
  <c r="FL28" i="3"/>
  <c r="DM136" i="2"/>
  <c r="DM89" i="2"/>
  <c r="DM88" i="2"/>
  <c r="DM83" i="2"/>
  <c r="EV83" i="2" s="1"/>
  <c r="EV87" i="2"/>
  <c r="AW14" i="6"/>
  <c r="CD7" i="6"/>
  <c r="FM17" i="3"/>
  <c r="DP37" i="2"/>
  <c r="DQ35" i="2"/>
  <c r="EW35" i="2" s="1"/>
  <c r="EE86" i="3"/>
  <c r="EF86" i="3" s="1"/>
  <c r="EF84" i="3"/>
  <c r="DC105" i="2"/>
  <c r="DD103" i="2"/>
  <c r="BQ15" i="5"/>
  <c r="BQ16" i="5"/>
  <c r="BX131" i="2"/>
  <c r="BX130" i="2"/>
  <c r="BX129" i="2"/>
  <c r="BX156" i="2"/>
  <c r="CA25" i="4"/>
  <c r="AZ58" i="5"/>
  <c r="AZ59" i="5"/>
  <c r="BA58" i="5"/>
  <c r="BD59" i="5"/>
  <c r="DL85" i="2"/>
  <c r="DL84" i="2"/>
  <c r="CV314" i="3"/>
  <c r="CX315" i="3"/>
  <c r="BR66" i="5"/>
  <c r="BR70" i="5"/>
  <c r="BR71" i="5"/>
  <c r="BR60" i="5"/>
  <c r="BA83" i="5"/>
  <c r="DD83" i="5" s="1"/>
  <c r="BA79" i="5"/>
  <c r="BB77" i="5"/>
  <c r="FN11" i="3"/>
  <c r="FN114" i="3" s="1"/>
  <c r="DQ13" i="2"/>
  <c r="DQ12" i="2"/>
  <c r="BS28" i="5"/>
  <c r="BS29" i="5"/>
  <c r="BS24" i="5"/>
  <c r="CB25" i="4" l="1"/>
  <c r="CB70" i="4"/>
  <c r="CB79" i="4"/>
  <c r="EG63" i="3"/>
  <c r="EP62" i="2"/>
  <c r="FO11" i="3"/>
  <c r="DD85" i="5"/>
  <c r="DD80" i="5"/>
  <c r="DD82" i="5" s="1"/>
  <c r="EW37" i="2"/>
  <c r="DM137" i="2"/>
  <c r="DM138" i="2"/>
  <c r="FM141" i="3"/>
  <c r="BC82" i="5"/>
  <c r="BD80" i="5"/>
  <c r="CA100" i="4"/>
  <c r="CA96" i="4"/>
  <c r="CA95" i="4"/>
  <c r="CE96" i="4"/>
  <c r="CY152" i="3"/>
  <c r="CX153" i="3"/>
  <c r="CY62" i="3"/>
  <c r="CX64" i="3"/>
  <c r="CX74" i="3" s="1"/>
  <c r="CX86" i="3" s="1"/>
  <c r="AX19" i="6"/>
  <c r="AX18" i="6"/>
  <c r="BR77" i="3"/>
  <c r="BQ76" i="3"/>
  <c r="EV136" i="2"/>
  <c r="BR67" i="5"/>
  <c r="BR68" i="5"/>
  <c r="BR57" i="5"/>
  <c r="BX159" i="2"/>
  <c r="BX158" i="2"/>
  <c r="BX157" i="2"/>
  <c r="BZ129" i="2"/>
  <c r="BZ131" i="2"/>
  <c r="BZ130" i="2"/>
  <c r="BZ156" i="2"/>
  <c r="EV89" i="2"/>
  <c r="DG107" i="2"/>
  <c r="CN15" i="4"/>
  <c r="CM17" i="4"/>
  <c r="CM18" i="4"/>
  <c r="DO87" i="2"/>
  <c r="BV54" i="5"/>
  <c r="BW11" i="5"/>
  <c r="BV30" i="5"/>
  <c r="EW20" i="2"/>
  <c r="DO27" i="2"/>
  <c r="DO26" i="2"/>
  <c r="CC17" i="5"/>
  <c r="CB19" i="5"/>
  <c r="DJ36" i="4"/>
  <c r="FO114" i="3"/>
  <c r="EG93" i="3"/>
  <c r="EG100" i="3" s="1"/>
  <c r="EG104" i="3" s="1"/>
  <c r="EH88" i="3"/>
  <c r="DO133" i="2"/>
  <c r="DO134" i="2"/>
  <c r="BU41" i="5"/>
  <c r="BU44" i="5" s="1"/>
  <c r="BV38" i="5"/>
  <c r="BU40" i="5"/>
  <c r="BU20" i="5"/>
  <c r="EV85" i="2"/>
  <c r="DQ32" i="2"/>
  <c r="DQ21" i="2"/>
  <c r="EW21" i="2" s="1"/>
  <c r="FN19" i="3"/>
  <c r="FO19" i="3" s="1"/>
  <c r="EW30" i="2"/>
  <c r="BV96" i="3"/>
  <c r="BU100" i="3"/>
  <c r="BU104" i="3" s="1"/>
  <c r="BA85" i="5"/>
  <c r="BA88" i="5"/>
  <c r="BA84" i="5"/>
  <c r="EL131" i="2"/>
  <c r="EL130" i="2"/>
  <c r="CB94" i="4"/>
  <c r="EE100" i="3"/>
  <c r="EF93" i="3"/>
  <c r="FK310" i="3"/>
  <c r="FK49" i="3"/>
  <c r="FL48" i="3"/>
  <c r="CY315" i="3"/>
  <c r="CX314" i="3"/>
  <c r="DD105" i="2"/>
  <c r="DE103" i="2"/>
  <c r="ET103" i="2" s="1"/>
  <c r="DM84" i="2"/>
  <c r="DM85" i="2"/>
  <c r="DP23" i="2"/>
  <c r="DP22" i="2"/>
  <c r="DP25" i="2"/>
  <c r="CC97" i="4"/>
  <c r="CC27" i="4"/>
  <c r="FN118" i="3"/>
  <c r="DA303" i="3"/>
  <c r="BY228" i="2"/>
  <c r="BY229" i="2" s="1"/>
  <c r="EL227" i="2"/>
  <c r="CV316" i="3"/>
  <c r="CX317" i="3"/>
  <c r="FO42" i="3"/>
  <c r="DN150" i="2"/>
  <c r="DN149" i="2"/>
  <c r="BS104" i="3"/>
  <c r="AX14" i="6"/>
  <c r="BY95" i="3"/>
  <c r="BX95" i="3"/>
  <c r="BT69" i="5"/>
  <c r="BT42" i="5"/>
  <c r="BT43" i="5"/>
  <c r="CO37" i="5"/>
  <c r="DP132" i="2"/>
  <c r="DQ79" i="2"/>
  <c r="DP81" i="2"/>
  <c r="DQ37" i="2"/>
  <c r="FN17" i="3"/>
  <c r="BS70" i="5"/>
  <c r="BS71" i="5"/>
  <c r="BS66" i="5"/>
  <c r="BS60" i="5"/>
  <c r="BQ59" i="5"/>
  <c r="BQ58" i="5"/>
  <c r="DQ93" i="2"/>
  <c r="DQ140" i="2"/>
  <c r="BY129" i="2"/>
  <c r="BY131" i="2"/>
  <c r="BY130" i="2"/>
  <c r="BY156" i="2"/>
  <c r="EL156" i="2" s="1"/>
  <c r="BS26" i="5"/>
  <c r="BS25" i="5"/>
  <c r="BS14" i="5"/>
  <c r="BR62" i="5"/>
  <c r="BR61" i="5"/>
  <c r="BU49" i="5"/>
  <c r="DI49" i="5" s="1"/>
  <c r="BU9" i="5"/>
  <c r="BV8" i="5"/>
  <c r="BU10" i="5"/>
  <c r="BU27" i="5"/>
  <c r="DI27" i="5" s="1"/>
  <c r="DI8" i="5"/>
  <c r="DI10" i="5" s="1"/>
  <c r="CV312" i="3"/>
  <c r="CX313" i="3"/>
  <c r="CB98" i="4"/>
  <c r="CB99" i="4"/>
  <c r="CB61" i="4"/>
  <c r="CB52" i="4"/>
  <c r="CB43" i="4"/>
  <c r="CF99" i="4"/>
  <c r="CB34" i="4"/>
  <c r="FM118" i="3"/>
  <c r="FO41" i="3"/>
  <c r="CD19" i="6"/>
  <c r="CD14" i="6"/>
  <c r="CV106" i="3"/>
  <c r="CV74" i="3"/>
  <c r="AY17" i="6"/>
  <c r="AY8" i="6" s="1"/>
  <c r="AY7" i="6"/>
  <c r="AZ5" i="6"/>
  <c r="DI102" i="4"/>
  <c r="DP142" i="2"/>
  <c r="DP141" i="2"/>
  <c r="BT29" i="5"/>
  <c r="BT24" i="5"/>
  <c r="BT28" i="5"/>
  <c r="EI106" i="3"/>
  <c r="EJ96" i="3"/>
  <c r="DD59" i="5"/>
  <c r="DE59" i="5"/>
  <c r="FK46" i="3"/>
  <c r="FI144" i="3"/>
  <c r="CI305" i="3"/>
  <c r="CG308" i="3"/>
  <c r="BZ101" i="4"/>
  <c r="BZ102" i="4"/>
  <c r="CD102" i="4"/>
  <c r="BC77" i="5"/>
  <c r="BB79" i="5"/>
  <c r="BB83" i="5"/>
  <c r="FN27" i="3"/>
  <c r="FM28" i="3"/>
  <c r="EI81" i="3"/>
  <c r="EH84" i="3"/>
  <c r="DN136" i="2"/>
  <c r="DN89" i="2"/>
  <c r="DN88" i="2"/>
  <c r="DN83" i="2"/>
  <c r="BU72" i="5"/>
  <c r="DI30" i="5"/>
  <c r="DN35" i="5"/>
  <c r="BZ112" i="2"/>
  <c r="BY114" i="2"/>
  <c r="BY112" i="2"/>
  <c r="BY113" i="2"/>
  <c r="CC113" i="2"/>
  <c r="DO148" i="2"/>
  <c r="DO101" i="2"/>
  <c r="DP99" i="2"/>
  <c r="EI62" i="2"/>
  <c r="CW106" i="3"/>
  <c r="BR15" i="5"/>
  <c r="BR16" i="5"/>
  <c r="EW91" i="2"/>
  <c r="BT52" i="5"/>
  <c r="BT51" i="5"/>
  <c r="BT53" i="5"/>
  <c r="BT50" i="5"/>
  <c r="AY13" i="6"/>
  <c r="AZ11" i="6"/>
  <c r="AZ89" i="5"/>
  <c r="AZ90" i="5"/>
  <c r="EL111" i="2"/>
  <c r="CV318" i="3" l="1"/>
  <c r="CC25" i="4"/>
  <c r="CC70" i="4"/>
  <c r="CC79" i="4"/>
  <c r="EG74" i="3"/>
  <c r="EG86" i="3" s="1"/>
  <c r="EH63" i="3"/>
  <c r="FO118" i="3"/>
  <c r="FI146" i="3"/>
  <c r="FJ144" i="3"/>
  <c r="EW32" i="2"/>
  <c r="DN85" i="2"/>
  <c r="DN84" i="2"/>
  <c r="CY314" i="3"/>
  <c r="CZ315" i="3"/>
  <c r="BR58" i="5"/>
  <c r="BR59" i="5"/>
  <c r="FN141" i="3"/>
  <c r="FO141" i="3" s="1"/>
  <c r="BT25" i="5"/>
  <c r="BT26" i="5"/>
  <c r="BT14" i="5"/>
  <c r="AZ17" i="6"/>
  <c r="AZ8" i="6" s="1"/>
  <c r="AZ7" i="6"/>
  <c r="BA5" i="6"/>
  <c r="CE5" i="6"/>
  <c r="DJ97" i="4"/>
  <c r="DP133" i="2"/>
  <c r="DP134" i="2"/>
  <c r="DC303" i="3"/>
  <c r="BA90" i="5"/>
  <c r="BA89" i="5"/>
  <c r="DD88" i="5"/>
  <c r="DQ23" i="2"/>
  <c r="DQ22" i="2"/>
  <c r="DQ25" i="2"/>
  <c r="BV72" i="5"/>
  <c r="BZ157" i="2"/>
  <c r="BZ159" i="2"/>
  <c r="BZ158" i="2"/>
  <c r="EV139" i="2"/>
  <c r="EV138" i="2"/>
  <c r="EL114" i="2"/>
  <c r="EL113" i="2"/>
  <c r="EM113" i="2"/>
  <c r="DO136" i="2"/>
  <c r="DO89" i="2"/>
  <c r="DO88" i="2"/>
  <c r="DO83" i="2"/>
  <c r="AZ14" i="6"/>
  <c r="AZ13" i="6"/>
  <c r="BA11" i="6"/>
  <c r="BS16" i="5"/>
  <c r="BS15" i="5"/>
  <c r="DQ132" i="2"/>
  <c r="EW132" i="2" s="1"/>
  <c r="DQ81" i="2"/>
  <c r="EW79" i="2"/>
  <c r="BT70" i="5"/>
  <c r="BT71" i="5"/>
  <c r="BT60" i="5"/>
  <c r="BT66" i="5"/>
  <c r="ET105" i="2"/>
  <c r="EH93" i="3"/>
  <c r="EH100" i="3" s="1"/>
  <c r="EH104" i="3" s="1"/>
  <c r="EI88" i="3"/>
  <c r="CZ152" i="3"/>
  <c r="CY64" i="3"/>
  <c r="CY74" i="3" s="1"/>
  <c r="CY86" i="3" s="1"/>
  <c r="CY153" i="3"/>
  <c r="CZ62" i="3"/>
  <c r="DO150" i="2"/>
  <c r="DO149" i="2"/>
  <c r="EI84" i="3"/>
  <c r="EJ81" i="3"/>
  <c r="BB85" i="5"/>
  <c r="BB88" i="5"/>
  <c r="BB84" i="5"/>
  <c r="BU53" i="5"/>
  <c r="BU52" i="5"/>
  <c r="BU51" i="5"/>
  <c r="BU50" i="5"/>
  <c r="DQ142" i="2"/>
  <c r="DQ141" i="2"/>
  <c r="EW140" i="2"/>
  <c r="CC94" i="4"/>
  <c r="DE105" i="2"/>
  <c r="DF103" i="2"/>
  <c r="FL310" i="3"/>
  <c r="FL49" i="3"/>
  <c r="FM48" i="3"/>
  <c r="CB95" i="4"/>
  <c r="CB100" i="4"/>
  <c r="CB96" i="4"/>
  <c r="CF96" i="4"/>
  <c r="BV41" i="5"/>
  <c r="BW38" i="5"/>
  <c r="BV40" i="5"/>
  <c r="BV20" i="5"/>
  <c r="CC19" i="5"/>
  <c r="CD17" i="5"/>
  <c r="BW54" i="5"/>
  <c r="BX11" i="5"/>
  <c r="BW30" i="5"/>
  <c r="BW72" i="5" s="1"/>
  <c r="CO15" i="4"/>
  <c r="DM15" i="4" s="1"/>
  <c r="CN17" i="4"/>
  <c r="CN18" i="4"/>
  <c r="DP87" i="2"/>
  <c r="DP148" i="2"/>
  <c r="DP101" i="2"/>
  <c r="DQ99" i="2"/>
  <c r="EW99" i="2" s="1"/>
  <c r="DI72" i="5"/>
  <c r="DI17" i="5"/>
  <c r="DI29" i="5"/>
  <c r="CW74" i="3"/>
  <c r="CV86" i="3"/>
  <c r="CW86" i="3" s="1"/>
  <c r="CY313" i="3"/>
  <c r="CX312" i="3"/>
  <c r="FL46" i="3"/>
  <c r="FK144" i="3"/>
  <c r="BV5" i="5"/>
  <c r="BV10" i="5"/>
  <c r="BW8" i="5"/>
  <c r="BV49" i="5"/>
  <c r="BV27" i="5"/>
  <c r="BZ95" i="3"/>
  <c r="DP26" i="2"/>
  <c r="DP27" i="2"/>
  <c r="EF100" i="3"/>
  <c r="EE104" i="3"/>
  <c r="EL158" i="2"/>
  <c r="EL159" i="2"/>
  <c r="DN37" i="5"/>
  <c r="AY14" i="6"/>
  <c r="EW93" i="2"/>
  <c r="EJ106" i="3"/>
  <c r="EK96" i="3"/>
  <c r="FO17" i="3"/>
  <c r="BS62" i="5"/>
  <c r="BS61" i="5"/>
  <c r="CX316" i="3"/>
  <c r="CY317" i="3"/>
  <c r="BU69" i="5"/>
  <c r="DI69" i="5" s="1"/>
  <c r="BU42" i="5"/>
  <c r="BU43" i="5"/>
  <c r="DI41" i="5"/>
  <c r="DH107" i="2"/>
  <c r="BT77" i="3"/>
  <c r="BR76" i="3"/>
  <c r="BS76" i="3" s="1"/>
  <c r="BS77" i="3"/>
  <c r="CX106" i="3"/>
  <c r="CA101" i="4"/>
  <c r="CA102" i="4"/>
  <c r="CE102" i="4"/>
  <c r="CA129" i="2"/>
  <c r="CA131" i="2"/>
  <c r="CA130" i="2"/>
  <c r="CA156" i="2"/>
  <c r="EW23" i="2"/>
  <c r="DI51" i="5"/>
  <c r="DI52" i="5"/>
  <c r="DI53" i="5"/>
  <c r="DN137" i="2"/>
  <c r="DN138" i="2"/>
  <c r="FN28" i="3"/>
  <c r="FO28" i="3" s="1"/>
  <c r="FO27" i="3"/>
  <c r="BD77" i="5"/>
  <c r="BC79" i="5"/>
  <c r="BC83" i="5"/>
  <c r="CJ305" i="3"/>
  <c r="CI308" i="3"/>
  <c r="AY19" i="6"/>
  <c r="AY18" i="6"/>
  <c r="CY95" i="2"/>
  <c r="BU29" i="5"/>
  <c r="BU24" i="5"/>
  <c r="DI24" i="5" s="1"/>
  <c r="BU28" i="5"/>
  <c r="BY159" i="2"/>
  <c r="BY158" i="2"/>
  <c r="BY157" i="2"/>
  <c r="BS68" i="5"/>
  <c r="BS57" i="5"/>
  <c r="BS67" i="5"/>
  <c r="CC98" i="4"/>
  <c r="CC99" i="4"/>
  <c r="CC61" i="4"/>
  <c r="CC52" i="4"/>
  <c r="CC43" i="4"/>
  <c r="CD98" i="4"/>
  <c r="CG99" i="4"/>
  <c r="CC34" i="4"/>
  <c r="BW96" i="3"/>
  <c r="BV100" i="3"/>
  <c r="BV104" i="3" s="1"/>
  <c r="BE80" i="5"/>
  <c r="BD82" i="5"/>
  <c r="CY106" i="3" l="1"/>
  <c r="EH74" i="3"/>
  <c r="EH86" i="3" s="1"/>
  <c r="EI63" i="3"/>
  <c r="DI71" i="5"/>
  <c r="DI60" i="5"/>
  <c r="DI62" i="5" s="1"/>
  <c r="EW135" i="2"/>
  <c r="EW134" i="2"/>
  <c r="FM310" i="3"/>
  <c r="FM49" i="3"/>
  <c r="FN48" i="3"/>
  <c r="DD303" i="3"/>
  <c r="BT16" i="5"/>
  <c r="BT15" i="5"/>
  <c r="EL96" i="3"/>
  <c r="EK106" i="3"/>
  <c r="BF80" i="5"/>
  <c r="BE82" i="5"/>
  <c r="CY144" i="2"/>
  <c r="CY97" i="2"/>
  <c r="CY96" i="2"/>
  <c r="BC85" i="5"/>
  <c r="BC84" i="5"/>
  <c r="BC88" i="5"/>
  <c r="DI38" i="5"/>
  <c r="DI40" i="5" s="1"/>
  <c r="DI43" i="5"/>
  <c r="CY316" i="3"/>
  <c r="CZ317" i="3"/>
  <c r="BV29" i="5"/>
  <c r="BV24" i="5"/>
  <c r="BV28" i="5"/>
  <c r="FK146" i="3"/>
  <c r="CD19" i="5"/>
  <c r="CE17" i="5"/>
  <c r="DA152" i="3"/>
  <c r="CZ64" i="3"/>
  <c r="CZ74" i="3" s="1"/>
  <c r="CZ86" i="3" s="1"/>
  <c r="DA62" i="3"/>
  <c r="CZ153" i="3"/>
  <c r="EW81" i="2"/>
  <c r="DQ26" i="2"/>
  <c r="DQ27" i="2"/>
  <c r="EW25" i="2"/>
  <c r="BA17" i="6"/>
  <c r="BA8" i="6" s="1"/>
  <c r="BA7" i="6"/>
  <c r="BB5" i="6"/>
  <c r="CK305" i="3"/>
  <c r="CJ308" i="3"/>
  <c r="BT76" i="3"/>
  <c r="BU77" i="3"/>
  <c r="DQ148" i="2"/>
  <c r="DQ101" i="2"/>
  <c r="CC95" i="4"/>
  <c r="CC100" i="4"/>
  <c r="CC96" i="4"/>
  <c r="CD95" i="4"/>
  <c r="CG96" i="4"/>
  <c r="DJ94" i="4"/>
  <c r="EK81" i="3"/>
  <c r="EL81" i="3" s="1"/>
  <c r="EJ84" i="3"/>
  <c r="EI93" i="3"/>
  <c r="EI100" i="3" s="1"/>
  <c r="EI104" i="3" s="1"/>
  <c r="EJ88" i="3"/>
  <c r="BA13" i="6"/>
  <c r="BB11" i="6"/>
  <c r="CE11" i="6"/>
  <c r="DI14" i="5"/>
  <c r="DI16" i="5" s="1"/>
  <c r="DI26" i="5"/>
  <c r="BU25" i="5"/>
  <c r="BU26" i="5"/>
  <c r="BU14" i="5"/>
  <c r="BX54" i="5"/>
  <c r="BY11" i="5"/>
  <c r="BX30" i="5"/>
  <c r="BV69" i="5"/>
  <c r="BV42" i="5"/>
  <c r="BV43" i="5"/>
  <c r="DD90" i="5"/>
  <c r="BU71" i="5"/>
  <c r="BU60" i="5"/>
  <c r="BU70" i="5"/>
  <c r="BU66" i="5"/>
  <c r="EF104" i="3"/>
  <c r="BV52" i="5"/>
  <c r="BV7" i="5"/>
  <c r="BV6" i="5"/>
  <c r="BV46" i="5"/>
  <c r="EW101" i="2"/>
  <c r="BV44" i="5"/>
  <c r="BV50" i="5"/>
  <c r="BV51" i="5"/>
  <c r="BV53" i="5"/>
  <c r="EU103" i="2"/>
  <c r="BS59" i="5"/>
  <c r="BS58" i="5"/>
  <c r="BD83" i="5"/>
  <c r="BE77" i="5"/>
  <c r="DE77" i="5" s="1"/>
  <c r="DE79" i="5" s="1"/>
  <c r="BD79" i="5"/>
  <c r="DI107" i="2"/>
  <c r="BW5" i="5"/>
  <c r="BW10" i="5"/>
  <c r="BX8" i="5"/>
  <c r="BW49" i="5"/>
  <c r="BW27" i="5"/>
  <c r="CX318" i="3"/>
  <c r="DI74" i="5"/>
  <c r="CO17" i="4"/>
  <c r="CO18" i="4"/>
  <c r="DQ87" i="2"/>
  <c r="EW87" i="2" s="1"/>
  <c r="CB101" i="4"/>
  <c r="CB102" i="4"/>
  <c r="CF102" i="4"/>
  <c r="BT68" i="5"/>
  <c r="BT57" i="5"/>
  <c r="BT67" i="5"/>
  <c r="DO137" i="2"/>
  <c r="DO138" i="2"/>
  <c r="BY96" i="3"/>
  <c r="BX96" i="3"/>
  <c r="ED62" i="2" s="1"/>
  <c r="BW100" i="3"/>
  <c r="DM17" i="4"/>
  <c r="DM18" i="4"/>
  <c r="CB131" i="2"/>
  <c r="CB130" i="2"/>
  <c r="CB129" i="2"/>
  <c r="CB156" i="2"/>
  <c r="DF105" i="2"/>
  <c r="DG103" i="2"/>
  <c r="EV103" i="2" s="1"/>
  <c r="BB90" i="5"/>
  <c r="BB89" i="5"/>
  <c r="DO85" i="2"/>
  <c r="DO84" i="2"/>
  <c r="DJ99" i="4"/>
  <c r="DJ79" i="4"/>
  <c r="DJ70" i="4"/>
  <c r="DJ61" i="4"/>
  <c r="DJ52" i="4"/>
  <c r="DJ43" i="4"/>
  <c r="DK99" i="4"/>
  <c r="DJ34" i="4"/>
  <c r="CA95" i="3"/>
  <c r="DP89" i="2"/>
  <c r="DP136" i="2"/>
  <c r="DP88" i="2"/>
  <c r="DP83" i="2"/>
  <c r="CE7" i="6"/>
  <c r="FL144" i="3"/>
  <c r="FL146" i="3" s="1"/>
  <c r="FM46" i="3"/>
  <c r="DI19" i="5"/>
  <c r="CA157" i="2"/>
  <c r="CA158" i="2"/>
  <c r="CA159" i="2"/>
  <c r="CY312" i="3"/>
  <c r="CY318" i="3" s="1"/>
  <c r="CZ313" i="3"/>
  <c r="DP149" i="2"/>
  <c r="DP150" i="2"/>
  <c r="BX38" i="5"/>
  <c r="BW41" i="5"/>
  <c r="BW40" i="5"/>
  <c r="BW20" i="5"/>
  <c r="EW143" i="2"/>
  <c r="EW142" i="2"/>
  <c r="BT61" i="5"/>
  <c r="BT62" i="5"/>
  <c r="DQ134" i="2"/>
  <c r="DQ133" i="2"/>
  <c r="AZ19" i="6"/>
  <c r="AZ18" i="6"/>
  <c r="CZ95" i="2"/>
  <c r="DA315" i="3"/>
  <c r="CZ314" i="3"/>
  <c r="FJ146" i="3"/>
  <c r="BA14" i="6" l="1"/>
  <c r="EJ63" i="3"/>
  <c r="EI74" i="3"/>
  <c r="EI86" i="3" s="1"/>
  <c r="CZ106" i="3"/>
  <c r="EW89" i="2"/>
  <c r="BW28" i="5"/>
  <c r="BW29" i="5"/>
  <c r="BW24" i="5"/>
  <c r="DQ149" i="2"/>
  <c r="DQ150" i="2"/>
  <c r="DP85" i="2"/>
  <c r="DP84" i="2"/>
  <c r="CC131" i="2"/>
  <c r="CC130" i="2"/>
  <c r="CC129" i="2"/>
  <c r="CC156" i="2"/>
  <c r="EM156" i="2" s="1"/>
  <c r="BX72" i="5"/>
  <c r="DJ30" i="5"/>
  <c r="BX40" i="5"/>
  <c r="BY38" i="5"/>
  <c r="BX41" i="5"/>
  <c r="BX20" i="5"/>
  <c r="DI20" i="5"/>
  <c r="CB95" i="3"/>
  <c r="EM128" i="2"/>
  <c r="BX5" i="5"/>
  <c r="BX10" i="5"/>
  <c r="BY8" i="5"/>
  <c r="BX49" i="5"/>
  <c r="BX27" i="5"/>
  <c r="BZ11" i="5"/>
  <c r="BY30" i="5"/>
  <c r="BY72" i="5" s="1"/>
  <c r="BY54" i="5"/>
  <c r="DJ54" i="5" s="1"/>
  <c r="DJ11" i="5"/>
  <c r="CE13" i="6"/>
  <c r="EL84" i="3"/>
  <c r="EM81" i="3"/>
  <c r="BA19" i="6"/>
  <c r="BA18" i="6"/>
  <c r="DA95" i="2"/>
  <c r="CE17" i="6"/>
  <c r="DA313" i="3"/>
  <c r="CZ312" i="3"/>
  <c r="BW50" i="5"/>
  <c r="BW51" i="5"/>
  <c r="BW53" i="5"/>
  <c r="EK84" i="3"/>
  <c r="BX100" i="3"/>
  <c r="BW104" i="3"/>
  <c r="BU68" i="5"/>
  <c r="BU57" i="5"/>
  <c r="BU67" i="5"/>
  <c r="DI66" i="5"/>
  <c r="DJ100" i="4"/>
  <c r="DJ96" i="4"/>
  <c r="DK96" i="4"/>
  <c r="EW27" i="2"/>
  <c r="BC90" i="5"/>
  <c r="BC89" i="5"/>
  <c r="DJ107" i="2"/>
  <c r="EL106" i="3"/>
  <c r="EM96" i="3"/>
  <c r="BW44" i="5"/>
  <c r="CC101" i="4"/>
  <c r="CC102" i="4"/>
  <c r="CD101" i="4"/>
  <c r="CG102" i="4"/>
  <c r="FN46" i="3"/>
  <c r="FN144" i="3" s="1"/>
  <c r="FN146" i="3" s="1"/>
  <c r="FM144" i="3"/>
  <c r="FM146" i="3" s="1"/>
  <c r="DP138" i="2"/>
  <c r="DP137" i="2"/>
  <c r="EV105" i="2"/>
  <c r="BT58" i="5"/>
  <c r="BT59" i="5"/>
  <c r="BW52" i="5"/>
  <c r="BW6" i="5"/>
  <c r="BW7" i="5"/>
  <c r="BW46" i="5"/>
  <c r="BE83" i="5"/>
  <c r="DE83" i="5" s="1"/>
  <c r="BE79" i="5"/>
  <c r="BF77" i="5"/>
  <c r="CL305" i="3"/>
  <c r="CK308" i="3"/>
  <c r="DA153" i="3"/>
  <c r="DB62" i="3"/>
  <c r="DC152" i="3"/>
  <c r="DG152" i="3" s="1"/>
  <c r="DG153" i="3" s="1"/>
  <c r="DC62" i="3"/>
  <c r="DA64" i="3"/>
  <c r="DB64" i="3" s="1"/>
  <c r="DA317" i="3"/>
  <c r="CZ316" i="3"/>
  <c r="CY146" i="2"/>
  <c r="CY145" i="2"/>
  <c r="DE303" i="3"/>
  <c r="EW148" i="2"/>
  <c r="DQ88" i="2"/>
  <c r="DQ89" i="2"/>
  <c r="DQ136" i="2"/>
  <c r="EW136" i="2" s="1"/>
  <c r="DQ83" i="2"/>
  <c r="EW83" i="2" s="1"/>
  <c r="BV71" i="5"/>
  <c r="BV60" i="5"/>
  <c r="BV66" i="5"/>
  <c r="BV70" i="5"/>
  <c r="CF17" i="5"/>
  <c r="CE19" i="5"/>
  <c r="CZ97" i="2"/>
  <c r="CZ96" i="2"/>
  <c r="CZ144" i="2"/>
  <c r="BW69" i="5"/>
  <c r="BW43" i="5"/>
  <c r="BW42" i="5"/>
  <c r="BU76" i="3"/>
  <c r="BV77" i="3"/>
  <c r="BV14" i="5"/>
  <c r="BV25" i="5"/>
  <c r="BV26" i="5"/>
  <c r="BF82" i="5"/>
  <c r="BG80" i="5"/>
  <c r="CB159" i="2"/>
  <c r="CB158" i="2"/>
  <c r="CB157" i="2"/>
  <c r="DC315" i="3"/>
  <c r="DA314" i="3"/>
  <c r="DG105" i="2"/>
  <c r="DH103" i="2"/>
  <c r="BZ96" i="3"/>
  <c r="BY100" i="3"/>
  <c r="BY104" i="3" s="1"/>
  <c r="BX44" i="5"/>
  <c r="BD85" i="5"/>
  <c r="BD84" i="5"/>
  <c r="BD88" i="5"/>
  <c r="EU105" i="2"/>
  <c r="BV47" i="5"/>
  <c r="BV48" i="5"/>
  <c r="BU61" i="5"/>
  <c r="BU62" i="5"/>
  <c r="BU16" i="5"/>
  <c r="BU15" i="5"/>
  <c r="BB13" i="6"/>
  <c r="BC11" i="6"/>
  <c r="EJ93" i="3"/>
  <c r="EK88" i="3"/>
  <c r="EL88" i="3" s="1"/>
  <c r="BB17" i="6"/>
  <c r="BC5" i="6"/>
  <c r="BB7" i="6"/>
  <c r="FN310" i="3"/>
  <c r="FN49" i="3"/>
  <c r="EK63" i="3" l="1"/>
  <c r="EJ74" i="3"/>
  <c r="FO146" i="3"/>
  <c r="FO46" i="3"/>
  <c r="FO144" i="3"/>
  <c r="EW139" i="2"/>
  <c r="EW138" i="2"/>
  <c r="BV76" i="3"/>
  <c r="BW77" i="3"/>
  <c r="BV67" i="5"/>
  <c r="BV68" i="5"/>
  <c r="BV57" i="5"/>
  <c r="DC317" i="3"/>
  <c r="DA316" i="3"/>
  <c r="BX104" i="3"/>
  <c r="DA312" i="3"/>
  <c r="DC313" i="3"/>
  <c r="EL93" i="3"/>
  <c r="EL100" i="3" s="1"/>
  <c r="EL104" i="3" s="1"/>
  <c r="EM88" i="3"/>
  <c r="BD89" i="5"/>
  <c r="BD90" i="5"/>
  <c r="BY10" i="5"/>
  <c r="BZ8" i="5"/>
  <c r="BY5" i="5"/>
  <c r="BY49" i="5"/>
  <c r="DJ49" i="5" s="1"/>
  <c r="BY27" i="5"/>
  <c r="DJ72" i="5"/>
  <c r="EK93" i="3"/>
  <c r="EJ100" i="3"/>
  <c r="BV61" i="5"/>
  <c r="BV62" i="5"/>
  <c r="EJ62" i="2"/>
  <c r="DB106" i="3"/>
  <c r="BF83" i="5"/>
  <c r="BF79" i="5"/>
  <c r="BG77" i="5"/>
  <c r="DI57" i="5"/>
  <c r="DI59" i="5" s="1"/>
  <c r="DI68" i="5"/>
  <c r="EM84" i="3"/>
  <c r="EN81" i="3"/>
  <c r="CC159" i="2"/>
  <c r="CC158" i="2"/>
  <c r="CC157" i="2"/>
  <c r="BB18" i="6"/>
  <c r="BB19" i="6"/>
  <c r="DB95" i="2"/>
  <c r="DJ102" i="4"/>
  <c r="DK102" i="4"/>
  <c r="DA106" i="3"/>
  <c r="CE19" i="6"/>
  <c r="CE8" i="6"/>
  <c r="BX52" i="5"/>
  <c r="BX6" i="5"/>
  <c r="BX7" i="5"/>
  <c r="BX46" i="5"/>
  <c r="BX69" i="5"/>
  <c r="BX43" i="5"/>
  <c r="BX42" i="5"/>
  <c r="BG82" i="5"/>
  <c r="BH80" i="5"/>
  <c r="DQ138" i="2"/>
  <c r="DQ137" i="2"/>
  <c r="CC95" i="3"/>
  <c r="CD95" i="3"/>
  <c r="CZ146" i="2"/>
  <c r="CZ145" i="2"/>
  <c r="DK107" i="2"/>
  <c r="EW85" i="2"/>
  <c r="BD11" i="6"/>
  <c r="BC13" i="6"/>
  <c r="CA96" i="3"/>
  <c r="BZ100" i="3"/>
  <c r="BZ104" i="3" s="1"/>
  <c r="EM159" i="2"/>
  <c r="EM158" i="2"/>
  <c r="DQ84" i="2"/>
  <c r="DQ85" i="2"/>
  <c r="EW151" i="2"/>
  <c r="EW150" i="2"/>
  <c r="DC153" i="3"/>
  <c r="DD152" i="3"/>
  <c r="DD62" i="3"/>
  <c r="DC64" i="3"/>
  <c r="DC74" i="3" s="1"/>
  <c r="DC86" i="3" s="1"/>
  <c r="BE85" i="5"/>
  <c r="BE88" i="5"/>
  <c r="EM106" i="3"/>
  <c r="EN96" i="3"/>
  <c r="BU58" i="5"/>
  <c r="BU59" i="5"/>
  <c r="DA97" i="2"/>
  <c r="DA96" i="2"/>
  <c r="DA144" i="2"/>
  <c r="ES95" i="2"/>
  <c r="CA11" i="5"/>
  <c r="BZ30" i="5"/>
  <c r="BZ54" i="5"/>
  <c r="DJ8" i="5"/>
  <c r="DJ10" i="5" s="1"/>
  <c r="EM131" i="2"/>
  <c r="EM130" i="2"/>
  <c r="BY40" i="5"/>
  <c r="BZ38" i="5"/>
  <c r="BY41" i="5"/>
  <c r="BY44" i="5" s="1"/>
  <c r="BY20" i="5"/>
  <c r="BW14" i="5"/>
  <c r="BW26" i="5"/>
  <c r="BW25" i="5"/>
  <c r="BW66" i="5"/>
  <c r="BW70" i="5"/>
  <c r="BW60" i="5"/>
  <c r="BW71" i="5"/>
  <c r="BX50" i="5"/>
  <c r="BX51" i="5"/>
  <c r="BX53" i="5"/>
  <c r="DE85" i="5"/>
  <c r="DE80" i="5"/>
  <c r="DE82" i="5" s="1"/>
  <c r="CG17" i="5"/>
  <c r="CF19" i="5"/>
  <c r="CN305" i="3"/>
  <c r="CL308" i="3"/>
  <c r="BB14" i="6"/>
  <c r="DD315" i="3"/>
  <c r="DC314" i="3"/>
  <c r="BC17" i="6"/>
  <c r="BC7" i="6"/>
  <c r="BD5" i="6"/>
  <c r="BB8" i="6"/>
  <c r="CD129" i="2"/>
  <c r="CD131" i="2"/>
  <c r="CD130" i="2"/>
  <c r="CD156" i="2"/>
  <c r="DH105" i="2"/>
  <c r="DI103" i="2"/>
  <c r="EW103" i="2"/>
  <c r="BV15" i="5"/>
  <c r="BV16" i="5"/>
  <c r="DF303" i="3"/>
  <c r="DA74" i="3"/>
  <c r="BW47" i="5"/>
  <c r="BW48" i="5"/>
  <c r="CZ318" i="3"/>
  <c r="CE14" i="6"/>
  <c r="BX28" i="5"/>
  <c r="BX29" i="5"/>
  <c r="BX24" i="5"/>
  <c r="EK74" i="3" l="1"/>
  <c r="EJ86" i="3"/>
  <c r="EK86" i="3" s="1"/>
  <c r="DC106" i="3"/>
  <c r="EQ62" i="2"/>
  <c r="EL63" i="3"/>
  <c r="BC19" i="6"/>
  <c r="BC18" i="6"/>
  <c r="DC95" i="2"/>
  <c r="CA54" i="5"/>
  <c r="CA30" i="5"/>
  <c r="CA72" i="5" s="1"/>
  <c r="CB11" i="5"/>
  <c r="CB96" i="3"/>
  <c r="CA100" i="3"/>
  <c r="CA104" i="3" s="1"/>
  <c r="EK100" i="3"/>
  <c r="EJ104" i="3"/>
  <c r="DB74" i="3"/>
  <c r="DA86" i="3"/>
  <c r="DD314" i="3"/>
  <c r="DE315" i="3"/>
  <c r="BE11" i="6"/>
  <c r="BD13" i="6"/>
  <c r="BX66" i="5"/>
  <c r="BX70" i="5"/>
  <c r="BX60" i="5"/>
  <c r="BX71" i="5"/>
  <c r="DJ74" i="5"/>
  <c r="BY52" i="5"/>
  <c r="BY6" i="5"/>
  <c r="BY7" i="5"/>
  <c r="BY46" i="5"/>
  <c r="DJ5" i="5"/>
  <c r="BE89" i="5"/>
  <c r="BE90" i="5"/>
  <c r="BW62" i="5"/>
  <c r="BW61" i="5"/>
  <c r="BY69" i="5"/>
  <c r="BY43" i="5"/>
  <c r="BY42" i="5"/>
  <c r="BC14" i="6"/>
  <c r="BI80" i="5"/>
  <c r="BH82" i="5"/>
  <c r="BX47" i="5"/>
  <c r="BX48" i="5"/>
  <c r="DB97" i="2"/>
  <c r="DB144" i="2"/>
  <c r="DB96" i="2"/>
  <c r="CE129" i="2"/>
  <c r="CE131" i="2"/>
  <c r="CE130" i="2"/>
  <c r="CE156" i="2"/>
  <c r="BF88" i="5"/>
  <c r="BF84" i="5"/>
  <c r="BF85" i="5"/>
  <c r="BZ10" i="5"/>
  <c r="CA8" i="5"/>
  <c r="BZ5" i="5"/>
  <c r="BZ49" i="5"/>
  <c r="BZ27" i="5"/>
  <c r="DI105" i="2"/>
  <c r="DJ103" i="2"/>
  <c r="BY28" i="5"/>
  <c r="BY29" i="5"/>
  <c r="BY24" i="5"/>
  <c r="DJ27" i="5"/>
  <c r="DJ51" i="5"/>
  <c r="DJ53" i="5"/>
  <c r="EN84" i="3"/>
  <c r="EO81" i="3"/>
  <c r="CD158" i="2"/>
  <c r="CD157" i="2"/>
  <c r="CD159" i="2"/>
  <c r="DA146" i="2"/>
  <c r="DA145" i="2"/>
  <c r="EN106" i="3"/>
  <c r="EO96" i="3"/>
  <c r="DJ41" i="5"/>
  <c r="BZ40" i="5"/>
  <c r="BZ41" i="5"/>
  <c r="CA38" i="5"/>
  <c r="BZ20" i="5"/>
  <c r="DD313" i="3"/>
  <c r="DC312" i="3"/>
  <c r="BX77" i="3"/>
  <c r="BY77" i="3"/>
  <c r="BW76" i="3"/>
  <c r="BX76" i="3" s="1"/>
  <c r="BG79" i="5"/>
  <c r="BG83" i="5"/>
  <c r="BH77" i="5"/>
  <c r="BV59" i="5"/>
  <c r="BV58" i="5"/>
  <c r="BX14" i="5"/>
  <c r="BX26" i="5"/>
  <c r="BX25" i="5"/>
  <c r="BW15" i="5"/>
  <c r="BW16" i="5"/>
  <c r="ES97" i="2"/>
  <c r="BY51" i="5"/>
  <c r="BY50" i="5"/>
  <c r="BY53" i="5"/>
  <c r="DH303" i="3"/>
  <c r="BE5" i="6"/>
  <c r="BD7" i="6"/>
  <c r="BD17" i="6"/>
  <c r="BD8" i="6" s="1"/>
  <c r="CH17" i="5"/>
  <c r="CG19" i="5"/>
  <c r="BW67" i="5"/>
  <c r="BW68" i="5"/>
  <c r="BW57" i="5"/>
  <c r="DE152" i="3"/>
  <c r="DE62" i="3"/>
  <c r="DD153" i="3"/>
  <c r="DD64" i="3"/>
  <c r="DD106" i="3" s="1"/>
  <c r="EW105" i="2"/>
  <c r="BC8" i="6"/>
  <c r="CO305" i="3"/>
  <c r="CN308" i="3"/>
  <c r="BZ72" i="5"/>
  <c r="DL107" i="2"/>
  <c r="CE95" i="3"/>
  <c r="DE88" i="5"/>
  <c r="EM93" i="3"/>
  <c r="EM100" i="3" s="1"/>
  <c r="EM104" i="3" s="1"/>
  <c r="EN88" i="3"/>
  <c r="DA318" i="3"/>
  <c r="DD317" i="3"/>
  <c r="DC316" i="3"/>
  <c r="ES144" i="2"/>
  <c r="BD14" i="6" l="1"/>
  <c r="DC318" i="3"/>
  <c r="DD74" i="3"/>
  <c r="DD86" i="3" s="1"/>
  <c r="EM63" i="3"/>
  <c r="EL74" i="3"/>
  <c r="EL86" i="3" s="1"/>
  <c r="ES147" i="2"/>
  <c r="ES146" i="2"/>
  <c r="CP305" i="3"/>
  <c r="CO308" i="3"/>
  <c r="EO106" i="3"/>
  <c r="EP96" i="3"/>
  <c r="CA10" i="5"/>
  <c r="CA5" i="5"/>
  <c r="CB8" i="5"/>
  <c r="CA49" i="5"/>
  <c r="CA27" i="5"/>
  <c r="DJ52" i="5"/>
  <c r="DJ7" i="5"/>
  <c r="BX62" i="5"/>
  <c r="BX61" i="5"/>
  <c r="CD96" i="3"/>
  <c r="CC96" i="3"/>
  <c r="EE62" i="2" s="1"/>
  <c r="CB100" i="3"/>
  <c r="EN128" i="2"/>
  <c r="BW58" i="5"/>
  <c r="BW59" i="5"/>
  <c r="CI17" i="5"/>
  <c r="CH19" i="5"/>
  <c r="DI303" i="3"/>
  <c r="BX15" i="5"/>
  <c r="BX16" i="5"/>
  <c r="BY70" i="5"/>
  <c r="BY60" i="5"/>
  <c r="BY66" i="5"/>
  <c r="DJ66" i="5" s="1"/>
  <c r="BY71" i="5"/>
  <c r="DJ69" i="5"/>
  <c r="BY48" i="5"/>
  <c r="BY47" i="5"/>
  <c r="CB54" i="5"/>
  <c r="CB30" i="5"/>
  <c r="CC11" i="5"/>
  <c r="BG88" i="5"/>
  <c r="BG85" i="5"/>
  <c r="BG84" i="5"/>
  <c r="BE13" i="6"/>
  <c r="BF11" i="6"/>
  <c r="BE17" i="6"/>
  <c r="BE8" i="6" s="1"/>
  <c r="BE7" i="6"/>
  <c r="BF5" i="6"/>
  <c r="CF129" i="2"/>
  <c r="CF131" i="2"/>
  <c r="CF130" i="2"/>
  <c r="CF156" i="2"/>
  <c r="BX67" i="5"/>
  <c r="BX68" i="5"/>
  <c r="BX57" i="5"/>
  <c r="DF315" i="3"/>
  <c r="DE314" i="3"/>
  <c r="DK72" i="5"/>
  <c r="DJ38" i="5"/>
  <c r="DJ40" i="5" s="1"/>
  <c r="DJ43" i="5"/>
  <c r="DJ17" i="5"/>
  <c r="DJ29" i="5"/>
  <c r="BY76" i="3"/>
  <c r="BZ77" i="3"/>
  <c r="BY26" i="5"/>
  <c r="BY25" i="5"/>
  <c r="BY14" i="5"/>
  <c r="BF89" i="5"/>
  <c r="BF90" i="5"/>
  <c r="DD316" i="3"/>
  <c r="DE317" i="3"/>
  <c r="CF95" i="3"/>
  <c r="CA41" i="5"/>
  <c r="CB38" i="5"/>
  <c r="CA40" i="5"/>
  <c r="CA20" i="5"/>
  <c r="DJ105" i="2"/>
  <c r="DK103" i="2"/>
  <c r="BZ29" i="5"/>
  <c r="BZ24" i="5"/>
  <c r="BZ28" i="5"/>
  <c r="DM107" i="2"/>
  <c r="BD18" i="6"/>
  <c r="BD19" i="6"/>
  <c r="DD95" i="2"/>
  <c r="DD312" i="3"/>
  <c r="DE313" i="3"/>
  <c r="BZ69" i="5"/>
  <c r="BZ42" i="5"/>
  <c r="BZ43" i="5"/>
  <c r="CA44" i="5"/>
  <c r="BZ51" i="5"/>
  <c r="BZ50" i="5"/>
  <c r="BZ53" i="5"/>
  <c r="CE157" i="2"/>
  <c r="CE159" i="2"/>
  <c r="CE158" i="2"/>
  <c r="BI82" i="5"/>
  <c r="BJ80" i="5"/>
  <c r="BZ44" i="5"/>
  <c r="CF11" i="6"/>
  <c r="EK104" i="3"/>
  <c r="EO84" i="3"/>
  <c r="EP81" i="3"/>
  <c r="EQ81" i="3" s="1"/>
  <c r="DE90" i="5"/>
  <c r="DF152" i="3"/>
  <c r="DE153" i="3"/>
  <c r="DF62" i="3"/>
  <c r="DE64" i="3"/>
  <c r="DE74" i="3" s="1"/>
  <c r="DE86" i="3" s="1"/>
  <c r="CF5" i="6"/>
  <c r="EN93" i="3"/>
  <c r="EN100" i="3" s="1"/>
  <c r="EN104" i="3" s="1"/>
  <c r="EO88" i="3"/>
  <c r="DJ24" i="5"/>
  <c r="BH79" i="5"/>
  <c r="BH83" i="5"/>
  <c r="BI77" i="5"/>
  <c r="BZ52" i="5"/>
  <c r="BZ7" i="5"/>
  <c r="BZ6" i="5"/>
  <c r="BZ46" i="5"/>
  <c r="DB146" i="2"/>
  <c r="DB145" i="2"/>
  <c r="DJ46" i="5"/>
  <c r="DB86" i="3"/>
  <c r="DC144" i="2"/>
  <c r="DC96" i="2"/>
  <c r="DC97" i="2"/>
  <c r="DE106" i="3" l="1"/>
  <c r="DD318" i="3"/>
  <c r="EM74" i="3"/>
  <c r="EM86" i="3" s="1"/>
  <c r="EN63" i="3"/>
  <c r="BI83" i="5"/>
  <c r="DF83" i="5" s="1"/>
  <c r="BJ77" i="5"/>
  <c r="BI79" i="5"/>
  <c r="BH84" i="5"/>
  <c r="BH85" i="5"/>
  <c r="BH88" i="5"/>
  <c r="DK105" i="2"/>
  <c r="DL103" i="2"/>
  <c r="DK74" i="5"/>
  <c r="DD144" i="2"/>
  <c r="DD96" i="2"/>
  <c r="DD97" i="2"/>
  <c r="CG95" i="3"/>
  <c r="BZ76" i="3"/>
  <c r="CA77" i="3"/>
  <c r="DJ20" i="5"/>
  <c r="DJ19" i="5"/>
  <c r="BX58" i="5"/>
  <c r="BX59" i="5"/>
  <c r="BF13" i="6"/>
  <c r="BG11" i="6"/>
  <c r="BY61" i="5"/>
  <c r="BY62" i="5"/>
  <c r="CI19" i="5"/>
  <c r="CJ17" i="5"/>
  <c r="CC100" i="3"/>
  <c r="CB104" i="3"/>
  <c r="EP106" i="3"/>
  <c r="EQ96" i="3"/>
  <c r="DH62" i="3"/>
  <c r="DF153" i="3"/>
  <c r="DF64" i="3"/>
  <c r="DG64" i="3" s="1"/>
  <c r="DG62" i="3"/>
  <c r="DH152" i="3"/>
  <c r="DL152" i="3" s="1"/>
  <c r="DL153" i="3" s="1"/>
  <c r="CA69" i="5"/>
  <c r="CA42" i="5"/>
  <c r="CA43" i="5"/>
  <c r="BE19" i="6"/>
  <c r="BE18" i="6"/>
  <c r="DE95" i="2"/>
  <c r="BZ25" i="5"/>
  <c r="BZ26" i="5"/>
  <c r="BZ14" i="5"/>
  <c r="DE316" i="3"/>
  <c r="DF317" i="3"/>
  <c r="BG90" i="5"/>
  <c r="BG89" i="5"/>
  <c r="DJ303" i="3"/>
  <c r="CA29" i="5"/>
  <c r="CA24" i="5"/>
  <c r="CA28" i="5"/>
  <c r="DN107" i="2"/>
  <c r="CF157" i="2"/>
  <c r="CF159" i="2"/>
  <c r="CF158" i="2"/>
  <c r="CA52" i="5"/>
  <c r="CA7" i="5"/>
  <c r="CA6" i="5"/>
  <c r="CA46" i="5"/>
  <c r="DF314" i="3"/>
  <c r="DH315" i="3"/>
  <c r="DC145" i="2"/>
  <c r="DC146" i="2"/>
  <c r="DJ14" i="5"/>
  <c r="DJ16" i="5" s="1"/>
  <c r="DJ26" i="5"/>
  <c r="CF13" i="6"/>
  <c r="DJ48" i="5"/>
  <c r="BZ48" i="5"/>
  <c r="BZ47" i="5"/>
  <c r="EO93" i="3"/>
  <c r="EP88" i="3"/>
  <c r="EQ88" i="3" s="1"/>
  <c r="ER81" i="3"/>
  <c r="EQ84" i="3"/>
  <c r="BF7" i="6"/>
  <c r="BF17" i="6"/>
  <c r="BG5" i="6"/>
  <c r="BE14" i="6"/>
  <c r="CC54" i="5"/>
  <c r="DK54" i="5" s="1"/>
  <c r="CC30" i="5"/>
  <c r="CC72" i="5" s="1"/>
  <c r="CD11" i="5"/>
  <c r="DK11" i="5"/>
  <c r="DJ71" i="5"/>
  <c r="DJ60" i="5"/>
  <c r="DJ62" i="5" s="1"/>
  <c r="CE96" i="3"/>
  <c r="CD100" i="3"/>
  <c r="CD104" i="3" s="1"/>
  <c r="CA50" i="5"/>
  <c r="CA51" i="5"/>
  <c r="CA53" i="5"/>
  <c r="CF7" i="6"/>
  <c r="DJ57" i="5"/>
  <c r="DJ59" i="5" s="1"/>
  <c r="DJ68" i="5"/>
  <c r="DF313" i="3"/>
  <c r="DE312" i="3"/>
  <c r="BY68" i="5"/>
  <c r="BY67" i="5"/>
  <c r="BY57" i="5"/>
  <c r="CF17" i="6"/>
  <c r="CF14" i="6" s="1"/>
  <c r="EP84" i="3"/>
  <c r="BK80" i="5"/>
  <c r="BJ82" i="5"/>
  <c r="BZ70" i="5"/>
  <c r="BZ71" i="5"/>
  <c r="BZ60" i="5"/>
  <c r="BZ66" i="5"/>
  <c r="CB41" i="5"/>
  <c r="CC38" i="5"/>
  <c r="CB40" i="5"/>
  <c r="CB20" i="5"/>
  <c r="BY16" i="5"/>
  <c r="BY15" i="5"/>
  <c r="EN131" i="2"/>
  <c r="EN130" i="2"/>
  <c r="CB72" i="5"/>
  <c r="CG129" i="2"/>
  <c r="CG131" i="2"/>
  <c r="CG130" i="2"/>
  <c r="CG156" i="2"/>
  <c r="EN156" i="2" s="1"/>
  <c r="CB5" i="5"/>
  <c r="CC8" i="5"/>
  <c r="DK8" i="5" s="1"/>
  <c r="DK10" i="5" s="1"/>
  <c r="CB10" i="5"/>
  <c r="CB49" i="5"/>
  <c r="CB27" i="5"/>
  <c r="CQ305" i="3"/>
  <c r="CP308" i="3"/>
  <c r="DF77" i="5"/>
  <c r="DF79" i="5" s="1"/>
  <c r="EO63" i="3" l="1"/>
  <c r="EN74" i="3"/>
  <c r="EN86" i="3" s="1"/>
  <c r="CS305" i="3"/>
  <c r="CQ308" i="3"/>
  <c r="BF18" i="6"/>
  <c r="BF19" i="6"/>
  <c r="DF95" i="2"/>
  <c r="DE144" i="2"/>
  <c r="ET144" i="2" s="1"/>
  <c r="DE97" i="2"/>
  <c r="DE96" i="2"/>
  <c r="CB28" i="5"/>
  <c r="CB24" i="5"/>
  <c r="CB29" i="5"/>
  <c r="CG157" i="2"/>
  <c r="CG159" i="2"/>
  <c r="CG158" i="2"/>
  <c r="CB69" i="5"/>
  <c r="CB42" i="5"/>
  <c r="CB43" i="5"/>
  <c r="DE318" i="3"/>
  <c r="BF8" i="6"/>
  <c r="ER84" i="3"/>
  <c r="ES81" i="3"/>
  <c r="BZ16" i="5"/>
  <c r="BZ15" i="5"/>
  <c r="CA71" i="5"/>
  <c r="CA60" i="5"/>
  <c r="CA66" i="5"/>
  <c r="CA70" i="5"/>
  <c r="CC104" i="3"/>
  <c r="BF14" i="6"/>
  <c r="CB77" i="3"/>
  <c r="CA76" i="3"/>
  <c r="CI95" i="3"/>
  <c r="CH95" i="3"/>
  <c r="CG100" i="3"/>
  <c r="BJ83" i="5"/>
  <c r="BK77" i="5"/>
  <c r="BJ79" i="5"/>
  <c r="CD38" i="5"/>
  <c r="CC41" i="5"/>
  <c r="CC44" i="5" s="1"/>
  <c r="CC40" i="5"/>
  <c r="CC20" i="5"/>
  <c r="ER88" i="3"/>
  <c r="EQ93" i="3"/>
  <c r="EQ100" i="3" s="1"/>
  <c r="EQ104" i="3" s="1"/>
  <c r="DF85" i="5"/>
  <c r="DF80" i="5"/>
  <c r="DF82" i="5" s="1"/>
  <c r="CA25" i="5"/>
  <c r="CA26" i="5"/>
  <c r="CA14" i="5"/>
  <c r="CH131" i="2"/>
  <c r="CH130" i="2"/>
  <c r="CH129" i="2"/>
  <c r="CH156" i="2"/>
  <c r="ET95" i="2"/>
  <c r="BH90" i="5"/>
  <c r="BH89" i="5"/>
  <c r="BI85" i="5"/>
  <c r="BI84" i="5"/>
  <c r="BI88" i="5"/>
  <c r="DF88" i="5" s="1"/>
  <c r="DL105" i="2"/>
  <c r="DM103" i="2"/>
  <c r="DO107" i="2"/>
  <c r="DD145" i="2"/>
  <c r="DD146" i="2"/>
  <c r="DF312" i="3"/>
  <c r="DH313" i="3"/>
  <c r="BZ68" i="5"/>
  <c r="BZ57" i="5"/>
  <c r="BZ67" i="5"/>
  <c r="BL80" i="5"/>
  <c r="BK82" i="5"/>
  <c r="EP93" i="3"/>
  <c r="EO100" i="3"/>
  <c r="CB44" i="5"/>
  <c r="EK62" i="2"/>
  <c r="DG106" i="3"/>
  <c r="DH153" i="3"/>
  <c r="DH64" i="3"/>
  <c r="DH106" i="3" s="1"/>
  <c r="DI62" i="3"/>
  <c r="DI152" i="3"/>
  <c r="CJ19" i="5"/>
  <c r="CK17" i="5"/>
  <c r="BG13" i="6"/>
  <c r="BH11" i="6"/>
  <c r="CB7" i="5"/>
  <c r="CB6" i="5"/>
  <c r="CB52" i="5"/>
  <c r="CB46" i="5"/>
  <c r="CF96" i="3"/>
  <c r="CF100" i="3" s="1"/>
  <c r="CF104" i="3" s="1"/>
  <c r="CE100" i="3"/>
  <c r="CE104" i="3" s="1"/>
  <c r="CD54" i="5"/>
  <c r="CE11" i="5"/>
  <c r="CD30" i="5"/>
  <c r="EN159" i="2"/>
  <c r="EN158" i="2"/>
  <c r="DF316" i="3"/>
  <c r="DH317" i="3"/>
  <c r="EQ106" i="3"/>
  <c r="ER96" i="3"/>
  <c r="CF19" i="6"/>
  <c r="CF8" i="6"/>
  <c r="DI315" i="3"/>
  <c r="DH314" i="3"/>
  <c r="DF106" i="3"/>
  <c r="CB50" i="5"/>
  <c r="CB51" i="5"/>
  <c r="CB53" i="5"/>
  <c r="CC5" i="5"/>
  <c r="CD8" i="5"/>
  <c r="CC10" i="5"/>
  <c r="CC49" i="5"/>
  <c r="CC27" i="5"/>
  <c r="DK27" i="5" s="1"/>
  <c r="DK30" i="5"/>
  <c r="BZ61" i="5"/>
  <c r="BZ62" i="5"/>
  <c r="BY59" i="5"/>
  <c r="BY58" i="5"/>
  <c r="BG7" i="6"/>
  <c r="BG17" i="6"/>
  <c r="BH5" i="6"/>
  <c r="CA48" i="5"/>
  <c r="CA47" i="5"/>
  <c r="DK303" i="3"/>
  <c r="DF74" i="3"/>
  <c r="DF318" i="3" l="1"/>
  <c r="EP63" i="3"/>
  <c r="EO74" i="3"/>
  <c r="DK17" i="5"/>
  <c r="DK29" i="5"/>
  <c r="DI317" i="3"/>
  <c r="DH316" i="3"/>
  <c r="EO104" i="3"/>
  <c r="EP100" i="3"/>
  <c r="DG74" i="3"/>
  <c r="DF86" i="3"/>
  <c r="CI131" i="2"/>
  <c r="CI130" i="2"/>
  <c r="CI129" i="2"/>
  <c r="CI156" i="2"/>
  <c r="BH17" i="6"/>
  <c r="BH8" i="6" s="1"/>
  <c r="BI5" i="6"/>
  <c r="CG5" i="6" s="1"/>
  <c r="BH7" i="6"/>
  <c r="CD5" i="5"/>
  <c r="CD10" i="5"/>
  <c r="CE8" i="5"/>
  <c r="CD49" i="5"/>
  <c r="CD27" i="5"/>
  <c r="BH13" i="6"/>
  <c r="BI11" i="6"/>
  <c r="DH74" i="3"/>
  <c r="DH86" i="3" s="1"/>
  <c r="ET97" i="2"/>
  <c r="CD40" i="5"/>
  <c r="CE38" i="5"/>
  <c r="CD41" i="5"/>
  <c r="CD44" i="5" s="1"/>
  <c r="CD20" i="5"/>
  <c r="CD77" i="3"/>
  <c r="CC77" i="3"/>
  <c r="CB76" i="3"/>
  <c r="CC76" i="3" s="1"/>
  <c r="CA67" i="5"/>
  <c r="CA68" i="5"/>
  <c r="CA57" i="5"/>
  <c r="DM303" i="3"/>
  <c r="CE54" i="5"/>
  <c r="CF11" i="5"/>
  <c r="CE30" i="5"/>
  <c r="CE72" i="5" s="1"/>
  <c r="DF90" i="5"/>
  <c r="CA61" i="5"/>
  <c r="CA62" i="5"/>
  <c r="CT305" i="3"/>
  <c r="CS308" i="3"/>
  <c r="CD72" i="5"/>
  <c r="BJ85" i="5"/>
  <c r="BJ88" i="5"/>
  <c r="BJ84" i="5"/>
  <c r="CB14" i="5"/>
  <c r="CB26" i="5"/>
  <c r="CB25" i="5"/>
  <c r="DM105" i="2"/>
  <c r="DN103" i="2"/>
  <c r="CC43" i="5"/>
  <c r="CC42" i="5"/>
  <c r="CC69" i="5"/>
  <c r="DK69" i="5" s="1"/>
  <c r="DK41" i="5"/>
  <c r="BG19" i="6"/>
  <c r="BG18" i="6"/>
  <c r="DG95" i="2"/>
  <c r="CC52" i="5"/>
  <c r="CC6" i="5"/>
  <c r="CC7" i="5"/>
  <c r="CC46" i="5"/>
  <c r="DP107" i="2"/>
  <c r="BG14" i="6"/>
  <c r="BL82" i="5"/>
  <c r="BM80" i="5"/>
  <c r="ET146" i="2"/>
  <c r="ET147" i="2"/>
  <c r="BI89" i="5"/>
  <c r="BI90" i="5"/>
  <c r="CA16" i="5"/>
  <c r="CA15" i="5"/>
  <c r="ES88" i="3"/>
  <c r="CG104" i="3"/>
  <c r="CH100" i="3"/>
  <c r="CB71" i="5"/>
  <c r="CB60" i="5"/>
  <c r="CB66" i="5"/>
  <c r="CB70" i="5"/>
  <c r="DE146" i="2"/>
  <c r="DE145" i="2"/>
  <c r="CC50" i="5"/>
  <c r="CC51" i="5"/>
  <c r="CC53" i="5"/>
  <c r="CB47" i="5"/>
  <c r="CB48" i="5"/>
  <c r="DI313" i="3"/>
  <c r="DH312" i="3"/>
  <c r="CJ95" i="3"/>
  <c r="CI100" i="3"/>
  <c r="CI104" i="3" s="1"/>
  <c r="BZ58" i="5"/>
  <c r="BZ59" i="5"/>
  <c r="ES84" i="3"/>
  <c r="ET81" i="3"/>
  <c r="DF144" i="2"/>
  <c r="DF97" i="2"/>
  <c r="DF96" i="2"/>
  <c r="BG8" i="6"/>
  <c r="CC28" i="5"/>
  <c r="CC24" i="5"/>
  <c r="CC29" i="5"/>
  <c r="DK49" i="5"/>
  <c r="DI314" i="3"/>
  <c r="DJ315" i="3"/>
  <c r="ES96" i="3"/>
  <c r="CK19" i="5"/>
  <c r="CL17" i="5"/>
  <c r="DI153" i="3"/>
  <c r="DI64" i="3"/>
  <c r="DI74" i="3" s="1"/>
  <c r="DI86" i="3" s="1"/>
  <c r="DJ62" i="3"/>
  <c r="DJ152" i="3"/>
  <c r="CH159" i="2"/>
  <c r="CH158" i="2"/>
  <c r="CH157" i="2"/>
  <c r="BK83" i="5"/>
  <c r="BL77" i="5"/>
  <c r="BK79" i="5"/>
  <c r="DK5" i="5"/>
  <c r="DH318" i="3" l="1"/>
  <c r="EP74" i="3"/>
  <c r="EO86" i="3"/>
  <c r="EP86" i="3" s="1"/>
  <c r="DI106" i="3"/>
  <c r="EQ63" i="3"/>
  <c r="ER62" i="2"/>
  <c r="CH104" i="3"/>
  <c r="BI13" i="6"/>
  <c r="BJ11" i="6"/>
  <c r="DK51" i="5"/>
  <c r="DK53" i="5"/>
  <c r="ET84" i="3"/>
  <c r="EV81" i="3"/>
  <c r="EU81" i="3"/>
  <c r="CK95" i="3"/>
  <c r="CJ100" i="3"/>
  <c r="CJ104" i="3" s="1"/>
  <c r="DQ107" i="2"/>
  <c r="BH18" i="6"/>
  <c r="BH19" i="6"/>
  <c r="DH95" i="2"/>
  <c r="CJ129" i="2"/>
  <c r="CJ131" i="2"/>
  <c r="CJ130" i="2"/>
  <c r="CJ156" i="2"/>
  <c r="DK43" i="5"/>
  <c r="DK38" i="5"/>
  <c r="DK40" i="5" s="1"/>
  <c r="BJ89" i="5"/>
  <c r="BJ90" i="5"/>
  <c r="CF54" i="5"/>
  <c r="CG11" i="5"/>
  <c r="CF30" i="5"/>
  <c r="CF72" i="5" s="1"/>
  <c r="CD76" i="3"/>
  <c r="CE77" i="3"/>
  <c r="CD52" i="5"/>
  <c r="CD6" i="5"/>
  <c r="CD7" i="5"/>
  <c r="CD46" i="5"/>
  <c r="CI159" i="2"/>
  <c r="CI158" i="2"/>
  <c r="CI157" i="2"/>
  <c r="DK19" i="5"/>
  <c r="DK52" i="5"/>
  <c r="DK7" i="5"/>
  <c r="DK152" i="3"/>
  <c r="DJ153" i="3"/>
  <c r="DJ64" i="3"/>
  <c r="DJ74" i="3" s="1"/>
  <c r="DJ86" i="3" s="1"/>
  <c r="DK71" i="5"/>
  <c r="DK60" i="5"/>
  <c r="DK62" i="5" s="1"/>
  <c r="CC66" i="5"/>
  <c r="DK66" i="5" s="1"/>
  <c r="CC71" i="5"/>
  <c r="CC60" i="5"/>
  <c r="CC70" i="5"/>
  <c r="CA59" i="5"/>
  <c r="CA58" i="5"/>
  <c r="CD28" i="5"/>
  <c r="CD24" i="5"/>
  <c r="CD29" i="5"/>
  <c r="CG7" i="6"/>
  <c r="EP104" i="3"/>
  <c r="BL83" i="5"/>
  <c r="BL79" i="5"/>
  <c r="BM77" i="5"/>
  <c r="CB67" i="5"/>
  <c r="CB57" i="5"/>
  <c r="CB68" i="5"/>
  <c r="DG86" i="3"/>
  <c r="BK85" i="5"/>
  <c r="BK88" i="5"/>
  <c r="BK84" i="5"/>
  <c r="CB61" i="5"/>
  <c r="CB62" i="5"/>
  <c r="BM82" i="5"/>
  <c r="BN80" i="5"/>
  <c r="DN105" i="2"/>
  <c r="DO103" i="2"/>
  <c r="ET96" i="3"/>
  <c r="CC47" i="5"/>
  <c r="CC48" i="5"/>
  <c r="CM17" i="5"/>
  <c r="CL19" i="5"/>
  <c r="DF146" i="2"/>
  <c r="DF145" i="2"/>
  <c r="DK46" i="5"/>
  <c r="CB15" i="5"/>
  <c r="CB16" i="5"/>
  <c r="CU305" i="3"/>
  <c r="CT308" i="3"/>
  <c r="CD69" i="5"/>
  <c r="CD43" i="5"/>
  <c r="CD42" i="5"/>
  <c r="CG11" i="6"/>
  <c r="CD50" i="5"/>
  <c r="CD51" i="5"/>
  <c r="CD53" i="5"/>
  <c r="CC14" i="5"/>
  <c r="CC26" i="5"/>
  <c r="CC25" i="5"/>
  <c r="DK24" i="5"/>
  <c r="DI312" i="3"/>
  <c r="DJ313" i="3"/>
  <c r="DG144" i="2"/>
  <c r="DG97" i="2"/>
  <c r="DG96" i="2"/>
  <c r="DJ314" i="3"/>
  <c r="DK315" i="3"/>
  <c r="ET88" i="3"/>
  <c r="DN303" i="3"/>
  <c r="CE40" i="5"/>
  <c r="CE41" i="5"/>
  <c r="CF38" i="5"/>
  <c r="CE20" i="5"/>
  <c r="BH14" i="6"/>
  <c r="CE10" i="5"/>
  <c r="CF8" i="5"/>
  <c r="CE5" i="5"/>
  <c r="CE49" i="5"/>
  <c r="CE27" i="5"/>
  <c r="BI7" i="6"/>
  <c r="BI17" i="6"/>
  <c r="BI8" i="6" s="1"/>
  <c r="BJ5" i="6"/>
  <c r="DJ317" i="3"/>
  <c r="DI316" i="3"/>
  <c r="DK20" i="5" l="1"/>
  <c r="ER63" i="3"/>
  <c r="ES63" i="3" s="1"/>
  <c r="ET63" i="3" s="1"/>
  <c r="EQ74" i="3"/>
  <c r="EQ86" i="3" s="1"/>
  <c r="DK68" i="5"/>
  <c r="DK57" i="5"/>
  <c r="DK59" i="5" s="1"/>
  <c r="EV84" i="3"/>
  <c r="EW81" i="3"/>
  <c r="CC15" i="5"/>
  <c r="CC16" i="5"/>
  <c r="EV96" i="3"/>
  <c r="EU96" i="3"/>
  <c r="BL88" i="5"/>
  <c r="BL84" i="5"/>
  <c r="BL85" i="5"/>
  <c r="CD47" i="5"/>
  <c r="CD48" i="5"/>
  <c r="CK129" i="2"/>
  <c r="CK131" i="2"/>
  <c r="CK130" i="2"/>
  <c r="CK156" i="2"/>
  <c r="EO156" i="2" s="1"/>
  <c r="EU84" i="3"/>
  <c r="BI19" i="6"/>
  <c r="BI18" i="6"/>
  <c r="DI95" i="2"/>
  <c r="EU95" i="2" s="1"/>
  <c r="CJ159" i="2"/>
  <c r="CJ158" i="2"/>
  <c r="CJ157" i="2"/>
  <c r="DO303" i="3"/>
  <c r="CE28" i="5"/>
  <c r="CE29" i="5"/>
  <c r="CE24" i="5"/>
  <c r="DJ312" i="3"/>
  <c r="DK313" i="3"/>
  <c r="DK48" i="5"/>
  <c r="CD14" i="5"/>
  <c r="CD26" i="5"/>
  <c r="CD25" i="5"/>
  <c r="DJ106" i="3"/>
  <c r="CE76" i="3"/>
  <c r="CF77" i="3"/>
  <c r="CF10" i="5"/>
  <c r="CG8" i="5"/>
  <c r="DL8" i="5" s="1"/>
  <c r="DL10" i="5" s="1"/>
  <c r="CF5" i="5"/>
  <c r="CF49" i="5"/>
  <c r="CF27" i="5"/>
  <c r="DK314" i="3"/>
  <c r="DM315" i="3"/>
  <c r="BK11" i="6"/>
  <c r="BJ13" i="6"/>
  <c r="CV305" i="3"/>
  <c r="CU308" i="3"/>
  <c r="BK89" i="5"/>
  <c r="BK90" i="5"/>
  <c r="CE51" i="5"/>
  <c r="CE50" i="5"/>
  <c r="CE53" i="5"/>
  <c r="DI318" i="3"/>
  <c r="DO105" i="2"/>
  <c r="DP103" i="2"/>
  <c r="CB59" i="5"/>
  <c r="CB58" i="5"/>
  <c r="CC62" i="5"/>
  <c r="CC61" i="5"/>
  <c r="DH97" i="2"/>
  <c r="DH96" i="2"/>
  <c r="DH144" i="2"/>
  <c r="CG13" i="6"/>
  <c r="BM79" i="5"/>
  <c r="BM83" i="5"/>
  <c r="DG83" i="5" s="1"/>
  <c r="BN77" i="5"/>
  <c r="CC67" i="5"/>
  <c r="CC57" i="5"/>
  <c r="CC68" i="5"/>
  <c r="CG30" i="5"/>
  <c r="CG54" i="5"/>
  <c r="DL54" i="5" s="1"/>
  <c r="CH11" i="5"/>
  <c r="DL11" i="5"/>
  <c r="BN82" i="5"/>
  <c r="BO80" i="5"/>
  <c r="EU88" i="3"/>
  <c r="EV88" i="3"/>
  <c r="DK317" i="3"/>
  <c r="DJ316" i="3"/>
  <c r="CF40" i="5"/>
  <c r="CF41" i="5"/>
  <c r="CG38" i="5"/>
  <c r="CF20" i="5"/>
  <c r="BJ17" i="6"/>
  <c r="BJ14" i="6" s="1"/>
  <c r="BK5" i="6"/>
  <c r="BJ7" i="6"/>
  <c r="CE52" i="5"/>
  <c r="CE6" i="5"/>
  <c r="CE7" i="5"/>
  <c r="CE46" i="5"/>
  <c r="CE69" i="5"/>
  <c r="CE42" i="5"/>
  <c r="CE43" i="5"/>
  <c r="CE44" i="5"/>
  <c r="CG17" i="6"/>
  <c r="DG145" i="2"/>
  <c r="DG146" i="2"/>
  <c r="DK26" i="5"/>
  <c r="DK14" i="5"/>
  <c r="DK16" i="5" s="1"/>
  <c r="CD66" i="5"/>
  <c r="CD70" i="5"/>
  <c r="CD71" i="5"/>
  <c r="CD60" i="5"/>
  <c r="CN17" i="5"/>
  <c r="CM19" i="5"/>
  <c r="DG77" i="5"/>
  <c r="DG79" i="5" s="1"/>
  <c r="EO128" i="2"/>
  <c r="CL95" i="3"/>
  <c r="CK100" i="3"/>
  <c r="CK104" i="3" s="1"/>
  <c r="BI14" i="6"/>
  <c r="DJ318" i="3" l="1"/>
  <c r="EU63" i="3"/>
  <c r="EV63" i="3"/>
  <c r="EW63" i="3" s="1"/>
  <c r="EX63" i="3" s="1"/>
  <c r="EY63" i="3" s="1"/>
  <c r="DK316" i="3"/>
  <c r="DM317" i="3"/>
  <c r="DN315" i="3"/>
  <c r="DM314" i="3"/>
  <c r="EO130" i="2"/>
  <c r="EO131" i="2"/>
  <c r="CG19" i="6"/>
  <c r="CG8" i="6"/>
  <c r="EW88" i="3"/>
  <c r="CF44" i="5"/>
  <c r="CE48" i="5"/>
  <c r="CE47" i="5"/>
  <c r="BJ8" i="6"/>
  <c r="CG41" i="5"/>
  <c r="DL41" i="5" s="1"/>
  <c r="CH38" i="5"/>
  <c r="CG40" i="5"/>
  <c r="CG20" i="5"/>
  <c r="CC59" i="5"/>
  <c r="CC58" i="5"/>
  <c r="DK312" i="3"/>
  <c r="DM313" i="3"/>
  <c r="DI144" i="2"/>
  <c r="DI96" i="2"/>
  <c r="DI97" i="2"/>
  <c r="CK158" i="2"/>
  <c r="CK157" i="2"/>
  <c r="CK159" i="2"/>
  <c r="CE70" i="5"/>
  <c r="CE71" i="5"/>
  <c r="CE66" i="5"/>
  <c r="CE60" i="5"/>
  <c r="CF69" i="5"/>
  <c r="CF42" i="5"/>
  <c r="CF43" i="5"/>
  <c r="CF29" i="5"/>
  <c r="CF24" i="5"/>
  <c r="CF28" i="5"/>
  <c r="EO158" i="2"/>
  <c r="EO159" i="2"/>
  <c r="DG80" i="5"/>
  <c r="DG82" i="5" s="1"/>
  <c r="DG85" i="5"/>
  <c r="CL129" i="2"/>
  <c r="CL131" i="2"/>
  <c r="CL130" i="2"/>
  <c r="CL156" i="2"/>
  <c r="CM95" i="3"/>
  <c r="CN95" i="3"/>
  <c r="CL100" i="3"/>
  <c r="BJ19" i="6"/>
  <c r="BJ18" i="6"/>
  <c r="DJ95" i="2"/>
  <c r="CG72" i="5"/>
  <c r="DL30" i="5"/>
  <c r="CH8" i="5"/>
  <c r="CG5" i="5"/>
  <c r="CG10" i="5"/>
  <c r="CG49" i="5"/>
  <c r="DL49" i="5" s="1"/>
  <c r="CG27" i="5"/>
  <c r="CD62" i="5"/>
  <c r="CD61" i="5"/>
  <c r="DP303" i="3"/>
  <c r="BL89" i="5"/>
  <c r="BL90" i="5"/>
  <c r="CF76" i="3"/>
  <c r="CG77" i="3"/>
  <c r="BK17" i="6"/>
  <c r="BK14" i="6" s="1"/>
  <c r="BL5" i="6"/>
  <c r="BK7" i="6"/>
  <c r="BO82" i="5"/>
  <c r="BP80" i="5"/>
  <c r="CH54" i="5"/>
  <c r="CI11" i="5"/>
  <c r="CH30" i="5"/>
  <c r="BN79" i="5"/>
  <c r="BO77" i="5"/>
  <c r="BN83" i="5"/>
  <c r="EU97" i="2"/>
  <c r="DP105" i="2"/>
  <c r="DQ103" i="2"/>
  <c r="CF51" i="5"/>
  <c r="CF50" i="5"/>
  <c r="CF53" i="5"/>
  <c r="CE26" i="5"/>
  <c r="CE25" i="5"/>
  <c r="CE14" i="5"/>
  <c r="EW96" i="3"/>
  <c r="EW84" i="3"/>
  <c r="EX81" i="3"/>
  <c r="CX305" i="3"/>
  <c r="CV308" i="3"/>
  <c r="CG14" i="6"/>
  <c r="CD15" i="5"/>
  <c r="CD16" i="5"/>
  <c r="CD67" i="5"/>
  <c r="CD68" i="5"/>
  <c r="CD57" i="5"/>
  <c r="CO17" i="5"/>
  <c r="CN19" i="5"/>
  <c r="BM84" i="5"/>
  <c r="BM85" i="5"/>
  <c r="BM88" i="5"/>
  <c r="DH145" i="2"/>
  <c r="DH146" i="2"/>
  <c r="EU144" i="2"/>
  <c r="BL11" i="6"/>
  <c r="BK13" i="6"/>
  <c r="CF52" i="5"/>
  <c r="CF7" i="5"/>
  <c r="CF6" i="5"/>
  <c r="CF46" i="5"/>
  <c r="BK8" i="6" l="1"/>
  <c r="EZ63" i="3"/>
  <c r="FA63" i="3"/>
  <c r="FB63" i="3" s="1"/>
  <c r="FC63" i="3" s="1"/>
  <c r="FD63" i="3" s="1"/>
  <c r="DK318" i="3"/>
  <c r="DL51" i="5"/>
  <c r="DL53" i="5"/>
  <c r="CF25" i="5"/>
  <c r="CF14" i="5"/>
  <c r="CF26" i="5"/>
  <c r="CH41" i="5"/>
  <c r="CI38" i="5"/>
  <c r="CH40" i="5"/>
  <c r="CH20" i="5"/>
  <c r="DN314" i="3"/>
  <c r="DO315" i="3"/>
  <c r="CF48" i="5"/>
  <c r="CF47" i="5"/>
  <c r="CE16" i="5"/>
  <c r="CE15" i="5"/>
  <c r="BN85" i="5"/>
  <c r="BN88" i="5"/>
  <c r="BN84" i="5"/>
  <c r="BL17" i="6"/>
  <c r="BL14" i="6" s="1"/>
  <c r="BL8" i="6"/>
  <c r="BL7" i="6"/>
  <c r="BM5" i="6"/>
  <c r="CE68" i="5"/>
  <c r="CE57" i="5"/>
  <c r="CE67" i="5"/>
  <c r="CG69" i="5"/>
  <c r="CG42" i="5"/>
  <c r="CG43" i="5"/>
  <c r="DM316" i="3"/>
  <c r="DN317" i="3"/>
  <c r="CG29" i="5"/>
  <c r="CG24" i="5"/>
  <c r="CG28" i="5"/>
  <c r="DL27" i="5"/>
  <c r="DL38" i="5"/>
  <c r="DL40" i="5" s="1"/>
  <c r="DL43" i="5"/>
  <c r="CO19" i="5"/>
  <c r="DQ105" i="2"/>
  <c r="BK19" i="6"/>
  <c r="BK18" i="6"/>
  <c r="DK95" i="2"/>
  <c r="CG52" i="5"/>
  <c r="CG7" i="5"/>
  <c r="CG6" i="5"/>
  <c r="CG46" i="5"/>
  <c r="DL46" i="5" s="1"/>
  <c r="CL157" i="2"/>
  <c r="CL158" i="2"/>
  <c r="CL159" i="2"/>
  <c r="EU146" i="2"/>
  <c r="EU147" i="2"/>
  <c r="CY305" i="3"/>
  <c r="CX308" i="3"/>
  <c r="CH72" i="5"/>
  <c r="DL72" i="5"/>
  <c r="DJ144" i="2"/>
  <c r="DJ96" i="2"/>
  <c r="DJ97" i="2"/>
  <c r="CO95" i="3"/>
  <c r="CN100" i="3"/>
  <c r="CN104" i="3" s="1"/>
  <c r="CM129" i="2"/>
  <c r="CM131" i="2"/>
  <c r="CM130" i="2"/>
  <c r="CM156" i="2"/>
  <c r="CD58" i="5"/>
  <c r="CD59" i="5"/>
  <c r="EY81" i="3"/>
  <c r="EX84" i="3"/>
  <c r="BO79" i="5"/>
  <c r="BP77" i="5"/>
  <c r="BO83" i="5"/>
  <c r="BQ80" i="5"/>
  <c r="BP82" i="5"/>
  <c r="CI77" i="3"/>
  <c r="CH77" i="3"/>
  <c r="CG76" i="3"/>
  <c r="CH76" i="3" s="1"/>
  <c r="CH5" i="5"/>
  <c r="CH10" i="5"/>
  <c r="CI8" i="5"/>
  <c r="CH49" i="5"/>
  <c r="CH27" i="5"/>
  <c r="CG44" i="5"/>
  <c r="DR303" i="3"/>
  <c r="CL104" i="3"/>
  <c r="CM100" i="3"/>
  <c r="EX96" i="3"/>
  <c r="CI54" i="5"/>
  <c r="CJ11" i="5"/>
  <c r="CI30" i="5"/>
  <c r="CI72" i="5" s="1"/>
  <c r="CG51" i="5"/>
  <c r="CG50" i="5"/>
  <c r="CG53" i="5"/>
  <c r="CE62" i="5"/>
  <c r="CE61" i="5"/>
  <c r="DN313" i="3"/>
  <c r="DM312" i="3"/>
  <c r="BL13" i="6"/>
  <c r="BM11" i="6"/>
  <c r="CH11" i="6" s="1"/>
  <c r="DL5" i="5"/>
  <c r="BM90" i="5"/>
  <c r="BM89" i="5"/>
  <c r="DG88" i="5"/>
  <c r="CF70" i="5"/>
  <c r="CF71" i="5"/>
  <c r="CF60" i="5"/>
  <c r="CF66" i="5"/>
  <c r="DI145" i="2"/>
  <c r="DI146" i="2"/>
  <c r="EX88" i="3"/>
  <c r="FF63" i="3" l="1"/>
  <c r="FG63" i="3" s="1"/>
  <c r="FH63" i="3" s="1"/>
  <c r="FI63" i="3" s="1"/>
  <c r="FE63" i="3"/>
  <c r="CH13" i="6"/>
  <c r="CJ77" i="3"/>
  <c r="CI76" i="3"/>
  <c r="DN316" i="3"/>
  <c r="DO317" i="3"/>
  <c r="BM13" i="6"/>
  <c r="BN11" i="6"/>
  <c r="CJ54" i="5"/>
  <c r="CK11" i="5"/>
  <c r="CJ30" i="5"/>
  <c r="CJ72" i="5" s="1"/>
  <c r="DS303" i="3"/>
  <c r="EY84" i="3"/>
  <c r="FA81" i="3"/>
  <c r="EZ81" i="3"/>
  <c r="DJ145" i="2"/>
  <c r="DJ146" i="2"/>
  <c r="CF68" i="5"/>
  <c r="CF57" i="5"/>
  <c r="CF67" i="5"/>
  <c r="DG90" i="5"/>
  <c r="CH52" i="5"/>
  <c r="CH7" i="5"/>
  <c r="CH6" i="5"/>
  <c r="CH46" i="5"/>
  <c r="BR80" i="5"/>
  <c r="BQ82" i="5"/>
  <c r="CP95" i="3"/>
  <c r="CO100" i="3"/>
  <c r="CO104" i="3" s="1"/>
  <c r="CG48" i="5"/>
  <c r="CG47" i="5"/>
  <c r="DK96" i="2"/>
  <c r="DK97" i="2"/>
  <c r="DK144" i="2"/>
  <c r="DL29" i="5"/>
  <c r="DL17" i="5"/>
  <c r="CE59" i="5"/>
  <c r="CE58" i="5"/>
  <c r="BN90" i="5"/>
  <c r="BN89" i="5"/>
  <c r="CH69" i="5"/>
  <c r="CH42" i="5"/>
  <c r="CH43" i="5"/>
  <c r="CH44" i="5"/>
  <c r="DN312" i="3"/>
  <c r="DO313" i="3"/>
  <c r="CM104" i="3"/>
  <c r="CN131" i="2"/>
  <c r="CN130" i="2"/>
  <c r="CN129" i="2"/>
  <c r="CN156" i="2"/>
  <c r="EP128" i="2"/>
  <c r="EY88" i="3"/>
  <c r="DP315" i="3"/>
  <c r="DO314" i="3"/>
  <c r="BM7" i="6"/>
  <c r="BM17" i="6"/>
  <c r="BM8" i="6" s="1"/>
  <c r="BN5" i="6"/>
  <c r="CH5" i="6"/>
  <c r="CJ38" i="5"/>
  <c r="CI40" i="5"/>
  <c r="CI41" i="5"/>
  <c r="CI20" i="5"/>
  <c r="EY96" i="3"/>
  <c r="CH29" i="5"/>
  <c r="CH24" i="5"/>
  <c r="CH28" i="5"/>
  <c r="BP83" i="5"/>
  <c r="BQ77" i="5"/>
  <c r="DH77" i="5" s="1"/>
  <c r="DH79" i="5" s="1"/>
  <c r="BP79" i="5"/>
  <c r="CM157" i="2"/>
  <c r="CM158" i="2"/>
  <c r="CM159" i="2"/>
  <c r="CZ305" i="3"/>
  <c r="CY308" i="3"/>
  <c r="CG25" i="5"/>
  <c r="CG14" i="5"/>
  <c r="CG26" i="5"/>
  <c r="BL19" i="6"/>
  <c r="BL18" i="6"/>
  <c r="DL95" i="2"/>
  <c r="DL24" i="5"/>
  <c r="CI5" i="5"/>
  <c r="CI10" i="5"/>
  <c r="CJ8" i="5"/>
  <c r="CI49" i="5"/>
  <c r="CI27" i="5"/>
  <c r="DL74" i="5"/>
  <c r="DL48" i="5"/>
  <c r="CF16" i="5"/>
  <c r="CF15" i="5"/>
  <c r="CF61" i="5"/>
  <c r="CF62" i="5"/>
  <c r="BO85" i="5"/>
  <c r="BO88" i="5"/>
  <c r="BO84" i="5"/>
  <c r="DL52" i="5"/>
  <c r="DL7" i="5"/>
  <c r="DM318" i="3"/>
  <c r="CH50" i="5"/>
  <c r="CH51" i="5"/>
  <c r="CH53" i="5"/>
  <c r="CG71" i="5"/>
  <c r="CG60" i="5"/>
  <c r="CG70" i="5"/>
  <c r="CG66" i="5"/>
  <c r="DL66" i="5" s="1"/>
  <c r="DL69" i="5"/>
  <c r="DN318" i="3" l="1"/>
  <c r="CH17" i="6"/>
  <c r="CH14" i="6" s="1"/>
  <c r="FJ63" i="3"/>
  <c r="FK63" i="3"/>
  <c r="FL63" i="3" s="1"/>
  <c r="FM63" i="3" s="1"/>
  <c r="FN63" i="3" s="1"/>
  <c r="FO63" i="3" s="1"/>
  <c r="DL57" i="5"/>
  <c r="DL59" i="5" s="1"/>
  <c r="DL68" i="5"/>
  <c r="CH7" i="6"/>
  <c r="BN17" i="6"/>
  <c r="BN8" i="6" s="1"/>
  <c r="BO5" i="6"/>
  <c r="BN7" i="6"/>
  <c r="CK54" i="5"/>
  <c r="DM54" i="5" s="1"/>
  <c r="CL11" i="5"/>
  <c r="CK30" i="5"/>
  <c r="CK72" i="5" s="1"/>
  <c r="DM72" i="5" s="1"/>
  <c r="DM11" i="5"/>
  <c r="DP317" i="3"/>
  <c r="DO316" i="3"/>
  <c r="CJ76" i="3"/>
  <c r="CK77" i="3"/>
  <c r="CI6" i="5"/>
  <c r="CI52" i="5"/>
  <c r="CI7" i="5"/>
  <c r="CI46" i="5"/>
  <c r="BM19" i="6"/>
  <c r="BM18" i="6"/>
  <c r="DM95" i="2"/>
  <c r="DL20" i="5"/>
  <c r="DL19" i="5"/>
  <c r="BR82" i="5"/>
  <c r="BS80" i="5"/>
  <c r="FA84" i="3"/>
  <c r="FB81" i="3"/>
  <c r="DA305" i="3"/>
  <c r="CZ308" i="3"/>
  <c r="CI69" i="5"/>
  <c r="CI43" i="5"/>
  <c r="CI42" i="5"/>
  <c r="DR315" i="3"/>
  <c r="DP314" i="3"/>
  <c r="EZ88" i="3"/>
  <c r="FA88" i="3"/>
  <c r="EP130" i="2"/>
  <c r="EP131" i="2"/>
  <c r="CH47" i="5"/>
  <c r="CH48" i="5"/>
  <c r="EZ84" i="3"/>
  <c r="BN13" i="6"/>
  <c r="BN14" i="6"/>
  <c r="BO11" i="6"/>
  <c r="CO131" i="2"/>
  <c r="CO130" i="2"/>
  <c r="CO129" i="2"/>
  <c r="CO156" i="2"/>
  <c r="EP156" i="2" s="1"/>
  <c r="BO90" i="5"/>
  <c r="BO89" i="5"/>
  <c r="FA96" i="3"/>
  <c r="EZ96" i="3"/>
  <c r="CG15" i="5"/>
  <c r="CG16" i="5"/>
  <c r="CH14" i="5"/>
  <c r="CH25" i="5"/>
  <c r="CH26" i="5"/>
  <c r="CI28" i="5"/>
  <c r="CI29" i="5"/>
  <c r="CI24" i="5"/>
  <c r="DL144" i="2"/>
  <c r="DL97" i="2"/>
  <c r="DL96" i="2"/>
  <c r="CN159" i="2"/>
  <c r="CN158" i="2"/>
  <c r="CN157" i="2"/>
  <c r="DP313" i="3"/>
  <c r="DO312" i="3"/>
  <c r="DK146" i="2"/>
  <c r="DK145" i="2"/>
  <c r="CF58" i="5"/>
  <c r="CF59" i="5"/>
  <c r="CJ5" i="5"/>
  <c r="CJ10" i="5"/>
  <c r="CK8" i="5"/>
  <c r="DM8" i="5" s="1"/>
  <c r="DM10" i="5" s="1"/>
  <c r="CJ49" i="5"/>
  <c r="CJ27" i="5"/>
  <c r="BP85" i="5"/>
  <c r="BP88" i="5"/>
  <c r="BP84" i="5"/>
  <c r="CQ95" i="3"/>
  <c r="CP100" i="3"/>
  <c r="CP104" i="3" s="1"/>
  <c r="CG61" i="5"/>
  <c r="CG62" i="5"/>
  <c r="DL60" i="5"/>
  <c r="DL62" i="5" s="1"/>
  <c r="DL71" i="5"/>
  <c r="DL26" i="5"/>
  <c r="DL14" i="5"/>
  <c r="DL16" i="5" s="1"/>
  <c r="CG57" i="5"/>
  <c r="CG68" i="5"/>
  <c r="CG67" i="5"/>
  <c r="CI50" i="5"/>
  <c r="CI51" i="5"/>
  <c r="CI53" i="5"/>
  <c r="BQ83" i="5"/>
  <c r="BQ79" i="5"/>
  <c r="BR77" i="5"/>
  <c r="CJ40" i="5"/>
  <c r="CJ41" i="5"/>
  <c r="CK38" i="5"/>
  <c r="CJ20" i="5"/>
  <c r="CI44" i="5"/>
  <c r="CH71" i="5"/>
  <c r="CH60" i="5"/>
  <c r="CH66" i="5"/>
  <c r="CH70" i="5"/>
  <c r="DT303" i="3"/>
  <c r="BM14" i="6"/>
  <c r="CH19" i="6" l="1"/>
  <c r="CH8" i="6"/>
  <c r="DM30" i="5"/>
  <c r="DO318" i="3"/>
  <c r="CJ28" i="5"/>
  <c r="CJ29" i="5"/>
  <c r="CJ24" i="5"/>
  <c r="FB88" i="3"/>
  <c r="BS82" i="5"/>
  <c r="BT80" i="5"/>
  <c r="BQ85" i="5"/>
  <c r="BQ88" i="5"/>
  <c r="DH88" i="5" s="1"/>
  <c r="BQ84" i="5"/>
  <c r="DH83" i="5"/>
  <c r="CK40" i="5"/>
  <c r="CL38" i="5"/>
  <c r="CK41" i="5"/>
  <c r="DM41" i="5" s="1"/>
  <c r="CK20" i="5"/>
  <c r="CK10" i="5"/>
  <c r="CL8" i="5"/>
  <c r="CK5" i="5"/>
  <c r="CK49" i="5"/>
  <c r="DM49" i="5" s="1"/>
  <c r="CK27" i="5"/>
  <c r="DM27" i="5" s="1"/>
  <c r="DM74" i="5"/>
  <c r="FB96" i="3"/>
  <c r="CO159" i="2"/>
  <c r="CO158" i="2"/>
  <c r="CO157" i="2"/>
  <c r="CI66" i="5"/>
  <c r="CI70" i="5"/>
  <c r="CI60" i="5"/>
  <c r="CI71" i="5"/>
  <c r="CH67" i="5"/>
  <c r="CH68" i="5"/>
  <c r="CH57" i="5"/>
  <c r="CI14" i="5"/>
  <c r="CI26" i="5"/>
  <c r="CI25" i="5"/>
  <c r="DS315" i="3"/>
  <c r="DR314" i="3"/>
  <c r="CL77" i="3"/>
  <c r="CK76" i="3"/>
  <c r="CM11" i="5"/>
  <c r="CL30" i="5"/>
  <c r="CL54" i="5"/>
  <c r="BN18" i="6"/>
  <c r="BN19" i="6"/>
  <c r="DN95" i="2"/>
  <c r="DU303" i="3"/>
  <c r="DC305" i="3"/>
  <c r="DA308" i="3"/>
  <c r="BO7" i="6"/>
  <c r="BP5" i="6"/>
  <c r="BO17" i="6"/>
  <c r="BO14" i="6" s="1"/>
  <c r="CG58" i="5"/>
  <c r="CG59" i="5"/>
  <c r="CJ50" i="5"/>
  <c r="CJ51" i="5"/>
  <c r="CJ53" i="5"/>
  <c r="EP159" i="2"/>
  <c r="EP158" i="2"/>
  <c r="BP11" i="6"/>
  <c r="BO13" i="6"/>
  <c r="DM97" i="2"/>
  <c r="DM144" i="2"/>
  <c r="DM96" i="2"/>
  <c r="EV95" i="2"/>
  <c r="CH61" i="5"/>
  <c r="CH62" i="5"/>
  <c r="CS95" i="3"/>
  <c r="CR95" i="3"/>
  <c r="CQ100" i="3"/>
  <c r="BP89" i="5"/>
  <c r="BP90" i="5"/>
  <c r="CJ52" i="5"/>
  <c r="CJ6" i="5"/>
  <c r="CJ7" i="5"/>
  <c r="CJ46" i="5"/>
  <c r="CJ44" i="5"/>
  <c r="FC81" i="3"/>
  <c r="FB84" i="3"/>
  <c r="DR313" i="3"/>
  <c r="DP312" i="3"/>
  <c r="DL146" i="2"/>
  <c r="DL145" i="2"/>
  <c r="CH15" i="5"/>
  <c r="CH16" i="5"/>
  <c r="DR317" i="3"/>
  <c r="DP316" i="3"/>
  <c r="CJ69" i="5"/>
  <c r="CJ43" i="5"/>
  <c r="CJ42" i="5"/>
  <c r="BR83" i="5"/>
  <c r="BR79" i="5"/>
  <c r="BS77" i="5"/>
  <c r="CI47" i="5"/>
  <c r="CI48" i="5"/>
  <c r="CP129" i="2"/>
  <c r="CP131" i="2"/>
  <c r="CP130" i="2"/>
  <c r="CP156" i="2"/>
  <c r="DH90" i="5" l="1"/>
  <c r="BR88" i="5"/>
  <c r="BR84" i="5"/>
  <c r="BR85" i="5"/>
  <c r="EV97" i="2"/>
  <c r="DS314" i="3"/>
  <c r="DT315" i="3"/>
  <c r="CQ129" i="2"/>
  <c r="CQ130" i="2"/>
  <c r="CQ131" i="2"/>
  <c r="CQ156" i="2"/>
  <c r="BO19" i="6"/>
  <c r="BO18" i="6"/>
  <c r="DO95" i="2"/>
  <c r="DS313" i="3"/>
  <c r="DR312" i="3"/>
  <c r="BQ11" i="6"/>
  <c r="CI11" i="6" s="1"/>
  <c r="BP13" i="6"/>
  <c r="BP17" i="6"/>
  <c r="BP7" i="6"/>
  <c r="BQ5" i="6"/>
  <c r="DN97" i="2"/>
  <c r="DN144" i="2"/>
  <c r="DN96" i="2"/>
  <c r="FC96" i="3"/>
  <c r="DH80" i="5"/>
  <c r="DH82" i="5" s="1"/>
  <c r="DH85" i="5"/>
  <c r="CT95" i="3"/>
  <c r="CS100" i="3"/>
  <c r="CS104" i="3" s="1"/>
  <c r="CH59" i="5"/>
  <c r="CH58" i="5"/>
  <c r="DM29" i="5"/>
  <c r="DM17" i="5"/>
  <c r="DD305" i="3"/>
  <c r="DC308" i="3"/>
  <c r="CL10" i="5"/>
  <c r="CM8" i="5"/>
  <c r="CL5" i="5"/>
  <c r="CL49" i="5"/>
  <c r="CL27" i="5"/>
  <c r="DP318" i="3"/>
  <c r="DM51" i="5"/>
  <c r="DM53" i="5"/>
  <c r="BU80" i="5"/>
  <c r="BT82" i="5"/>
  <c r="CP159" i="2"/>
  <c r="CP158" i="2"/>
  <c r="CP157" i="2"/>
  <c r="BS79" i="5"/>
  <c r="BS83" i="5"/>
  <c r="BT77" i="5"/>
  <c r="CQ104" i="3"/>
  <c r="CR100" i="3"/>
  <c r="DM146" i="2"/>
  <c r="DM145" i="2"/>
  <c r="CL72" i="5"/>
  <c r="CI15" i="5"/>
  <c r="CI16" i="5"/>
  <c r="CK28" i="5"/>
  <c r="CK29" i="5"/>
  <c r="CK24" i="5"/>
  <c r="DM24" i="5" s="1"/>
  <c r="CK69" i="5"/>
  <c r="DM69" i="5" s="1"/>
  <c r="CK43" i="5"/>
  <c r="CK42" i="5"/>
  <c r="FC88" i="3"/>
  <c r="EV144" i="2"/>
  <c r="CK52" i="5"/>
  <c r="CK7" i="5"/>
  <c r="CK6" i="5"/>
  <c r="CK46" i="5"/>
  <c r="DM46" i="5" s="1"/>
  <c r="DM5" i="5"/>
  <c r="BQ89" i="5"/>
  <c r="BQ90" i="5"/>
  <c r="DW303" i="3"/>
  <c r="CL76" i="3"/>
  <c r="CM76" i="3" s="1"/>
  <c r="CN77" i="3"/>
  <c r="CM77" i="3"/>
  <c r="CI67" i="5"/>
  <c r="CI68" i="5"/>
  <c r="CI57" i="5"/>
  <c r="CJ14" i="5"/>
  <c r="CJ26" i="5"/>
  <c r="CJ25" i="5"/>
  <c r="DS317" i="3"/>
  <c r="DR316" i="3"/>
  <c r="DM38" i="5"/>
  <c r="DM40" i="5" s="1"/>
  <c r="DM43" i="5"/>
  <c r="CJ66" i="5"/>
  <c r="CJ70" i="5"/>
  <c r="CJ60" i="5"/>
  <c r="CJ71" i="5"/>
  <c r="FC84" i="3"/>
  <c r="FD81" i="3"/>
  <c r="CJ47" i="5"/>
  <c r="CJ48" i="5"/>
  <c r="BO8" i="6"/>
  <c r="CM54" i="5"/>
  <c r="CM30" i="5"/>
  <c r="CM72" i="5" s="1"/>
  <c r="CN11" i="5"/>
  <c r="CI62" i="5"/>
  <c r="CI61" i="5"/>
  <c r="CK51" i="5"/>
  <c r="CK50" i="5"/>
  <c r="CK53" i="5"/>
  <c r="CL40" i="5"/>
  <c r="CL41" i="5"/>
  <c r="CL44" i="5" s="1"/>
  <c r="CM38" i="5"/>
  <c r="CL20" i="5"/>
  <c r="CK44" i="5"/>
  <c r="DR318" i="3" l="1"/>
  <c r="DM48" i="5"/>
  <c r="DM60" i="5"/>
  <c r="DM62" i="5" s="1"/>
  <c r="DM71" i="5"/>
  <c r="DN146" i="2"/>
  <c r="DN145" i="2"/>
  <c r="CQ159" i="2"/>
  <c r="CQ157" i="2"/>
  <c r="CQ158" i="2"/>
  <c r="FD96" i="3"/>
  <c r="CI13" i="6"/>
  <c r="CJ67" i="5"/>
  <c r="CJ68" i="5"/>
  <c r="CJ57" i="5"/>
  <c r="CI59" i="5"/>
  <c r="CI58" i="5"/>
  <c r="DX303" i="3"/>
  <c r="BT83" i="5"/>
  <c r="BT79" i="5"/>
  <c r="BU77" i="5"/>
  <c r="DI77" i="5" s="1"/>
  <c r="DI79" i="5" s="1"/>
  <c r="CL51" i="5"/>
  <c r="CL50" i="5"/>
  <c r="CL53" i="5"/>
  <c r="DE305" i="3"/>
  <c r="DD308" i="3"/>
  <c r="CU95" i="3"/>
  <c r="CT100" i="3"/>
  <c r="CT104" i="3" s="1"/>
  <c r="BQ17" i="6"/>
  <c r="BQ14" i="6" s="1"/>
  <c r="BQ7" i="6"/>
  <c r="CI5" i="6"/>
  <c r="DM52" i="5"/>
  <c r="DM7" i="5"/>
  <c r="BP19" i="6"/>
  <c r="BP18" i="6"/>
  <c r="DP95" i="2"/>
  <c r="CL69" i="5"/>
  <c r="CL42" i="5"/>
  <c r="CL43" i="5"/>
  <c r="CJ62" i="5"/>
  <c r="CJ61" i="5"/>
  <c r="CO77" i="3"/>
  <c r="CN76" i="3"/>
  <c r="CR104" i="3"/>
  <c r="BV80" i="5"/>
  <c r="BU82" i="5"/>
  <c r="CK26" i="5"/>
  <c r="CK25" i="5"/>
  <c r="CK14" i="5"/>
  <c r="CJ15" i="5"/>
  <c r="CJ16" i="5"/>
  <c r="BS88" i="5"/>
  <c r="BS84" i="5"/>
  <c r="BS85" i="5"/>
  <c r="CL52" i="5"/>
  <c r="CL7" i="5"/>
  <c r="CL6" i="5"/>
  <c r="CL46" i="5"/>
  <c r="DM20" i="5"/>
  <c r="DM19" i="5"/>
  <c r="BP8" i="6"/>
  <c r="DU315" i="3"/>
  <c r="DT314" i="3"/>
  <c r="CM41" i="5"/>
  <c r="CM44" i="5" s="1"/>
  <c r="CN38" i="5"/>
  <c r="CM40" i="5"/>
  <c r="CM20" i="5"/>
  <c r="DS316" i="3"/>
  <c r="DT317" i="3"/>
  <c r="CR129" i="2"/>
  <c r="CR130" i="2"/>
  <c r="CR131" i="2"/>
  <c r="CR156" i="2"/>
  <c r="CM10" i="5"/>
  <c r="CM5" i="5"/>
  <c r="CN8" i="5"/>
  <c r="CM49" i="5"/>
  <c r="CM27" i="5"/>
  <c r="BR89" i="5"/>
  <c r="BR90" i="5"/>
  <c r="DM26" i="5"/>
  <c r="DM14" i="5"/>
  <c r="DM16" i="5" s="1"/>
  <c r="CK48" i="5"/>
  <c r="CK47" i="5"/>
  <c r="EV146" i="2"/>
  <c r="EV147" i="2"/>
  <c r="CK70" i="5"/>
  <c r="CK60" i="5"/>
  <c r="CK66" i="5"/>
  <c r="CK71" i="5"/>
  <c r="DS312" i="3"/>
  <c r="DT313" i="3"/>
  <c r="FF81" i="3"/>
  <c r="FD84" i="3"/>
  <c r="FE81" i="3"/>
  <c r="FD88" i="3"/>
  <c r="CL29" i="5"/>
  <c r="CL24" i="5"/>
  <c r="CL28" i="5"/>
  <c r="BP14" i="6"/>
  <c r="DO144" i="2"/>
  <c r="DO96" i="2"/>
  <c r="DO97" i="2"/>
  <c r="CN54" i="5"/>
  <c r="CN30" i="5"/>
  <c r="CN72" i="5" s="1"/>
  <c r="CO11" i="5"/>
  <c r="DN11" i="5" s="1"/>
  <c r="BQ13" i="6"/>
  <c r="BQ8" i="6" l="1"/>
  <c r="DS318" i="3"/>
  <c r="FF88" i="3"/>
  <c r="FE88" i="3"/>
  <c r="CR157" i="2"/>
  <c r="CR159" i="2"/>
  <c r="CR158" i="2"/>
  <c r="DY303" i="3"/>
  <c r="FF84" i="3"/>
  <c r="FG81" i="3"/>
  <c r="CK61" i="5"/>
  <c r="CK62" i="5"/>
  <c r="CM7" i="5"/>
  <c r="CM6" i="5"/>
  <c r="CM52" i="5"/>
  <c r="CM46" i="5"/>
  <c r="CM42" i="5"/>
  <c r="CM43" i="5"/>
  <c r="CM69" i="5"/>
  <c r="CL48" i="5"/>
  <c r="CL47" i="5"/>
  <c r="CK16" i="5"/>
  <c r="CK15" i="5"/>
  <c r="DF305" i="3"/>
  <c r="DE308" i="3"/>
  <c r="BU83" i="5"/>
  <c r="BU79" i="5"/>
  <c r="BV77" i="5"/>
  <c r="FF96" i="3"/>
  <c r="FE96" i="3"/>
  <c r="CL25" i="5"/>
  <c r="CL26" i="5"/>
  <c r="CL14" i="5"/>
  <c r="CS129" i="2"/>
  <c r="CS131" i="2"/>
  <c r="CS130" i="2"/>
  <c r="CS156" i="2"/>
  <c r="DO145" i="2"/>
  <c r="DO146" i="2"/>
  <c r="BS90" i="5"/>
  <c r="BS89" i="5"/>
  <c r="BW80" i="5"/>
  <c r="BV82" i="5"/>
  <c r="CL70" i="5"/>
  <c r="CL71" i="5"/>
  <c r="CL60" i="5"/>
  <c r="CL66" i="5"/>
  <c r="FE84" i="3"/>
  <c r="CN5" i="5"/>
  <c r="CO8" i="5"/>
  <c r="CN10" i="5"/>
  <c r="CN49" i="5"/>
  <c r="CN27" i="5"/>
  <c r="CN41" i="5"/>
  <c r="CN44" i="5" s="1"/>
  <c r="CO38" i="5"/>
  <c r="CN40" i="5"/>
  <c r="CN20" i="5"/>
  <c r="DP144" i="2"/>
  <c r="DP96" i="2"/>
  <c r="DP97" i="2"/>
  <c r="BQ19" i="6"/>
  <c r="BQ18" i="6"/>
  <c r="DQ95" i="2"/>
  <c r="EW95" i="2" s="1"/>
  <c r="DU313" i="3"/>
  <c r="DT312" i="3"/>
  <c r="DT316" i="3"/>
  <c r="DU317" i="3"/>
  <c r="CJ58" i="5"/>
  <c r="CJ59" i="5"/>
  <c r="CM29" i="5"/>
  <c r="CM24" i="5"/>
  <c r="CM28" i="5"/>
  <c r="CO54" i="5"/>
  <c r="DN54" i="5" s="1"/>
  <c r="CO30" i="5"/>
  <c r="CO72" i="5" s="1"/>
  <c r="DN72" i="5" s="1"/>
  <c r="CM51" i="5"/>
  <c r="CM50" i="5"/>
  <c r="CM53" i="5"/>
  <c r="CV95" i="3"/>
  <c r="CU100" i="3"/>
  <c r="CU104" i="3" s="1"/>
  <c r="CK68" i="5"/>
  <c r="CK67" i="5"/>
  <c r="CK57" i="5"/>
  <c r="DM66" i="5"/>
  <c r="EQ128" i="2"/>
  <c r="DU314" i="3"/>
  <c r="DW315" i="3"/>
  <c r="CP77" i="3"/>
  <c r="CO76" i="3"/>
  <c r="CI7" i="6"/>
  <c r="BT84" i="5"/>
  <c r="BT88" i="5"/>
  <c r="BT85" i="5"/>
  <c r="CI17" i="6"/>
  <c r="CI8" i="6" s="1"/>
  <c r="DT318" i="3" l="1"/>
  <c r="BT90" i="5"/>
  <c r="BT89" i="5"/>
  <c r="BU85" i="5"/>
  <c r="BU84" i="5"/>
  <c r="BU88" i="5"/>
  <c r="DI88" i="5" s="1"/>
  <c r="FG84" i="3"/>
  <c r="FH81" i="3"/>
  <c r="FG88" i="3"/>
  <c r="DX315" i="3"/>
  <c r="DW314" i="3"/>
  <c r="CM25" i="5"/>
  <c r="CM26" i="5"/>
  <c r="CM14" i="5"/>
  <c r="DU316" i="3"/>
  <c r="DW317" i="3"/>
  <c r="CO41" i="5"/>
  <c r="CO40" i="5"/>
  <c r="CO20" i="5"/>
  <c r="CN7" i="5"/>
  <c r="CN52" i="5"/>
  <c r="CN6" i="5"/>
  <c r="CN46" i="5"/>
  <c r="CL61" i="5"/>
  <c r="CL62" i="5"/>
  <c r="CM48" i="5"/>
  <c r="CM47" i="5"/>
  <c r="DZ303" i="3"/>
  <c r="CW95" i="3"/>
  <c r="CV100" i="3"/>
  <c r="CO5" i="5"/>
  <c r="CO10" i="5"/>
  <c r="CO49" i="5"/>
  <c r="CO27" i="5"/>
  <c r="CL16" i="5"/>
  <c r="CL15" i="5"/>
  <c r="DI83" i="5"/>
  <c r="DN8" i="5"/>
  <c r="DN10" i="5" s="1"/>
  <c r="DM68" i="5"/>
  <c r="DM57" i="5"/>
  <c r="DM59" i="5" s="1"/>
  <c r="DQ144" i="2"/>
  <c r="DQ97" i="2"/>
  <c r="DQ96" i="2"/>
  <c r="CN42" i="5"/>
  <c r="CN43" i="5"/>
  <c r="CN69" i="5"/>
  <c r="CS157" i="2"/>
  <c r="CS158" i="2"/>
  <c r="CS159" i="2"/>
  <c r="EQ156" i="2"/>
  <c r="DH305" i="3"/>
  <c r="DF308" i="3"/>
  <c r="CL68" i="5"/>
  <c r="CL57" i="5"/>
  <c r="CL67" i="5"/>
  <c r="CK59" i="5"/>
  <c r="CK58" i="5"/>
  <c r="DP145" i="2"/>
  <c r="DP146" i="2"/>
  <c r="CQ77" i="3"/>
  <c r="CP76" i="3"/>
  <c r="DN74" i="5"/>
  <c r="BX80" i="5"/>
  <c r="BW82" i="5"/>
  <c r="CI19" i="6"/>
  <c r="CI14" i="6"/>
  <c r="EQ131" i="2"/>
  <c r="EQ130" i="2"/>
  <c r="EW97" i="2"/>
  <c r="CN28" i="5"/>
  <c r="CN29" i="5"/>
  <c r="CN24" i="5"/>
  <c r="FG96" i="3"/>
  <c r="CT131" i="2"/>
  <c r="CT130" i="2"/>
  <c r="CT129" i="2"/>
  <c r="CT156" i="2"/>
  <c r="DN30" i="5"/>
  <c r="DU312" i="3"/>
  <c r="DW313" i="3"/>
  <c r="CN50" i="5"/>
  <c r="CN51" i="5"/>
  <c r="CN53" i="5"/>
  <c r="DN49" i="5"/>
  <c r="BV83" i="5"/>
  <c r="BV79" i="5"/>
  <c r="BW77" i="5"/>
  <c r="CM71" i="5"/>
  <c r="CM60" i="5"/>
  <c r="CM66" i="5"/>
  <c r="CM70" i="5"/>
  <c r="DU318" i="3" l="1"/>
  <c r="CM61" i="5"/>
  <c r="CM62" i="5"/>
  <c r="DQ146" i="2"/>
  <c r="DQ145" i="2"/>
  <c r="FI81" i="3"/>
  <c r="FH84" i="3"/>
  <c r="CL58" i="5"/>
  <c r="CL59" i="5"/>
  <c r="CO43" i="5"/>
  <c r="CO69" i="5"/>
  <c r="DN69" i="5" s="1"/>
  <c r="CO42" i="5"/>
  <c r="CN14" i="5"/>
  <c r="CN26" i="5"/>
  <c r="CN25" i="5"/>
  <c r="CN71" i="5"/>
  <c r="CN60" i="5"/>
  <c r="CN66" i="5"/>
  <c r="CN70" i="5"/>
  <c r="CU131" i="2"/>
  <c r="CU130" i="2"/>
  <c r="CU129" i="2"/>
  <c r="CU156" i="2"/>
  <c r="DI90" i="5"/>
  <c r="CO28" i="5"/>
  <c r="CO29" i="5"/>
  <c r="CO24" i="5"/>
  <c r="DN24" i="5" s="1"/>
  <c r="DX317" i="3"/>
  <c r="DW316" i="3"/>
  <c r="BW83" i="5"/>
  <c r="BX77" i="5"/>
  <c r="BW79" i="5"/>
  <c r="DN51" i="5"/>
  <c r="DN53" i="5"/>
  <c r="CR77" i="3"/>
  <c r="CQ76" i="3"/>
  <c r="CR76" i="3" s="1"/>
  <c r="CS77" i="3"/>
  <c r="DI305" i="3"/>
  <c r="DH308" i="3"/>
  <c r="CO50" i="5"/>
  <c r="CO51" i="5"/>
  <c r="CO53" i="5"/>
  <c r="EB303" i="3"/>
  <c r="DX314" i="3"/>
  <c r="DY315" i="3"/>
  <c r="BU90" i="5"/>
  <c r="BU89" i="5"/>
  <c r="DN27" i="5"/>
  <c r="CM16" i="5"/>
  <c r="CM15" i="5"/>
  <c r="FH88" i="3"/>
  <c r="CW100" i="3"/>
  <c r="CV104" i="3"/>
  <c r="EW144" i="2"/>
  <c r="CM67" i="5"/>
  <c r="CM57" i="5"/>
  <c r="CM68" i="5"/>
  <c r="BV85" i="5"/>
  <c r="BV88" i="5"/>
  <c r="BV84" i="5"/>
  <c r="DX313" i="3"/>
  <c r="DW312" i="3"/>
  <c r="CT159" i="2"/>
  <c r="CT158" i="2"/>
  <c r="CT157" i="2"/>
  <c r="FH96" i="3"/>
  <c r="BX82" i="5"/>
  <c r="BY80" i="5"/>
  <c r="EQ159" i="2"/>
  <c r="EQ158" i="2"/>
  <c r="DN41" i="5"/>
  <c r="DI85" i="5"/>
  <c r="DI80" i="5"/>
  <c r="DI82" i="5" s="1"/>
  <c r="CO52" i="5"/>
  <c r="CO6" i="5"/>
  <c r="CO7" i="5"/>
  <c r="CO46" i="5"/>
  <c r="DN46" i="5" s="1"/>
  <c r="DN5" i="5"/>
  <c r="CN47" i="5"/>
  <c r="CN48" i="5"/>
  <c r="CO44" i="5"/>
  <c r="DN14" i="5" l="1"/>
  <c r="DN16" i="5" s="1"/>
  <c r="DN26" i="5"/>
  <c r="DN48" i="5"/>
  <c r="CS76" i="3"/>
  <c r="CT77" i="3"/>
  <c r="CN61" i="5"/>
  <c r="CN62" i="5"/>
  <c r="DN38" i="5"/>
  <c r="DN40" i="5" s="1"/>
  <c r="DN43" i="5"/>
  <c r="FI88" i="3"/>
  <c r="DY317" i="3"/>
  <c r="DX316" i="3"/>
  <c r="CO66" i="5"/>
  <c r="DN66" i="5" s="1"/>
  <c r="CO71" i="5"/>
  <c r="CO60" i="5"/>
  <c r="CO70" i="5"/>
  <c r="EC303" i="3"/>
  <c r="FK81" i="3"/>
  <c r="FJ81" i="3"/>
  <c r="FI84" i="3"/>
  <c r="FI96" i="3"/>
  <c r="BV89" i="5"/>
  <c r="BV90" i="5"/>
  <c r="DN60" i="5"/>
  <c r="DN62" i="5" s="1"/>
  <c r="DN71" i="5"/>
  <c r="DW318" i="3"/>
  <c r="DN29" i="5"/>
  <c r="DN17" i="5"/>
  <c r="DZ315" i="3"/>
  <c r="DY314" i="3"/>
  <c r="CV131" i="2"/>
  <c r="CV130" i="2"/>
  <c r="CV129" i="2"/>
  <c r="CV156" i="2"/>
  <c r="CO14" i="5"/>
  <c r="CO26" i="5"/>
  <c r="CO25" i="5"/>
  <c r="CW104" i="3"/>
  <c r="BX83" i="5"/>
  <c r="BY77" i="5"/>
  <c r="DJ77" i="5" s="1"/>
  <c r="DJ79" i="5" s="1"/>
  <c r="BX79" i="5"/>
  <c r="CU159" i="2"/>
  <c r="CU158" i="2"/>
  <c r="CU157" i="2"/>
  <c r="CN15" i="5"/>
  <c r="CN16" i="5"/>
  <c r="DN52" i="5"/>
  <c r="DN7" i="5"/>
  <c r="DX312" i="3"/>
  <c r="DY313" i="3"/>
  <c r="EW147" i="2"/>
  <c r="EW146" i="2"/>
  <c r="CO47" i="5"/>
  <c r="CO48" i="5"/>
  <c r="BY82" i="5"/>
  <c r="BZ80" i="5"/>
  <c r="CM58" i="5"/>
  <c r="CM59" i="5"/>
  <c r="DJ305" i="3"/>
  <c r="DI308" i="3"/>
  <c r="BW85" i="5"/>
  <c r="BW88" i="5"/>
  <c r="BW84" i="5"/>
  <c r="CN67" i="5"/>
  <c r="CN57" i="5"/>
  <c r="CN68" i="5"/>
  <c r="DX318" i="3" l="1"/>
  <c r="DK305" i="3"/>
  <c r="DJ308" i="3"/>
  <c r="FK84" i="3"/>
  <c r="FL81" i="3"/>
  <c r="CO15" i="5"/>
  <c r="CO16" i="5"/>
  <c r="DZ314" i="3"/>
  <c r="EB315" i="3"/>
  <c r="ED303" i="3"/>
  <c r="CU77" i="3"/>
  <c r="CT76" i="3"/>
  <c r="CN59" i="5"/>
  <c r="CN58" i="5"/>
  <c r="CO62" i="5"/>
  <c r="CO61" i="5"/>
  <c r="BZ82" i="5"/>
  <c r="CA80" i="5"/>
  <c r="BY79" i="5"/>
  <c r="BY83" i="5"/>
  <c r="DJ83" i="5" s="1"/>
  <c r="BZ77" i="5"/>
  <c r="CV158" i="2"/>
  <c r="CV157" i="2"/>
  <c r="CV159" i="2"/>
  <c r="DN20" i="5"/>
  <c r="DN19" i="5"/>
  <c r="FJ96" i="3"/>
  <c r="FK96" i="3"/>
  <c r="CO67" i="5"/>
  <c r="CO57" i="5"/>
  <c r="CO68" i="5"/>
  <c r="FJ88" i="3"/>
  <c r="FK88" i="3"/>
  <c r="DZ313" i="3"/>
  <c r="DY312" i="3"/>
  <c r="DY318" i="3" s="1"/>
  <c r="BX88" i="5"/>
  <c r="BX84" i="5"/>
  <c r="BX85" i="5"/>
  <c r="FJ84" i="3"/>
  <c r="BW89" i="5"/>
  <c r="BW90" i="5"/>
  <c r="CW129" i="2"/>
  <c r="CW131" i="2"/>
  <c r="CW130" i="2"/>
  <c r="CW156" i="2"/>
  <c r="ER156" i="2" s="1"/>
  <c r="ER128" i="2"/>
  <c r="DN57" i="5"/>
  <c r="DN59" i="5" s="1"/>
  <c r="DN68" i="5"/>
  <c r="DZ317" i="3"/>
  <c r="DY316" i="3"/>
  <c r="ER158" i="2" l="1"/>
  <c r="ER159" i="2"/>
  <c r="CO58" i="5"/>
  <c r="CO59" i="5"/>
  <c r="DJ85" i="5"/>
  <c r="DJ80" i="5"/>
  <c r="DJ82" i="5" s="1"/>
  <c r="CA77" i="5"/>
  <c r="BZ83" i="5"/>
  <c r="BZ79" i="5"/>
  <c r="CV77" i="3"/>
  <c r="CU76" i="3"/>
  <c r="DZ316" i="3"/>
  <c r="EB317" i="3"/>
  <c r="CY77" i="2"/>
  <c r="CY119" i="2"/>
  <c r="CY76" i="2"/>
  <c r="FL88" i="3"/>
  <c r="BY84" i="5"/>
  <c r="BY85" i="5"/>
  <c r="BY88" i="5"/>
  <c r="EE303" i="3"/>
  <c r="FL84" i="3"/>
  <c r="FM81" i="3"/>
  <c r="CW157" i="2"/>
  <c r="CW159" i="2"/>
  <c r="CW158" i="2"/>
  <c r="DZ312" i="3"/>
  <c r="EB313" i="3"/>
  <c r="FL96" i="3"/>
  <c r="ER131" i="2"/>
  <c r="ER130" i="2"/>
  <c r="CX129" i="2"/>
  <c r="CX131" i="2"/>
  <c r="CX130" i="2"/>
  <c r="CX156" i="2"/>
  <c r="CB80" i="5"/>
  <c r="CA82" i="5"/>
  <c r="EC315" i="3"/>
  <c r="EB314" i="3"/>
  <c r="BX89" i="5"/>
  <c r="BX90" i="5"/>
  <c r="DM305" i="3"/>
  <c r="DK308" i="3"/>
  <c r="DZ318" i="3" l="1"/>
  <c r="CY78" i="2"/>
  <c r="CY129" i="2"/>
  <c r="CY131" i="2"/>
  <c r="CY130" i="2"/>
  <c r="CY156" i="2"/>
  <c r="CX157" i="2"/>
  <c r="CX159" i="2"/>
  <c r="CX158" i="2"/>
  <c r="EC313" i="3"/>
  <c r="EB312" i="3"/>
  <c r="BY90" i="5"/>
  <c r="BY89" i="5"/>
  <c r="DJ88" i="5"/>
  <c r="CZ119" i="2"/>
  <c r="CZ78" i="2" s="1"/>
  <c r="CZ77" i="2"/>
  <c r="CZ76" i="2"/>
  <c r="EB316" i="3"/>
  <c r="EC317" i="3"/>
  <c r="CB77" i="5"/>
  <c r="CA79" i="5"/>
  <c r="CA83" i="5"/>
  <c r="DN305" i="3"/>
  <c r="DM308" i="3"/>
  <c r="CC80" i="5"/>
  <c r="CB82" i="5"/>
  <c r="EC314" i="3"/>
  <c r="ED315" i="3"/>
  <c r="BZ85" i="5"/>
  <c r="BZ88" i="5"/>
  <c r="BZ84" i="5"/>
  <c r="FM84" i="3"/>
  <c r="FN81" i="3"/>
  <c r="FM96" i="3"/>
  <c r="EG303" i="3"/>
  <c r="FM88" i="3"/>
  <c r="CY123" i="2"/>
  <c r="CY122" i="2"/>
  <c r="CY120" i="2"/>
  <c r="CY5" i="2"/>
  <c r="CY121" i="2"/>
  <c r="CY114" i="2"/>
  <c r="CY94" i="2"/>
  <c r="CY82" i="2"/>
  <c r="CY102" i="2"/>
  <c r="CY90" i="2"/>
  <c r="CY86" i="2"/>
  <c r="CY110" i="2"/>
  <c r="CY106" i="2"/>
  <c r="CY98" i="2"/>
  <c r="CX77" i="3"/>
  <c r="CV76" i="3"/>
  <c r="CW76" i="3" s="1"/>
  <c r="CW77" i="3"/>
  <c r="EB318" i="3" l="1"/>
  <c r="ER7" i="3"/>
  <c r="CY7" i="2"/>
  <c r="CY6" i="2"/>
  <c r="CY38" i="2"/>
  <c r="CY14" i="2"/>
  <c r="CY33" i="2"/>
  <c r="CY24" i="2"/>
  <c r="CY28" i="2"/>
  <c r="CZ122" i="2"/>
  <c r="CZ120" i="2"/>
  <c r="CZ121" i="2"/>
  <c r="CZ5" i="2"/>
  <c r="CZ123" i="2"/>
  <c r="CZ94" i="2"/>
  <c r="CZ114" i="2"/>
  <c r="CZ82" i="2"/>
  <c r="CZ102" i="2"/>
  <c r="CZ90" i="2"/>
  <c r="CZ86" i="2"/>
  <c r="CZ110" i="2"/>
  <c r="CZ106" i="2"/>
  <c r="CZ98" i="2"/>
  <c r="CY157" i="2"/>
  <c r="CY159" i="2"/>
  <c r="CY158" i="2"/>
  <c r="CY15" i="2"/>
  <c r="EE315" i="3"/>
  <c r="ED314" i="3"/>
  <c r="DO305" i="3"/>
  <c r="DN308" i="3"/>
  <c r="DJ90" i="5"/>
  <c r="EC312" i="3"/>
  <c r="ED313" i="3"/>
  <c r="EC316" i="3"/>
  <c r="ED317" i="3"/>
  <c r="DA119" i="2"/>
  <c r="DA76" i="2"/>
  <c r="DA77" i="2"/>
  <c r="ES75" i="2"/>
  <c r="FN96" i="3"/>
  <c r="CB83" i="5"/>
  <c r="CC77" i="5"/>
  <c r="DK77" i="5" s="1"/>
  <c r="DK79" i="5" s="1"/>
  <c r="CB79" i="5"/>
  <c r="EH303" i="3"/>
  <c r="CD80" i="5"/>
  <c r="CC82" i="5"/>
  <c r="CX76" i="3"/>
  <c r="CY77" i="3"/>
  <c r="CY124" i="2"/>
  <c r="CY126" i="2"/>
  <c r="BZ90" i="5"/>
  <c r="BZ89" i="5"/>
  <c r="CZ131" i="2"/>
  <c r="CZ130" i="2"/>
  <c r="CZ129" i="2"/>
  <c r="CZ156" i="2"/>
  <c r="CA85" i="5"/>
  <c r="CA88" i="5"/>
  <c r="CA84" i="5"/>
  <c r="FN88" i="3"/>
  <c r="FO81" i="3"/>
  <c r="FN84" i="3"/>
  <c r="CY8" i="2" l="1"/>
  <c r="CY9" i="2" s="1"/>
  <c r="CA90" i="5"/>
  <c r="CA89" i="5"/>
  <c r="DA121" i="2"/>
  <c r="DA123" i="2"/>
  <c r="DA120" i="2"/>
  <c r="DA5" i="2"/>
  <c r="ES5" i="2" s="1"/>
  <c r="DA122" i="2"/>
  <c r="DA114" i="2"/>
  <c r="DA94" i="2"/>
  <c r="DA82" i="2"/>
  <c r="DA102" i="2"/>
  <c r="DA90" i="2"/>
  <c r="DA86" i="2"/>
  <c r="DA110" i="2"/>
  <c r="DA106" i="2"/>
  <c r="DA98" i="2"/>
  <c r="ES7" i="3"/>
  <c r="CZ7" i="2"/>
  <c r="CZ6" i="2"/>
  <c r="CZ14" i="2"/>
  <c r="CZ38" i="2"/>
  <c r="CZ33" i="2"/>
  <c r="CZ24" i="2"/>
  <c r="CZ28" i="2"/>
  <c r="CZ159" i="2"/>
  <c r="CZ158" i="2"/>
  <c r="CZ157" i="2"/>
  <c r="CZ15" i="2"/>
  <c r="CZ8" i="2" s="1"/>
  <c r="EI303" i="3"/>
  <c r="EE313" i="3"/>
  <c r="ED312" i="3"/>
  <c r="CB85" i="5"/>
  <c r="CB88" i="5"/>
  <c r="CB84" i="5"/>
  <c r="EC318" i="3"/>
  <c r="FO84" i="3"/>
  <c r="CD82" i="5"/>
  <c r="CE80" i="5"/>
  <c r="ES119" i="2"/>
  <c r="ES77" i="2"/>
  <c r="DP305" i="3"/>
  <c r="DO308" i="3"/>
  <c r="DB119" i="2"/>
  <c r="DB76" i="2"/>
  <c r="DB77" i="2"/>
  <c r="DA78" i="2"/>
  <c r="EG315" i="3"/>
  <c r="EE314" i="3"/>
  <c r="FO88" i="3"/>
  <c r="CY76" i="3"/>
  <c r="CZ77" i="3"/>
  <c r="CC83" i="5"/>
  <c r="CC79" i="5"/>
  <c r="CD77" i="5"/>
  <c r="EE317" i="3"/>
  <c r="ED316" i="3"/>
  <c r="FO96" i="3"/>
  <c r="ER13" i="3"/>
  <c r="ER10" i="3" s="1"/>
  <c r="CY17" i="2"/>
  <c r="CY16" i="2"/>
  <c r="CY18" i="2"/>
  <c r="CY40" i="2"/>
  <c r="CY19" i="2"/>
  <c r="CZ126" i="2"/>
  <c r="CZ124" i="2"/>
  <c r="DA131" i="2"/>
  <c r="DA130" i="2"/>
  <c r="DA129" i="2"/>
  <c r="DA156" i="2"/>
  <c r="ES156" i="2" s="1"/>
  <c r="ES128" i="2"/>
  <c r="ER65" i="3"/>
  <c r="ER8" i="3"/>
  <c r="ER9" i="3"/>
  <c r="ER20" i="3"/>
  <c r="ER18" i="3"/>
  <c r="CY10" i="2" l="1"/>
  <c r="ES78" i="2"/>
  <c r="EE316" i="3"/>
  <c r="EG317" i="3"/>
  <c r="CY42" i="2"/>
  <c r="CY41" i="2"/>
  <c r="CY44" i="2"/>
  <c r="CY43" i="2"/>
  <c r="ES159" i="2"/>
  <c r="ES158" i="2"/>
  <c r="DR305" i="3"/>
  <c r="DP308" i="3"/>
  <c r="CC85" i="5"/>
  <c r="CC88" i="5"/>
  <c r="CC84" i="5"/>
  <c r="EH315" i="3"/>
  <c r="EG314" i="3"/>
  <c r="ED318" i="3"/>
  <c r="DA126" i="2"/>
  <c r="DA124" i="2"/>
  <c r="ES123" i="2"/>
  <c r="CD83" i="5"/>
  <c r="CD79" i="5"/>
  <c r="CE77" i="5"/>
  <c r="CB89" i="5"/>
  <c r="CB90" i="5"/>
  <c r="CZ10" i="2"/>
  <c r="CZ9" i="2"/>
  <c r="ET7" i="3"/>
  <c r="DA7" i="2"/>
  <c r="DA6" i="2"/>
  <c r="DA14" i="2"/>
  <c r="DA33" i="2"/>
  <c r="DA38" i="2"/>
  <c r="DA24" i="2"/>
  <c r="DA28" i="2"/>
  <c r="DB121" i="2"/>
  <c r="DB114" i="2"/>
  <c r="DB122" i="2"/>
  <c r="DB123" i="2"/>
  <c r="DB120" i="2"/>
  <c r="DB5" i="2"/>
  <c r="DB94" i="2"/>
  <c r="DB82" i="2"/>
  <c r="DB102" i="2"/>
  <c r="DB90" i="2"/>
  <c r="DB86" i="2"/>
  <c r="DB110" i="2"/>
  <c r="DB106" i="2"/>
  <c r="DB98" i="2"/>
  <c r="ES13" i="3"/>
  <c r="ES10" i="3" s="1"/>
  <c r="ES67" i="3" s="1"/>
  <c r="CZ19" i="2"/>
  <c r="CZ17" i="2"/>
  <c r="CZ16" i="2"/>
  <c r="CZ18" i="2"/>
  <c r="CZ40" i="2"/>
  <c r="ES131" i="2"/>
  <c r="ES130" i="2"/>
  <c r="DA77" i="3"/>
  <c r="CZ76" i="3"/>
  <c r="DB78" i="2"/>
  <c r="ES121" i="2"/>
  <c r="ES94" i="2"/>
  <c r="ES82" i="2"/>
  <c r="ES114" i="2"/>
  <c r="ES102" i="2"/>
  <c r="ES90" i="2"/>
  <c r="ES86" i="2"/>
  <c r="ES110" i="2"/>
  <c r="ES106" i="2"/>
  <c r="ES98" i="2"/>
  <c r="DK83" i="5"/>
  <c r="EE312" i="3"/>
  <c r="EG313" i="3"/>
  <c r="ES65" i="3"/>
  <c r="ES121" i="3" s="1"/>
  <c r="ES8" i="3"/>
  <c r="ES9" i="3"/>
  <c r="ES20" i="3"/>
  <c r="ES18" i="3"/>
  <c r="ES7" i="2"/>
  <c r="ES14" i="2"/>
  <c r="ES38" i="2"/>
  <c r="ES33" i="2"/>
  <c r="ES24" i="2"/>
  <c r="ES28" i="2"/>
  <c r="ER121" i="3"/>
  <c r="ER67" i="3"/>
  <c r="ER89" i="3"/>
  <c r="DA159" i="2"/>
  <c r="DA158" i="2"/>
  <c r="DA15" i="2"/>
  <c r="DA8" i="2" s="1"/>
  <c r="DA157" i="2"/>
  <c r="ER14" i="3"/>
  <c r="ER15" i="3"/>
  <c r="ER22" i="3"/>
  <c r="DC119" i="2"/>
  <c r="DC76" i="2"/>
  <c r="DC77" i="2"/>
  <c r="DB129" i="2"/>
  <c r="DB130" i="2"/>
  <c r="DB131" i="2"/>
  <c r="DB156" i="2"/>
  <c r="CE82" i="5"/>
  <c r="CF80" i="5"/>
  <c r="EJ303" i="3"/>
  <c r="EE318" i="3" l="1"/>
  <c r="DA9" i="2"/>
  <c r="DA10" i="2"/>
  <c r="ES8" i="2"/>
  <c r="ES10" i="2" s="1"/>
  <c r="ET65" i="3"/>
  <c r="ET121" i="3" s="1"/>
  <c r="EU121" i="3" s="1"/>
  <c r="ET8" i="3"/>
  <c r="ET9" i="3"/>
  <c r="ET20" i="3"/>
  <c r="ET18" i="3"/>
  <c r="EU7" i="3"/>
  <c r="DS305" i="3"/>
  <c r="DR308" i="3"/>
  <c r="CY45" i="2"/>
  <c r="CY47" i="2"/>
  <c r="CY46" i="2"/>
  <c r="DD77" i="2"/>
  <c r="DD76" i="2"/>
  <c r="DD119" i="2"/>
  <c r="CG80" i="5"/>
  <c r="CF82" i="5"/>
  <c r="ES15" i="2"/>
  <c r="CE79" i="5"/>
  <c r="CE83" i="5"/>
  <c r="CF77" i="5"/>
  <c r="DC123" i="2"/>
  <c r="DC122" i="2"/>
  <c r="DC121" i="2"/>
  <c r="DC120" i="2"/>
  <c r="DC5" i="2"/>
  <c r="DC114" i="2"/>
  <c r="DC94" i="2"/>
  <c r="DC82" i="2"/>
  <c r="DC102" i="2"/>
  <c r="DC90" i="2"/>
  <c r="DC86" i="2"/>
  <c r="DC110" i="2"/>
  <c r="DC106" i="2"/>
  <c r="DC98" i="2"/>
  <c r="DB7" i="2"/>
  <c r="DB6" i="2"/>
  <c r="EV7" i="3"/>
  <c r="DB14" i="2"/>
  <c r="DB38" i="2"/>
  <c r="DB33" i="2"/>
  <c r="DB24" i="2"/>
  <c r="DB28" i="2"/>
  <c r="DC78" i="2"/>
  <c r="EG312" i="3"/>
  <c r="EH313" i="3"/>
  <c r="DB77" i="3"/>
  <c r="DC77" i="3"/>
  <c r="DA76" i="3"/>
  <c r="DB76" i="3" s="1"/>
  <c r="CZ44" i="2"/>
  <c r="CZ43" i="2"/>
  <c r="CZ41" i="2"/>
  <c r="CZ42" i="2"/>
  <c r="EH314" i="3"/>
  <c r="EI315" i="3"/>
  <c r="CC89" i="5"/>
  <c r="CC90" i="5"/>
  <c r="DK88" i="5"/>
  <c r="EH317" i="3"/>
  <c r="EG316" i="3"/>
  <c r="ER125" i="3"/>
  <c r="ES89" i="3"/>
  <c r="ER93" i="3"/>
  <c r="ER100" i="3" s="1"/>
  <c r="ES15" i="3"/>
  <c r="ES22" i="3"/>
  <c r="ES14" i="3"/>
  <c r="ET13" i="3"/>
  <c r="ET10" i="3" s="1"/>
  <c r="DA17" i="2"/>
  <c r="DA16" i="2"/>
  <c r="DA40" i="2"/>
  <c r="ES40" i="2" s="1"/>
  <c r="DA19" i="2"/>
  <c r="DA18" i="2"/>
  <c r="EL303" i="3"/>
  <c r="DB159" i="2"/>
  <c r="DB158" i="2"/>
  <c r="DB157" i="2"/>
  <c r="DB15" i="2"/>
  <c r="DB8" i="2" s="1"/>
  <c r="ER56" i="3"/>
  <c r="ER107" i="3" s="1"/>
  <c r="ER32" i="3"/>
  <c r="ER23" i="3"/>
  <c r="ER24" i="3"/>
  <c r="ES122" i="3"/>
  <c r="ER122" i="3"/>
  <c r="DK85" i="5"/>
  <c r="DK80" i="5"/>
  <c r="DK82" i="5" s="1"/>
  <c r="DC129" i="2"/>
  <c r="DC131" i="2"/>
  <c r="DC130" i="2"/>
  <c r="DC156" i="2"/>
  <c r="DB126" i="2"/>
  <c r="DB125" i="2"/>
  <c r="DB124" i="2"/>
  <c r="CD88" i="5"/>
  <c r="CD84" i="5"/>
  <c r="CD85" i="5"/>
  <c r="EG318" i="3" l="1"/>
  <c r="DD78" i="2"/>
  <c r="EU13" i="3"/>
  <c r="EU15" i="3" s="1"/>
  <c r="ET67" i="3"/>
  <c r="EU10" i="3"/>
  <c r="DB10" i="2"/>
  <c r="DB9" i="2"/>
  <c r="CD89" i="5"/>
  <c r="CD90" i="5"/>
  <c r="DA41" i="2"/>
  <c r="DA43" i="2"/>
  <c r="DA44" i="2"/>
  <c r="DA42" i="2"/>
  <c r="ES32" i="3"/>
  <c r="ES23" i="3"/>
  <c r="ES24" i="3"/>
  <c r="ES56" i="3"/>
  <c r="ES107" i="3" s="1"/>
  <c r="DC76" i="3"/>
  <c r="DD77" i="3"/>
  <c r="DC158" i="2"/>
  <c r="DC157" i="2"/>
  <c r="DC159" i="2"/>
  <c r="DC15" i="2"/>
  <c r="ES19" i="2"/>
  <c r="ES18" i="2"/>
  <c r="ES17" i="2"/>
  <c r="CE88" i="5"/>
  <c r="CE85" i="5"/>
  <c r="CE84" i="5"/>
  <c r="DD123" i="2"/>
  <c r="DD122" i="2"/>
  <c r="DD120" i="2"/>
  <c r="DD121" i="2"/>
  <c r="DD5" i="2"/>
  <c r="DD114" i="2"/>
  <c r="DD94" i="2"/>
  <c r="DD82" i="2"/>
  <c r="DD102" i="2"/>
  <c r="DD90" i="2"/>
  <c r="DD86" i="2"/>
  <c r="DD110" i="2"/>
  <c r="DD106" i="2"/>
  <c r="DD98" i="2"/>
  <c r="EV13" i="3"/>
  <c r="EV10" i="3" s="1"/>
  <c r="DB17" i="2"/>
  <c r="DB16" i="2"/>
  <c r="DB19" i="2"/>
  <c r="DB18" i="2"/>
  <c r="DB40" i="2"/>
  <c r="EM303" i="3"/>
  <c r="EH316" i="3"/>
  <c r="EI317" i="3"/>
  <c r="EJ315" i="3"/>
  <c r="EI314" i="3"/>
  <c r="DC124" i="2"/>
  <c r="DC125" i="2"/>
  <c r="DC126" i="2"/>
  <c r="DT305" i="3"/>
  <c r="DS308" i="3"/>
  <c r="DD129" i="2"/>
  <c r="DD131" i="2"/>
  <c r="DD130" i="2"/>
  <c r="DD156" i="2"/>
  <c r="CZ46" i="2"/>
  <c r="CZ47" i="2"/>
  <c r="CZ45" i="2"/>
  <c r="EV8" i="3"/>
  <c r="EV9" i="3"/>
  <c r="EV65" i="3"/>
  <c r="EV121" i="3" s="1"/>
  <c r="EV18" i="3"/>
  <c r="EV20" i="3"/>
  <c r="ER34" i="3"/>
  <c r="ES44" i="2"/>
  <c r="ES42" i="2"/>
  <c r="ES43" i="2"/>
  <c r="ET15" i="3"/>
  <c r="ET22" i="3"/>
  <c r="ET14" i="3"/>
  <c r="ES125" i="3"/>
  <c r="ET89" i="3"/>
  <c r="ES93" i="3"/>
  <c r="ES100" i="3" s="1"/>
  <c r="DK90" i="5"/>
  <c r="EH312" i="3"/>
  <c r="EI313" i="3"/>
  <c r="EW7" i="3"/>
  <c r="DC7" i="2"/>
  <c r="DC6" i="2"/>
  <c r="DC14" i="2"/>
  <c r="DC33" i="2"/>
  <c r="DC38" i="2"/>
  <c r="DC24" i="2"/>
  <c r="DC28" i="2"/>
  <c r="DE77" i="2"/>
  <c r="DE76" i="2"/>
  <c r="DE119" i="2"/>
  <c r="ET75" i="2"/>
  <c r="CF83" i="5"/>
  <c r="CG77" i="5"/>
  <c r="DL77" i="5" s="1"/>
  <c r="DL79" i="5" s="1"/>
  <c r="CF79" i="5"/>
  <c r="CG82" i="5"/>
  <c r="CH80" i="5"/>
  <c r="EU9" i="3"/>
  <c r="EU20" i="3"/>
  <c r="EU18" i="3"/>
  <c r="EU65" i="3"/>
  <c r="EU14" i="3" l="1"/>
  <c r="ET119" i="2"/>
  <c r="ET102" i="2" s="1"/>
  <c r="EV67" i="3"/>
  <c r="EV122" i="3" s="1"/>
  <c r="ES46" i="2"/>
  <c r="ES47" i="2"/>
  <c r="DD124" i="2"/>
  <c r="DD126" i="2"/>
  <c r="DD125" i="2"/>
  <c r="DE123" i="2"/>
  <c r="DE122" i="2"/>
  <c r="DE120" i="2"/>
  <c r="DE121" i="2"/>
  <c r="DE5" i="2"/>
  <c r="ET5" i="2" s="1"/>
  <c r="DE114" i="2"/>
  <c r="DE94" i="2"/>
  <c r="DE82" i="2"/>
  <c r="DE102" i="2"/>
  <c r="DE90" i="2"/>
  <c r="DE86" i="2"/>
  <c r="DE110" i="2"/>
  <c r="DE106" i="2"/>
  <c r="DE98" i="2"/>
  <c r="ET24" i="3"/>
  <c r="ET56" i="3"/>
  <c r="ET107" i="3" s="1"/>
  <c r="ET23" i="3"/>
  <c r="ET32" i="3"/>
  <c r="DB42" i="2"/>
  <c r="DB41" i="2"/>
  <c r="DB43" i="2"/>
  <c r="DB44" i="2"/>
  <c r="EX7" i="3"/>
  <c r="DD7" i="2"/>
  <c r="DD6" i="2"/>
  <c r="DD14" i="2"/>
  <c r="DD38" i="2"/>
  <c r="DD33" i="2"/>
  <c r="DD24" i="2"/>
  <c r="DD28" i="2"/>
  <c r="DE129" i="2"/>
  <c r="DE131" i="2"/>
  <c r="DE130" i="2"/>
  <c r="DE156" i="2"/>
  <c r="DE78" i="2"/>
  <c r="DC8" i="2"/>
  <c r="CE90" i="5"/>
  <c r="CE89" i="5"/>
  <c r="EN303" i="3"/>
  <c r="ES34" i="3"/>
  <c r="ES37" i="3" s="1"/>
  <c r="CG83" i="5"/>
  <c r="CH77" i="5"/>
  <c r="CG79" i="5"/>
  <c r="EH318" i="3"/>
  <c r="ER37" i="3"/>
  <c r="EJ314" i="3"/>
  <c r="EL315" i="3"/>
  <c r="EU22" i="3"/>
  <c r="DD76" i="3"/>
  <c r="DE77" i="3"/>
  <c r="DD157" i="2"/>
  <c r="DD158" i="2"/>
  <c r="DD15" i="2"/>
  <c r="DD8" i="2" s="1"/>
  <c r="DD159" i="2"/>
  <c r="EV22" i="3"/>
  <c r="EV15" i="3"/>
  <c r="EV14" i="3"/>
  <c r="ET82" i="2"/>
  <c r="EW9" i="3"/>
  <c r="EW65" i="3"/>
  <c r="EW121" i="3" s="1"/>
  <c r="EW8" i="3"/>
  <c r="EW18" i="3"/>
  <c r="EW20" i="3"/>
  <c r="EW13" i="3"/>
  <c r="DC19" i="2"/>
  <c r="DC18" i="2"/>
  <c r="DC40" i="2"/>
  <c r="DC16" i="2"/>
  <c r="DC17" i="2"/>
  <c r="EJ313" i="3"/>
  <c r="EI312" i="3"/>
  <c r="EU89" i="3"/>
  <c r="ET125" i="3"/>
  <c r="EU125" i="3" s="1"/>
  <c r="EV89" i="3"/>
  <c r="ET93" i="3"/>
  <c r="CF84" i="5"/>
  <c r="CF85" i="5"/>
  <c r="CF88" i="5"/>
  <c r="DL83" i="5"/>
  <c r="CI80" i="5"/>
  <c r="CH82" i="5"/>
  <c r="ET78" i="2"/>
  <c r="ET77" i="2"/>
  <c r="ET128" i="2"/>
  <c r="DU305" i="3"/>
  <c r="DT308" i="3"/>
  <c r="EI316" i="3"/>
  <c r="EJ317" i="3"/>
  <c r="DF119" i="2"/>
  <c r="DF77" i="2"/>
  <c r="DF76" i="2"/>
  <c r="DA47" i="2"/>
  <c r="DA46" i="2"/>
  <c r="DA45" i="2"/>
  <c r="EU67" i="3"/>
  <c r="ET122" i="3"/>
  <c r="EU122" i="3" s="1"/>
  <c r="ET98" i="2" l="1"/>
  <c r="ET90" i="2"/>
  <c r="ET106" i="2"/>
  <c r="ET94" i="2"/>
  <c r="ET110" i="2"/>
  <c r="ET114" i="2"/>
  <c r="ET86" i="2"/>
  <c r="ET121" i="2"/>
  <c r="ES54" i="3"/>
  <c r="ES53" i="3"/>
  <c r="CZ52" i="2" s="1"/>
  <c r="ES44" i="3"/>
  <c r="EJ312" i="3"/>
  <c r="EL313" i="3"/>
  <c r="DD10" i="2"/>
  <c r="DD9" i="2"/>
  <c r="DE124" i="2"/>
  <c r="DE125" i="2"/>
  <c r="DE126" i="2"/>
  <c r="EV125" i="3"/>
  <c r="EV93" i="3"/>
  <c r="EV100" i="3" s="1"/>
  <c r="EX13" i="3"/>
  <c r="EX10" i="3" s="1"/>
  <c r="EX67" i="3" s="1"/>
  <c r="DD40" i="2"/>
  <c r="DD17" i="2"/>
  <c r="DD19" i="2"/>
  <c r="DD16" i="2"/>
  <c r="DD18" i="2"/>
  <c r="EU24" i="3"/>
  <c r="EU23" i="3"/>
  <c r="EU56" i="3"/>
  <c r="EU107" i="3" s="1"/>
  <c r="CH83" i="5"/>
  <c r="CI77" i="5"/>
  <c r="CH79" i="5"/>
  <c r="EO303" i="3"/>
  <c r="DE157" i="2"/>
  <c r="DE158" i="2"/>
  <c r="DE159" i="2"/>
  <c r="DE15" i="2"/>
  <c r="ET156" i="2"/>
  <c r="EU93" i="3"/>
  <c r="ET100" i="3"/>
  <c r="EU100" i="3" s="1"/>
  <c r="DF122" i="2"/>
  <c r="DF120" i="2"/>
  <c r="DF121" i="2"/>
  <c r="DF114" i="2"/>
  <c r="DF5" i="2"/>
  <c r="DF123" i="2"/>
  <c r="DF94" i="2"/>
  <c r="DF82" i="2"/>
  <c r="DF102" i="2"/>
  <c r="DF90" i="2"/>
  <c r="DF86" i="2"/>
  <c r="DF110" i="2"/>
  <c r="DF106" i="2"/>
  <c r="DF98" i="2"/>
  <c r="DL85" i="5"/>
  <c r="DL80" i="5"/>
  <c r="DL82" i="5" s="1"/>
  <c r="EM315" i="3"/>
  <c r="EL314" i="3"/>
  <c r="CG85" i="5"/>
  <c r="CG84" i="5"/>
  <c r="CG88" i="5"/>
  <c r="EX9" i="3"/>
  <c r="EX65" i="3"/>
  <c r="EX8" i="3"/>
  <c r="EX18" i="3"/>
  <c r="EX20" i="3"/>
  <c r="ET34" i="3"/>
  <c r="EU34" i="3" s="1"/>
  <c r="EU32" i="3"/>
  <c r="CJ80" i="5"/>
  <c r="CI82" i="5"/>
  <c r="EW15" i="3"/>
  <c r="EW14" i="3"/>
  <c r="EW22" i="3"/>
  <c r="DC10" i="2"/>
  <c r="DC9" i="2"/>
  <c r="EY7" i="3"/>
  <c r="DE7" i="2"/>
  <c r="DE6" i="2"/>
  <c r="DE14" i="2"/>
  <c r="DE38" i="2"/>
  <c r="DE33" i="2"/>
  <c r="DE24" i="2"/>
  <c r="DE28" i="2"/>
  <c r="DC44" i="2"/>
  <c r="DC43" i="2"/>
  <c r="DC42" i="2"/>
  <c r="DC41" i="2"/>
  <c r="DF131" i="2"/>
  <c r="DF130" i="2"/>
  <c r="DF129" i="2"/>
  <c r="DF156" i="2"/>
  <c r="DB47" i="2"/>
  <c r="DB46" i="2"/>
  <c r="DB45" i="2"/>
  <c r="DW305" i="3"/>
  <c r="DU308" i="3"/>
  <c r="DF77" i="3"/>
  <c r="DE76" i="3"/>
  <c r="ET7" i="2"/>
  <c r="ET14" i="2"/>
  <c r="ET33" i="2"/>
  <c r="ET38" i="2"/>
  <c r="ET24" i="2"/>
  <c r="ET28" i="2"/>
  <c r="DG119" i="2"/>
  <c r="DG76" i="2"/>
  <c r="DG77" i="2"/>
  <c r="ET131" i="2"/>
  <c r="ET130" i="2"/>
  <c r="ET123" i="2"/>
  <c r="ET125" i="2" s="1"/>
  <c r="EJ316" i="3"/>
  <c r="EL317" i="3"/>
  <c r="CF90" i="5"/>
  <c r="CF89" i="5"/>
  <c r="DF78" i="2"/>
  <c r="EI318" i="3"/>
  <c r="EW10" i="3"/>
  <c r="EW89" i="3" s="1"/>
  <c r="EV24" i="3"/>
  <c r="EV23" i="3"/>
  <c r="EV56" i="3"/>
  <c r="EV107" i="3" s="1"/>
  <c r="EV32" i="3"/>
  <c r="ER53" i="3"/>
  <c r="ER44" i="3"/>
  <c r="ER54" i="3"/>
  <c r="EY13" i="3" l="1"/>
  <c r="EZ13" i="3" s="1"/>
  <c r="DE17" i="2"/>
  <c r="DE16" i="2"/>
  <c r="DE40" i="2"/>
  <c r="ET40" i="2" s="1"/>
  <c r="DE19" i="2"/>
  <c r="DE18" i="2"/>
  <c r="DG121" i="2"/>
  <c r="DG122" i="2"/>
  <c r="DG5" i="2"/>
  <c r="DG123" i="2"/>
  <c r="DG120" i="2"/>
  <c r="DG114" i="2"/>
  <c r="DG94" i="2"/>
  <c r="DG82" i="2"/>
  <c r="DG102" i="2"/>
  <c r="DG90" i="2"/>
  <c r="DG86" i="2"/>
  <c r="DG110" i="2"/>
  <c r="DG106" i="2"/>
  <c r="DG98" i="2"/>
  <c r="DE8" i="2"/>
  <c r="EQ303" i="3"/>
  <c r="EW125" i="3"/>
  <c r="EX89" i="3"/>
  <c r="EW93" i="3"/>
  <c r="EW100" i="3" s="1"/>
  <c r="CY52" i="2"/>
  <c r="CZ53" i="2" s="1"/>
  <c r="EW67" i="3"/>
  <c r="EY65" i="3"/>
  <c r="EY10" i="3"/>
  <c r="EY67" i="3" s="1"/>
  <c r="EY9" i="3"/>
  <c r="EY8" i="3"/>
  <c r="EY18" i="3"/>
  <c r="EY20" i="3"/>
  <c r="ET37" i="3"/>
  <c r="EN315" i="3"/>
  <c r="EM314" i="3"/>
  <c r="EM313" i="3"/>
  <c r="EL312" i="3"/>
  <c r="ES113" i="3"/>
  <c r="ES129" i="3" s="1"/>
  <c r="ES58" i="3"/>
  <c r="CZ55" i="2" s="1"/>
  <c r="ES320" i="3"/>
  <c r="ES322" i="3" s="1"/>
  <c r="FA7" i="3"/>
  <c r="DF7" i="2"/>
  <c r="DF6" i="2"/>
  <c r="DF14" i="2"/>
  <c r="DF38" i="2"/>
  <c r="DF33" i="2"/>
  <c r="DF24" i="2"/>
  <c r="DF28" i="2"/>
  <c r="DD42" i="2"/>
  <c r="DD41" i="2"/>
  <c r="DD44" i="2"/>
  <c r="DD43" i="2"/>
  <c r="EJ318" i="3"/>
  <c r="CZ54" i="2"/>
  <c r="ER325" i="3"/>
  <c r="CY49" i="2"/>
  <c r="ER320" i="3"/>
  <c r="ER322" i="3" s="1"/>
  <c r="ER113" i="3"/>
  <c r="ER58" i="3"/>
  <c r="CY55" i="2" s="1"/>
  <c r="DF125" i="2"/>
  <c r="DF126" i="2"/>
  <c r="DF124" i="2"/>
  <c r="EV34" i="3"/>
  <c r="EV37" i="3" s="1"/>
  <c r="EM317" i="3"/>
  <c r="EL316" i="3"/>
  <c r="DG77" i="3"/>
  <c r="DH77" i="3" s="1"/>
  <c r="DF76" i="3"/>
  <c r="DG76" i="3" s="1"/>
  <c r="DF159" i="2"/>
  <c r="DF158" i="2"/>
  <c r="DF157" i="2"/>
  <c r="DF15" i="2"/>
  <c r="DC46" i="2"/>
  <c r="DC45" i="2"/>
  <c r="DC47" i="2"/>
  <c r="CJ82" i="5"/>
  <c r="CK80" i="5"/>
  <c r="CG89" i="5"/>
  <c r="CG90" i="5"/>
  <c r="DL88" i="5"/>
  <c r="CI83" i="5"/>
  <c r="CI79" i="5"/>
  <c r="CJ77" i="5"/>
  <c r="ET15" i="2"/>
  <c r="EX22" i="3"/>
  <c r="EX14" i="3"/>
  <c r="EX15" i="3"/>
  <c r="DG131" i="2"/>
  <c r="DG130" i="2"/>
  <c r="DG129" i="2"/>
  <c r="DG156" i="2"/>
  <c r="ES325" i="3"/>
  <c r="CZ49" i="2"/>
  <c r="DX305" i="3"/>
  <c r="DW308" i="3"/>
  <c r="EW56" i="3"/>
  <c r="EW107" i="3" s="1"/>
  <c r="EW32" i="3"/>
  <c r="EW24" i="3"/>
  <c r="EW23" i="3"/>
  <c r="EU35" i="3"/>
  <c r="EX121" i="3"/>
  <c r="DG78" i="2"/>
  <c r="EZ7" i="3"/>
  <c r="ET159" i="2"/>
  <c r="ET158" i="2"/>
  <c r="CH85" i="5"/>
  <c r="CH88" i="5"/>
  <c r="CH84" i="5"/>
  <c r="DH119" i="2"/>
  <c r="DH77" i="2"/>
  <c r="DH76" i="2"/>
  <c r="EL318" i="3" l="1"/>
  <c r="DH78" i="2"/>
  <c r="EZ14" i="3"/>
  <c r="EZ15" i="3"/>
  <c r="EW34" i="3"/>
  <c r="EW37" i="3" s="1"/>
  <c r="DD45" i="2"/>
  <c r="DD46" i="2"/>
  <c r="DD47" i="2"/>
  <c r="EX56" i="3"/>
  <c r="EX107" i="3" s="1"/>
  <c r="EX32" i="3"/>
  <c r="EX24" i="3"/>
  <c r="EX23" i="3"/>
  <c r="ET44" i="2"/>
  <c r="ET42" i="2"/>
  <c r="ET43" i="2"/>
  <c r="EZ67" i="3"/>
  <c r="DH121" i="2"/>
  <c r="DH123" i="2"/>
  <c r="DH120" i="2"/>
  <c r="DH5" i="2"/>
  <c r="DH122" i="2"/>
  <c r="DH114" i="2"/>
  <c r="DH94" i="2"/>
  <c r="DH82" i="2"/>
  <c r="DH102" i="2"/>
  <c r="DH90" i="2"/>
  <c r="DH86" i="2"/>
  <c r="DH110" i="2"/>
  <c r="DH106" i="2"/>
  <c r="DH98" i="2"/>
  <c r="ET18" i="2"/>
  <c r="ET17" i="2"/>
  <c r="ET19" i="2"/>
  <c r="EX122" i="3"/>
  <c r="EW122" i="3"/>
  <c r="DG125" i="2"/>
  <c r="DG126" i="2"/>
  <c r="DG124" i="2"/>
  <c r="CY57" i="2"/>
  <c r="CY56" i="2"/>
  <c r="EN313" i="3"/>
  <c r="EM312" i="3"/>
  <c r="FB7" i="3"/>
  <c r="DG7" i="2"/>
  <c r="DG6" i="2"/>
  <c r="DG14" i="2"/>
  <c r="DG33" i="2"/>
  <c r="DG38" i="2"/>
  <c r="DG24" i="2"/>
  <c r="DG28" i="2"/>
  <c r="DY305" i="3"/>
  <c r="DX308" i="3"/>
  <c r="DL90" i="5"/>
  <c r="DH76" i="3"/>
  <c r="DI77" i="3"/>
  <c r="ER102" i="3"/>
  <c r="ER129" i="3"/>
  <c r="ER307" i="3"/>
  <c r="ES307" i="3" s="1"/>
  <c r="FA65" i="3"/>
  <c r="FA121" i="3" s="1"/>
  <c r="FA8" i="3"/>
  <c r="FA9" i="3"/>
  <c r="FA18" i="3"/>
  <c r="FA20" i="3"/>
  <c r="CY54" i="2"/>
  <c r="CY53" i="2"/>
  <c r="ER303" i="3"/>
  <c r="DG159" i="2"/>
  <c r="DG158" i="2"/>
  <c r="DG15" i="2"/>
  <c r="DG8" i="2" s="1"/>
  <c r="DG157" i="2"/>
  <c r="ES156" i="3"/>
  <c r="CZ58" i="2" s="1"/>
  <c r="ES150" i="3"/>
  <c r="EX125" i="3"/>
  <c r="EY89" i="3"/>
  <c r="EX93" i="3"/>
  <c r="EX100" i="3" s="1"/>
  <c r="CI85" i="5"/>
  <c r="CI88" i="5"/>
  <c r="CI84" i="5"/>
  <c r="CY51" i="2"/>
  <c r="CY50" i="2"/>
  <c r="ET54" i="3"/>
  <c r="ET44" i="3"/>
  <c r="ET53" i="3"/>
  <c r="EU37" i="3"/>
  <c r="CK82" i="5"/>
  <c r="CL80" i="5"/>
  <c r="CZ50" i="2"/>
  <c r="CZ51" i="2"/>
  <c r="DE10" i="2"/>
  <c r="DE9" i="2"/>
  <c r="ET8" i="2"/>
  <c r="ET10" i="2" s="1"/>
  <c r="DE42" i="2"/>
  <c r="DE41" i="2"/>
  <c r="DE44" i="2"/>
  <c r="DE43" i="2"/>
  <c r="CH89" i="5"/>
  <c r="CH90" i="5"/>
  <c r="EY122" i="3"/>
  <c r="EZ10" i="3"/>
  <c r="DI119" i="2"/>
  <c r="DI76" i="2"/>
  <c r="DI77" i="2"/>
  <c r="EU75" i="2"/>
  <c r="EV54" i="3"/>
  <c r="EV53" i="3"/>
  <c r="EV44" i="3"/>
  <c r="EZ65" i="3"/>
  <c r="EY22" i="3"/>
  <c r="EZ22" i="3" s="1"/>
  <c r="EY14" i="3"/>
  <c r="EY15" i="3"/>
  <c r="DH129" i="2"/>
  <c r="DH131" i="2"/>
  <c r="DH130" i="2"/>
  <c r="DH156" i="2"/>
  <c r="FA13" i="3"/>
  <c r="DF19" i="2"/>
  <c r="DF18" i="2"/>
  <c r="DF17" i="2"/>
  <c r="DF16" i="2"/>
  <c r="DF40" i="2"/>
  <c r="EZ9" i="3"/>
  <c r="EZ20" i="3"/>
  <c r="EZ18" i="3"/>
  <c r="CJ83" i="5"/>
  <c r="CJ79" i="5"/>
  <c r="CK77" i="5"/>
  <c r="DM77" i="5" s="1"/>
  <c r="DM79" i="5" s="1"/>
  <c r="EN317" i="3"/>
  <c r="EM316" i="3"/>
  <c r="EY121" i="3"/>
  <c r="EZ121" i="3" s="1"/>
  <c r="DF8" i="2"/>
  <c r="CZ56" i="2"/>
  <c r="CZ57" i="2"/>
  <c r="EN314" i="3"/>
  <c r="EO315" i="3"/>
  <c r="EM318" i="3" l="1"/>
  <c r="DI78" i="2"/>
  <c r="DG10" i="2"/>
  <c r="DG9" i="2"/>
  <c r="DE45" i="2"/>
  <c r="DE47" i="2"/>
  <c r="DE46" i="2"/>
  <c r="ES303" i="3"/>
  <c r="DZ305" i="3"/>
  <c r="DY308" i="3"/>
  <c r="EO313" i="3"/>
  <c r="EN312" i="3"/>
  <c r="EZ56" i="3"/>
  <c r="EZ107" i="3" s="1"/>
  <c r="EZ23" i="3"/>
  <c r="EZ24" i="3"/>
  <c r="DF10" i="2"/>
  <c r="DF9" i="2"/>
  <c r="CK79" i="5"/>
  <c r="CK83" i="5"/>
  <c r="DM83" i="5" s="1"/>
  <c r="CL77" i="5"/>
  <c r="FA22" i="3"/>
  <c r="FA15" i="3"/>
  <c r="FA14" i="3"/>
  <c r="EY56" i="3"/>
  <c r="EY107" i="3" s="1"/>
  <c r="EY32" i="3"/>
  <c r="EY23" i="3"/>
  <c r="EY24" i="3"/>
  <c r="EV325" i="3"/>
  <c r="DB49" i="2"/>
  <c r="ET113" i="3"/>
  <c r="ET307" i="3" s="1"/>
  <c r="ET58" i="3"/>
  <c r="DA55" i="2" s="1"/>
  <c r="ET320" i="3"/>
  <c r="ET322" i="3" s="1"/>
  <c r="EU44" i="3"/>
  <c r="CI89" i="5"/>
  <c r="CI90" i="5"/>
  <c r="DJ119" i="2"/>
  <c r="DJ78" i="2" s="1"/>
  <c r="DJ76" i="2"/>
  <c r="DJ77" i="2"/>
  <c r="EO317" i="3"/>
  <c r="EN316" i="3"/>
  <c r="DI123" i="2"/>
  <c r="DI121" i="2"/>
  <c r="DI120" i="2"/>
  <c r="DI5" i="2"/>
  <c r="EU5" i="2" s="1"/>
  <c r="DI122" i="2"/>
  <c r="DI114" i="2"/>
  <c r="DI94" i="2"/>
  <c r="DI82" i="2"/>
  <c r="DI102" i="2"/>
  <c r="DI90" i="2"/>
  <c r="DI86" i="2"/>
  <c r="DI110" i="2"/>
  <c r="DI106" i="2"/>
  <c r="DI98" i="2"/>
  <c r="DI129" i="2"/>
  <c r="DI131" i="2"/>
  <c r="DI130" i="2"/>
  <c r="DI156" i="2"/>
  <c r="EU156" i="2" s="1"/>
  <c r="DA52" i="2"/>
  <c r="EU53" i="3"/>
  <c r="ES52" i="2" s="1"/>
  <c r="ES54" i="2" s="1"/>
  <c r="FB13" i="3"/>
  <c r="FB10" i="3" s="1"/>
  <c r="FB67" i="3" s="1"/>
  <c r="DG16" i="2"/>
  <c r="DG17" i="2"/>
  <c r="DG19" i="2"/>
  <c r="DG18" i="2"/>
  <c r="DG40" i="2"/>
  <c r="EU119" i="2"/>
  <c r="DI76" i="3"/>
  <c r="DJ77" i="3"/>
  <c r="DF44" i="2"/>
  <c r="DF43" i="2"/>
  <c r="DF41" i="2"/>
  <c r="DF42" i="2"/>
  <c r="EU128" i="2"/>
  <c r="EU77" i="2"/>
  <c r="ET325" i="3"/>
  <c r="DA49" i="2"/>
  <c r="EU54" i="3"/>
  <c r="ES49" i="2" s="1"/>
  <c r="ES51" i="2" s="1"/>
  <c r="EZ122" i="3"/>
  <c r="FC7" i="3"/>
  <c r="DH7" i="2"/>
  <c r="DH6" i="2"/>
  <c r="DH14" i="2"/>
  <c r="DH38" i="2"/>
  <c r="DH33" i="2"/>
  <c r="DH24" i="2"/>
  <c r="DH28" i="2"/>
  <c r="EX34" i="3"/>
  <c r="EX37" i="3" s="1"/>
  <c r="EW53" i="3"/>
  <c r="DC52" i="2" s="1"/>
  <c r="EW44" i="3"/>
  <c r="EW54" i="3"/>
  <c r="EO314" i="3"/>
  <c r="EQ315" i="3"/>
  <c r="DH159" i="2"/>
  <c r="DH158" i="2"/>
  <c r="DH157" i="2"/>
  <c r="DH15" i="2"/>
  <c r="CZ61" i="2"/>
  <c r="CZ60" i="2"/>
  <c r="EV113" i="3"/>
  <c r="EV320" i="3"/>
  <c r="EV322" i="3" s="1"/>
  <c r="EV58" i="3"/>
  <c r="DB55" i="2" s="1"/>
  <c r="ER309" i="3"/>
  <c r="ES102" i="3"/>
  <c r="ER104" i="3"/>
  <c r="ET46" i="2"/>
  <c r="ET47" i="2"/>
  <c r="DB52" i="2"/>
  <c r="EY125" i="3"/>
  <c r="EZ125" i="3" s="1"/>
  <c r="EZ89" i="3"/>
  <c r="EY93" i="3"/>
  <c r="CJ88" i="5"/>
  <c r="CJ84" i="5"/>
  <c r="CJ85" i="5"/>
  <c r="CL82" i="5"/>
  <c r="CM80" i="5"/>
  <c r="FA10" i="3"/>
  <c r="ER156" i="3"/>
  <c r="ER150" i="3"/>
  <c r="FB65" i="3"/>
  <c r="FB9" i="3"/>
  <c r="FB8" i="3"/>
  <c r="FB18" i="3"/>
  <c r="FB20" i="3"/>
  <c r="DH126" i="2"/>
  <c r="DH125" i="2"/>
  <c r="DH124" i="2"/>
  <c r="EV307" i="3" l="1"/>
  <c r="EU48" i="3"/>
  <c r="EU49" i="3" s="1"/>
  <c r="DH8" i="2"/>
  <c r="DH10" i="2" s="1"/>
  <c r="DM85" i="5"/>
  <c r="DM80" i="5"/>
  <c r="DM82" i="5" s="1"/>
  <c r="CJ89" i="5"/>
  <c r="CJ90" i="5"/>
  <c r="DF47" i="2"/>
  <c r="DF46" i="2"/>
  <c r="DF45" i="2"/>
  <c r="FD7" i="3"/>
  <c r="FE7" i="3" s="1"/>
  <c r="DI7" i="2"/>
  <c r="DI6" i="2"/>
  <c r="DI14" i="2"/>
  <c r="DI33" i="2"/>
  <c r="DI38" i="2"/>
  <c r="DI24" i="2"/>
  <c r="DI28" i="2"/>
  <c r="EY100" i="3"/>
  <c r="EZ100" i="3" s="1"/>
  <c r="EZ93" i="3"/>
  <c r="EW320" i="3"/>
  <c r="EW322" i="3" s="1"/>
  <c r="EW58" i="3"/>
  <c r="DC55" i="2" s="1"/>
  <c r="EW113" i="3"/>
  <c r="EW129" i="3" s="1"/>
  <c r="EU130" i="2"/>
  <c r="EU131" i="2"/>
  <c r="DJ76" i="3"/>
  <c r="DK77" i="3"/>
  <c r="FB121" i="3"/>
  <c r="CL79" i="5"/>
  <c r="CM77" i="5"/>
  <c r="CL83" i="5"/>
  <c r="EB305" i="3"/>
  <c r="DZ308" i="3"/>
  <c r="CN80" i="5"/>
  <c r="CM82" i="5"/>
  <c r="DB54" i="2"/>
  <c r="DB53" i="2"/>
  <c r="EU158" i="2"/>
  <c r="EU159" i="2"/>
  <c r="EU7" i="2"/>
  <c r="EU14" i="2"/>
  <c r="EU33" i="2"/>
  <c r="EU38" i="2"/>
  <c r="EU28" i="2"/>
  <c r="EU24" i="2"/>
  <c r="DJ129" i="2"/>
  <c r="DJ131" i="2"/>
  <c r="DJ130" i="2"/>
  <c r="DJ156" i="2"/>
  <c r="ER62" i="3"/>
  <c r="DC54" i="2"/>
  <c r="DC53" i="2"/>
  <c r="DA57" i="2"/>
  <c r="DA56" i="2"/>
  <c r="ES55" i="2"/>
  <c r="ES57" i="2" s="1"/>
  <c r="CK84" i="5"/>
  <c r="CK85" i="5"/>
  <c r="CK88" i="5"/>
  <c r="ET303" i="3"/>
  <c r="EW325" i="3"/>
  <c r="DC49" i="2"/>
  <c r="DB57" i="2"/>
  <c r="DB56" i="2"/>
  <c r="FC9" i="3"/>
  <c r="FC8" i="3"/>
  <c r="FC65" i="3"/>
  <c r="FC20" i="3"/>
  <c r="FC18" i="3"/>
  <c r="DA50" i="2"/>
  <c r="DA51" i="2"/>
  <c r="EU121" i="2"/>
  <c r="EU114" i="2"/>
  <c r="EU94" i="2"/>
  <c r="EU82" i="2"/>
  <c r="EU102" i="2"/>
  <c r="EU110" i="2"/>
  <c r="EU90" i="2"/>
  <c r="EU86" i="2"/>
  <c r="EU106" i="2"/>
  <c r="EU98" i="2"/>
  <c r="FB22" i="3"/>
  <c r="FB15" i="3"/>
  <c r="FB14" i="3"/>
  <c r="DI124" i="2"/>
  <c r="DI125" i="2"/>
  <c r="DI126" i="2"/>
  <c r="EU123" i="2"/>
  <c r="EU125" i="2" s="1"/>
  <c r="DJ123" i="2"/>
  <c r="DJ122" i="2"/>
  <c r="DJ120" i="2"/>
  <c r="DJ114" i="2"/>
  <c r="DJ121" i="2"/>
  <c r="DJ5" i="2"/>
  <c r="DJ94" i="2"/>
  <c r="DJ82" i="2"/>
  <c r="DJ102" i="2"/>
  <c r="DJ90" i="2"/>
  <c r="DJ86" i="2"/>
  <c r="DJ110" i="2"/>
  <c r="DJ106" i="2"/>
  <c r="DJ98" i="2"/>
  <c r="ET129" i="3"/>
  <c r="EU113" i="3"/>
  <c r="EY34" i="3"/>
  <c r="EZ34" i="3" s="1"/>
  <c r="EZ32" i="3"/>
  <c r="CY58" i="2"/>
  <c r="FA67" i="3"/>
  <c r="FA89" i="3"/>
  <c r="FC13" i="3"/>
  <c r="FC10" i="3" s="1"/>
  <c r="DH17" i="2"/>
  <c r="DH16" i="2"/>
  <c r="DH18" i="2"/>
  <c r="DH19" i="2"/>
  <c r="DH40" i="2"/>
  <c r="ER315" i="3"/>
  <c r="EQ314" i="3"/>
  <c r="DG42" i="2"/>
  <c r="DG43" i="2"/>
  <c r="DG44" i="2"/>
  <c r="DG41" i="2"/>
  <c r="DK77" i="2"/>
  <c r="DK119" i="2"/>
  <c r="DK76" i="2"/>
  <c r="DB51" i="2"/>
  <c r="DB50" i="2"/>
  <c r="FA24" i="3"/>
  <c r="FA23" i="3"/>
  <c r="FA56" i="3"/>
  <c r="FA107" i="3" s="1"/>
  <c r="FA32" i="3"/>
  <c r="EN318" i="3"/>
  <c r="ES309" i="3"/>
  <c r="ES104" i="3"/>
  <c r="ET102" i="3"/>
  <c r="DI159" i="2"/>
  <c r="DI158" i="2"/>
  <c r="DI157" i="2"/>
  <c r="DI15" i="2"/>
  <c r="DI8" i="2" s="1"/>
  <c r="EV129" i="3"/>
  <c r="EX53" i="3"/>
  <c r="EX44" i="3"/>
  <c r="EX54" i="3"/>
  <c r="EU78" i="2"/>
  <c r="DA53" i="2"/>
  <c r="DA54" i="2"/>
  <c r="EO316" i="3"/>
  <c r="EQ317" i="3"/>
  <c r="EO312" i="3"/>
  <c r="EQ313" i="3"/>
  <c r="EO318" i="3" l="1"/>
  <c r="DK78" i="2"/>
  <c r="EU58" i="3"/>
  <c r="DH9" i="2"/>
  <c r="EZ35" i="3"/>
  <c r="EY37" i="3"/>
  <c r="EY44" i="3" s="1"/>
  <c r="EZ44" i="3" s="1"/>
  <c r="FC67" i="3"/>
  <c r="DI10" i="2"/>
  <c r="DI9" i="2"/>
  <c r="EU8" i="2"/>
  <c r="EU10" i="2" s="1"/>
  <c r="FB24" i="3"/>
  <c r="FB23" i="3"/>
  <c r="FB56" i="3"/>
  <c r="FB107" i="3" s="1"/>
  <c r="FB32" i="3"/>
  <c r="FA34" i="3"/>
  <c r="FA37" i="3" s="1"/>
  <c r="DK123" i="2"/>
  <c r="DK122" i="2"/>
  <c r="DK120" i="2"/>
  <c r="DK114" i="2"/>
  <c r="DK5" i="2"/>
  <c r="DK121" i="2"/>
  <c r="DK94" i="2"/>
  <c r="DK82" i="2"/>
  <c r="DK102" i="2"/>
  <c r="DK90" i="2"/>
  <c r="DK86" i="2"/>
  <c r="DK110" i="2"/>
  <c r="DK106" i="2"/>
  <c r="DK98" i="2"/>
  <c r="FB122" i="3"/>
  <c r="FA122" i="3"/>
  <c r="CK90" i="5"/>
  <c r="CK89" i="5"/>
  <c r="DK129" i="2"/>
  <c r="DK131" i="2"/>
  <c r="DK130" i="2"/>
  <c r="DK156" i="2"/>
  <c r="ER153" i="3"/>
  <c r="ER74" i="3"/>
  <c r="ES152" i="3"/>
  <c r="ES62" i="3"/>
  <c r="ER106" i="3"/>
  <c r="CM79" i="5"/>
  <c r="CN77" i="5"/>
  <c r="CM83" i="5"/>
  <c r="FC121" i="3"/>
  <c r="DL119" i="2"/>
  <c r="DL76" i="2"/>
  <c r="DL77" i="2"/>
  <c r="DC51" i="2"/>
  <c r="DC50" i="2"/>
  <c r="CO80" i="5"/>
  <c r="CO82" i="5" s="1"/>
  <c r="CN82" i="5"/>
  <c r="EW156" i="3"/>
  <c r="DC58" i="2" s="1"/>
  <c r="EW150" i="3"/>
  <c r="FD65" i="3"/>
  <c r="FD121" i="3" s="1"/>
  <c r="FD8" i="3"/>
  <c r="FD9" i="3"/>
  <c r="FD18" i="3"/>
  <c r="FD20" i="3"/>
  <c r="CL85" i="5"/>
  <c r="CL88" i="5"/>
  <c r="CL84" i="5"/>
  <c r="ER313" i="3"/>
  <c r="EQ312" i="3"/>
  <c r="ET104" i="3"/>
  <c r="ET309" i="3"/>
  <c r="EV102" i="3"/>
  <c r="EU102" i="3"/>
  <c r="ER314" i="3"/>
  <c r="ES315" i="3"/>
  <c r="FC15" i="3"/>
  <c r="FC14" i="3"/>
  <c r="FC22" i="3"/>
  <c r="DJ157" i="2"/>
  <c r="DJ159" i="2"/>
  <c r="DJ158" i="2"/>
  <c r="DJ15" i="2"/>
  <c r="DC57" i="2"/>
  <c r="DC56" i="2"/>
  <c r="EQ316" i="3"/>
  <c r="ER317" i="3"/>
  <c r="EX325" i="3"/>
  <c r="DD49" i="2"/>
  <c r="DD52" i="2"/>
  <c r="CY60" i="2"/>
  <c r="CY61" i="2"/>
  <c r="CY59" i="2"/>
  <c r="CZ59" i="2"/>
  <c r="FF7" i="3"/>
  <c r="DJ7" i="2"/>
  <c r="DJ6" i="2"/>
  <c r="DJ14" i="2"/>
  <c r="DJ38" i="2"/>
  <c r="DJ33" i="2"/>
  <c r="DJ24" i="2"/>
  <c r="DJ28" i="2"/>
  <c r="FE9" i="3"/>
  <c r="FE18" i="3"/>
  <c r="FE20" i="3"/>
  <c r="EV303" i="3"/>
  <c r="EC305" i="3"/>
  <c r="EB308" i="3"/>
  <c r="DL77" i="3"/>
  <c r="DK76" i="3"/>
  <c r="DL76" i="3" s="1"/>
  <c r="DM77" i="3"/>
  <c r="DM88" i="5"/>
  <c r="EX320" i="3"/>
  <c r="EX322" i="3" s="1"/>
  <c r="EX113" i="3"/>
  <c r="EX58" i="3"/>
  <c r="DD55" i="2" s="1"/>
  <c r="FD13" i="3"/>
  <c r="FD10" i="3" s="1"/>
  <c r="DI19" i="2"/>
  <c r="DI18" i="2"/>
  <c r="DI40" i="2"/>
  <c r="EU40" i="2" s="1"/>
  <c r="DI17" i="2"/>
  <c r="DI16" i="2"/>
  <c r="EU15" i="2"/>
  <c r="DH41" i="2"/>
  <c r="DH42" i="2"/>
  <c r="DH44" i="2"/>
  <c r="DH43" i="2"/>
  <c r="ET156" i="3"/>
  <c r="ET150" i="3"/>
  <c r="EU150" i="3" s="1"/>
  <c r="EU129" i="3"/>
  <c r="EV156" i="3"/>
  <c r="EV150" i="3"/>
  <c r="DG47" i="2"/>
  <c r="DG46" i="2"/>
  <c r="DG45" i="2"/>
  <c r="FB89" i="3"/>
  <c r="FA125" i="3"/>
  <c r="FA93" i="3"/>
  <c r="FA100" i="3" s="1"/>
  <c r="EW307" i="3"/>
  <c r="DJ124" i="2"/>
  <c r="DJ126" i="2"/>
  <c r="DJ125" i="2"/>
  <c r="EQ318" i="3" l="1"/>
  <c r="EX307" i="3"/>
  <c r="EZ37" i="3"/>
  <c r="EY53" i="3"/>
  <c r="DE52" i="2" s="1"/>
  <c r="DE54" i="2" s="1"/>
  <c r="EY54" i="3"/>
  <c r="EZ54" i="3" s="1"/>
  <c r="ET49" i="2" s="1"/>
  <c r="ET51" i="2" s="1"/>
  <c r="DJ8" i="2"/>
  <c r="DJ9" i="2" s="1"/>
  <c r="FE121" i="3"/>
  <c r="FD67" i="3"/>
  <c r="FD122" i="3" s="1"/>
  <c r="FE10" i="3"/>
  <c r="EU43" i="2"/>
  <c r="EU42" i="2"/>
  <c r="DD54" i="2"/>
  <c r="DD53" i="2"/>
  <c r="DK124" i="2"/>
  <c r="DK125" i="2"/>
  <c r="DK126" i="2"/>
  <c r="DD57" i="2"/>
  <c r="DD56" i="2"/>
  <c r="DB58" i="2"/>
  <c r="DC59" i="2" s="1"/>
  <c r="DI44" i="2"/>
  <c r="DI42" i="2"/>
  <c r="DI41" i="2"/>
  <c r="DI43" i="2"/>
  <c r="DD51" i="2"/>
  <c r="DD50" i="2"/>
  <c r="ET315" i="3"/>
  <c r="ES314" i="3"/>
  <c r="ER312" i="3"/>
  <c r="ES313" i="3"/>
  <c r="EY320" i="3"/>
  <c r="EY322" i="3" s="1"/>
  <c r="EY113" i="3"/>
  <c r="EY129" i="3" s="1"/>
  <c r="EY58" i="3"/>
  <c r="DE55" i="2" s="1"/>
  <c r="EV128" i="2"/>
  <c r="ES153" i="3"/>
  <c r="ET152" i="3"/>
  <c r="ET62" i="3"/>
  <c r="ES74" i="3"/>
  <c r="ES106" i="3"/>
  <c r="DK157" i="2"/>
  <c r="DK158" i="2"/>
  <c r="DK159" i="2"/>
  <c r="DK15" i="2"/>
  <c r="DK8" i="2" s="1"/>
  <c r="FG7" i="3"/>
  <c r="DK7" i="2"/>
  <c r="DK6" i="2"/>
  <c r="DK14" i="2"/>
  <c r="DK38" i="2"/>
  <c r="DK33" i="2"/>
  <c r="DK24" i="2"/>
  <c r="DK28" i="2"/>
  <c r="EU153" i="3"/>
  <c r="FB125" i="3"/>
  <c r="FC89" i="3"/>
  <c r="FB93" i="3"/>
  <c r="FB100" i="3" s="1"/>
  <c r="DA58" i="2"/>
  <c r="EU156" i="3"/>
  <c r="EX129" i="3"/>
  <c r="ED305" i="3"/>
  <c r="EC308" i="3"/>
  <c r="DL122" i="2"/>
  <c r="DL120" i="2"/>
  <c r="DL121" i="2"/>
  <c r="DL5" i="2"/>
  <c r="DL123" i="2"/>
  <c r="DL114" i="2"/>
  <c r="DL94" i="2"/>
  <c r="DL82" i="2"/>
  <c r="DL102" i="2"/>
  <c r="DL90" i="2"/>
  <c r="DL86" i="2"/>
  <c r="DL110" i="2"/>
  <c r="DL106" i="2"/>
  <c r="DL98" i="2"/>
  <c r="DM119" i="2"/>
  <c r="DM76" i="2"/>
  <c r="DM77" i="2"/>
  <c r="EV75" i="2"/>
  <c r="FA54" i="3"/>
  <c r="FA44" i="3"/>
  <c r="FA53" i="3"/>
  <c r="FB34" i="3"/>
  <c r="FB37" i="3" s="1"/>
  <c r="DM90" i="5"/>
  <c r="EW303" i="3"/>
  <c r="ER316" i="3"/>
  <c r="ES317" i="3"/>
  <c r="FF13" i="3"/>
  <c r="FF10" i="3" s="1"/>
  <c r="DJ40" i="2"/>
  <c r="DJ19" i="2"/>
  <c r="DJ16" i="2"/>
  <c r="DJ18" i="2"/>
  <c r="DJ17" i="2"/>
  <c r="EV309" i="3"/>
  <c r="EW102" i="3"/>
  <c r="EV104" i="3"/>
  <c r="CM85" i="5"/>
  <c r="CM88" i="5"/>
  <c r="CM84" i="5"/>
  <c r="EU18" i="2"/>
  <c r="EU17" i="2"/>
  <c r="EU19" i="2"/>
  <c r="FD15" i="3"/>
  <c r="FD22" i="3"/>
  <c r="FE22" i="3" s="1"/>
  <c r="FD14" i="3"/>
  <c r="FE13" i="3"/>
  <c r="DN77" i="3"/>
  <c r="DM76" i="3"/>
  <c r="FC56" i="3"/>
  <c r="FC107" i="3" s="1"/>
  <c r="FC23" i="3"/>
  <c r="FC32" i="3"/>
  <c r="FC24" i="3"/>
  <c r="CN83" i="5"/>
  <c r="CO77" i="5"/>
  <c r="CN79" i="5"/>
  <c r="ET55" i="2"/>
  <c r="ET57" i="2" s="1"/>
  <c r="DH47" i="2"/>
  <c r="DH46" i="2"/>
  <c r="DH45" i="2"/>
  <c r="FF65" i="3"/>
  <c r="FF121" i="3" s="1"/>
  <c r="FF8" i="3"/>
  <c r="FF9" i="3"/>
  <c r="FF20" i="3"/>
  <c r="FF18" i="3"/>
  <c r="EU104" i="3"/>
  <c r="CL90" i="5"/>
  <c r="CL89" i="5"/>
  <c r="FE65" i="3"/>
  <c r="DC61" i="2"/>
  <c r="DC60" i="2"/>
  <c r="DL78" i="2"/>
  <c r="DL131" i="2"/>
  <c r="DL130" i="2"/>
  <c r="DL129" i="2"/>
  <c r="DL156" i="2"/>
  <c r="FC122" i="3"/>
  <c r="DJ10" i="2" l="1"/>
  <c r="DE53" i="2"/>
  <c r="DM78" i="2"/>
  <c r="EZ53" i="3"/>
  <c r="ET52" i="2" s="1"/>
  <c r="ET54" i="2" s="1"/>
  <c r="DE49" i="2"/>
  <c r="DE51" i="2" s="1"/>
  <c r="EZ48" i="3"/>
  <c r="EZ49" i="3" s="1"/>
  <c r="EY325" i="3"/>
  <c r="EV119" i="2"/>
  <c r="EV110" i="2" s="1"/>
  <c r="EY307" i="3"/>
  <c r="FE122" i="3"/>
  <c r="EZ113" i="3"/>
  <c r="FE56" i="3"/>
  <c r="FE107" i="3" s="1"/>
  <c r="FE24" i="3"/>
  <c r="FE23" i="3"/>
  <c r="DK10" i="2"/>
  <c r="DK9" i="2"/>
  <c r="EV131" i="2"/>
  <c r="EV130" i="2"/>
  <c r="CM90" i="5"/>
  <c r="CM89" i="5"/>
  <c r="FB54" i="3"/>
  <c r="FB53" i="3"/>
  <c r="DG52" i="2" s="1"/>
  <c r="FB44" i="3"/>
  <c r="EV77" i="2"/>
  <c r="DL159" i="2"/>
  <c r="DL158" i="2"/>
  <c r="DL157" i="2"/>
  <c r="DL15" i="2"/>
  <c r="DO77" i="3"/>
  <c r="DN76" i="3"/>
  <c r="FC125" i="3"/>
  <c r="FD89" i="3"/>
  <c r="FC93" i="3"/>
  <c r="FC100" i="3" s="1"/>
  <c r="ET313" i="3"/>
  <c r="ES312" i="3"/>
  <c r="FE15" i="3"/>
  <c r="FE14" i="3"/>
  <c r="EX102" i="3"/>
  <c r="EW104" i="3"/>
  <c r="EW309" i="3"/>
  <c r="EX303" i="3"/>
  <c r="DF52" i="2"/>
  <c r="FH7" i="3"/>
  <c r="DL7" i="2"/>
  <c r="DL6" i="2"/>
  <c r="DL14" i="2"/>
  <c r="DL33" i="2"/>
  <c r="DL38" i="2"/>
  <c r="DL24" i="2"/>
  <c r="DL28" i="2"/>
  <c r="EV152" i="3"/>
  <c r="EZ152" i="3" s="1"/>
  <c r="EV62" i="3"/>
  <c r="ET153" i="3"/>
  <c r="EU62" i="3"/>
  <c r="ET74" i="3"/>
  <c r="EU74" i="3" s="1"/>
  <c r="ET106" i="3"/>
  <c r="ER318" i="3"/>
  <c r="DB59" i="2"/>
  <c r="DB60" i="2"/>
  <c r="DB61" i="2"/>
  <c r="DN119" i="2"/>
  <c r="DN77" i="2"/>
  <c r="DN76" i="2"/>
  <c r="FA320" i="3"/>
  <c r="FA322" i="3" s="1"/>
  <c r="FA58" i="3"/>
  <c r="DF55" i="2" s="1"/>
  <c r="FA113" i="3"/>
  <c r="EE305" i="3"/>
  <c r="ED308" i="3"/>
  <c r="EX156" i="3"/>
  <c r="EX150" i="3"/>
  <c r="EZ129" i="3"/>
  <c r="FG13" i="3"/>
  <c r="DK17" i="2"/>
  <c r="DK16" i="2"/>
  <c r="DK19" i="2"/>
  <c r="DK40" i="2"/>
  <c r="DK18" i="2"/>
  <c r="DM131" i="2"/>
  <c r="DM130" i="2"/>
  <c r="DM129" i="2"/>
  <c r="DM156" i="2"/>
  <c r="EV156" i="2" s="1"/>
  <c r="FF67" i="3"/>
  <c r="FF122" i="3" s="1"/>
  <c r="DJ42" i="2"/>
  <c r="DJ41" i="2"/>
  <c r="DJ44" i="2"/>
  <c r="DJ43" i="2"/>
  <c r="FD56" i="3"/>
  <c r="FD107" i="3" s="1"/>
  <c r="FD32" i="3"/>
  <c r="FD24" i="3"/>
  <c r="FD23" i="3"/>
  <c r="FF22" i="3"/>
  <c r="FF14" i="3"/>
  <c r="FF15" i="3"/>
  <c r="FA325" i="3"/>
  <c r="DF49" i="2"/>
  <c r="EU157" i="3"/>
  <c r="EU158" i="3"/>
  <c r="DE57" i="2"/>
  <c r="DE56" i="2"/>
  <c r="EV315" i="3"/>
  <c r="ET314" i="3"/>
  <c r="CN85" i="5"/>
  <c r="CN88" i="5"/>
  <c r="CN84" i="5"/>
  <c r="DL125" i="2"/>
  <c r="DL126" i="2"/>
  <c r="DL124" i="2"/>
  <c r="DI46" i="2"/>
  <c r="DI45" i="2"/>
  <c r="DI47" i="2"/>
  <c r="EU44" i="2"/>
  <c r="FC34" i="3"/>
  <c r="FC37" i="3" s="1"/>
  <c r="CO83" i="5"/>
  <c r="DN83" i="5" s="1"/>
  <c r="CO79" i="5"/>
  <c r="DN77" i="5"/>
  <c r="DN79" i="5" s="1"/>
  <c r="ET317" i="3"/>
  <c r="ES316" i="3"/>
  <c r="DM121" i="2"/>
  <c r="DM123" i="2"/>
  <c r="DM120" i="2"/>
  <c r="DM5" i="2"/>
  <c r="DM122" i="2"/>
  <c r="DM114" i="2"/>
  <c r="DM94" i="2"/>
  <c r="DM82" i="2"/>
  <c r="DM102" i="2"/>
  <c r="DM90" i="2"/>
  <c r="DM86" i="2"/>
  <c r="DM110" i="2"/>
  <c r="DM106" i="2"/>
  <c r="DM98" i="2"/>
  <c r="DA59" i="2"/>
  <c r="DA61" i="2"/>
  <c r="DA60" i="2"/>
  <c r="ES58" i="2"/>
  <c r="FG65" i="3"/>
  <c r="FG121" i="3" s="1"/>
  <c r="FG9" i="3"/>
  <c r="FG8" i="3"/>
  <c r="FG18" i="3"/>
  <c r="FG20" i="3"/>
  <c r="EY156" i="3"/>
  <c r="DE58" i="2" s="1"/>
  <c r="EY150" i="3"/>
  <c r="FE67" i="3"/>
  <c r="DE50" i="2" l="1"/>
  <c r="EZ58" i="3"/>
  <c r="EV106" i="2"/>
  <c r="EV82" i="2"/>
  <c r="DN78" i="2"/>
  <c r="EV102" i="2"/>
  <c r="EV94" i="2"/>
  <c r="EV98" i="2"/>
  <c r="EV78" i="2"/>
  <c r="EV90" i="2"/>
  <c r="EV114" i="2"/>
  <c r="EV86" i="2"/>
  <c r="EV121" i="2"/>
  <c r="FA307" i="3"/>
  <c r="EV5" i="2"/>
  <c r="EV24" i="2" s="1"/>
  <c r="DL8" i="2"/>
  <c r="DL10" i="2" s="1"/>
  <c r="FC54" i="3"/>
  <c r="FC53" i="3"/>
  <c r="DH52" i="2" s="1"/>
  <c r="FC44" i="3"/>
  <c r="EY102" i="3"/>
  <c r="EX309" i="3"/>
  <c r="EX104" i="3"/>
  <c r="ET312" i="3"/>
  <c r="EV313" i="3"/>
  <c r="DO76" i="3"/>
  <c r="DP77" i="3"/>
  <c r="FD34" i="3"/>
  <c r="FE34" i="3" s="1"/>
  <c r="EY303" i="3"/>
  <c r="EV158" i="2"/>
  <c r="FB325" i="3"/>
  <c r="DG49" i="2"/>
  <c r="CO85" i="5"/>
  <c r="CO88" i="5"/>
  <c r="DN88" i="5" s="1"/>
  <c r="CO84" i="5"/>
  <c r="DK42" i="2"/>
  <c r="DK41" i="2"/>
  <c r="DK44" i="2"/>
  <c r="DK43" i="2"/>
  <c r="EZ150" i="3"/>
  <c r="EZ153" i="3" s="1"/>
  <c r="DF57" i="2"/>
  <c r="DF56" i="2"/>
  <c r="FD125" i="3"/>
  <c r="FE125" i="3" s="1"/>
  <c r="FF89" i="3"/>
  <c r="FE89" i="3"/>
  <c r="FD93" i="3"/>
  <c r="FF56" i="3"/>
  <c r="FF107" i="3" s="1"/>
  <c r="FF32" i="3"/>
  <c r="FF24" i="3"/>
  <c r="FF23" i="3"/>
  <c r="FG22" i="3"/>
  <c r="FG14" i="3"/>
  <c r="FG15" i="3"/>
  <c r="DM125" i="2"/>
  <c r="DM126" i="2"/>
  <c r="DM124" i="2"/>
  <c r="EV123" i="2"/>
  <c r="EV125" i="2" s="1"/>
  <c r="CN89" i="5"/>
  <c r="CN90" i="5"/>
  <c r="DF50" i="2"/>
  <c r="DF51" i="2"/>
  <c r="ES62" i="2"/>
  <c r="EU106" i="3"/>
  <c r="DE60" i="2"/>
  <c r="DE61" i="2"/>
  <c r="FG10" i="3"/>
  <c r="EU47" i="2"/>
  <c r="EU46" i="2"/>
  <c r="DN129" i="2"/>
  <c r="DN131" i="2"/>
  <c r="DN130" i="2"/>
  <c r="DN156" i="2"/>
  <c r="DD58" i="2"/>
  <c r="DE59" i="2" s="1"/>
  <c r="EZ156" i="3"/>
  <c r="EW152" i="3"/>
  <c r="EV74" i="3"/>
  <c r="EV153" i="3"/>
  <c r="EW62" i="3"/>
  <c r="EV106" i="3"/>
  <c r="FH13" i="3"/>
  <c r="FH10" i="3" s="1"/>
  <c r="FH67" i="3" s="1"/>
  <c r="DL18" i="2"/>
  <c r="DL17" i="2"/>
  <c r="DL16" i="2"/>
  <c r="DL19" i="2"/>
  <c r="DL40" i="2"/>
  <c r="DG53" i="2"/>
  <c r="DG54" i="2"/>
  <c r="DN121" i="2"/>
  <c r="DN114" i="2"/>
  <c r="DN122" i="2"/>
  <c r="DN120" i="2"/>
  <c r="DN5" i="2"/>
  <c r="DN123" i="2"/>
  <c r="DN94" i="2"/>
  <c r="DN82" i="2"/>
  <c r="DN102" i="2"/>
  <c r="DN90" i="2"/>
  <c r="DN86" i="2"/>
  <c r="DN110" i="2"/>
  <c r="DN106" i="2"/>
  <c r="DN98" i="2"/>
  <c r="FH65" i="3"/>
  <c r="FH121" i="3" s="1"/>
  <c r="FH9" i="3"/>
  <c r="FH8" i="3"/>
  <c r="FH20" i="3"/>
  <c r="FH18" i="3"/>
  <c r="FA129" i="3"/>
  <c r="DN80" i="5"/>
  <c r="DN82" i="5" s="1"/>
  <c r="DN85" i="5"/>
  <c r="EW315" i="3"/>
  <c r="EV314" i="3"/>
  <c r="ES60" i="2"/>
  <c r="ES61" i="2"/>
  <c r="FI7" i="3"/>
  <c r="DM7" i="2"/>
  <c r="DM6" i="2"/>
  <c r="DM14" i="2"/>
  <c r="DM38" i="2"/>
  <c r="DM33" i="2"/>
  <c r="DM24" i="2"/>
  <c r="DM28" i="2"/>
  <c r="EV317" i="3"/>
  <c r="ET316" i="3"/>
  <c r="FE32" i="3"/>
  <c r="DO119" i="2"/>
  <c r="DO77" i="2"/>
  <c r="DO76" i="2"/>
  <c r="DJ45" i="2"/>
  <c r="DJ46" i="2"/>
  <c r="DJ47" i="2"/>
  <c r="DM159" i="2"/>
  <c r="DM158" i="2"/>
  <c r="DM157" i="2"/>
  <c r="DM15" i="2"/>
  <c r="EG305" i="3"/>
  <c r="EE308" i="3"/>
  <c r="DF53" i="2"/>
  <c r="DF54" i="2"/>
  <c r="ES318" i="3"/>
  <c r="FB320" i="3"/>
  <c r="FB322" i="3" s="1"/>
  <c r="FB58" i="3"/>
  <c r="DG55" i="2" s="1"/>
  <c r="FB113" i="3"/>
  <c r="FB129" i="3" s="1"/>
  <c r="DL9" i="2" l="1"/>
  <c r="EV38" i="2"/>
  <c r="EV33" i="2"/>
  <c r="EV14" i="2"/>
  <c r="EV159" i="2"/>
  <c r="EV7" i="2"/>
  <c r="EV28" i="2"/>
  <c r="FE35" i="3"/>
  <c r="FD37" i="3"/>
  <c r="FE37" i="3" s="1"/>
  <c r="DG57" i="2"/>
  <c r="DG56" i="2"/>
  <c r="DN90" i="5"/>
  <c r="EW313" i="3"/>
  <c r="EV312" i="3"/>
  <c r="DL44" i="2"/>
  <c r="DL43" i="2"/>
  <c r="DL42" i="2"/>
  <c r="DL41" i="2"/>
  <c r="FG67" i="3"/>
  <c r="FD100" i="3"/>
  <c r="FE100" i="3" s="1"/>
  <c r="FE93" i="3"/>
  <c r="FC325" i="3"/>
  <c r="DH49" i="2"/>
  <c r="EH305" i="3"/>
  <c r="EG308" i="3"/>
  <c r="FI65" i="3"/>
  <c r="FI121" i="3" s="1"/>
  <c r="FJ121" i="3" s="1"/>
  <c r="FI9" i="3"/>
  <c r="FI8" i="3"/>
  <c r="FI18" i="3"/>
  <c r="FI20" i="3"/>
  <c r="EW153" i="3"/>
  <c r="EW74" i="3"/>
  <c r="EX152" i="3"/>
  <c r="EX62" i="3"/>
  <c r="EW106" i="3"/>
  <c r="EZ157" i="3"/>
  <c r="EZ158" i="3"/>
  <c r="FB307" i="3"/>
  <c r="FH22" i="3"/>
  <c r="FH15" i="3"/>
  <c r="FH14" i="3"/>
  <c r="FA303" i="3"/>
  <c r="FG24" i="3"/>
  <c r="FG23" i="3"/>
  <c r="FG32" i="3"/>
  <c r="FG56" i="3"/>
  <c r="FG107" i="3" s="1"/>
  <c r="DG50" i="2"/>
  <c r="DG51" i="2"/>
  <c r="ET318" i="3"/>
  <c r="DP76" i="2"/>
  <c r="DP77" i="2"/>
  <c r="DP119" i="2"/>
  <c r="EW314" i="3"/>
  <c r="EX315" i="3"/>
  <c r="FJ7" i="3"/>
  <c r="DN126" i="2"/>
  <c r="DN124" i="2"/>
  <c r="DN125" i="2"/>
  <c r="DD60" i="2"/>
  <c r="DD61" i="2"/>
  <c r="DD59" i="2"/>
  <c r="ET58" i="2"/>
  <c r="FK7" i="3"/>
  <c r="DN7" i="2"/>
  <c r="DN6" i="2"/>
  <c r="DN14" i="2"/>
  <c r="DN33" i="2"/>
  <c r="DN38" i="2"/>
  <c r="DN24" i="2"/>
  <c r="DN28" i="2"/>
  <c r="DN158" i="2"/>
  <c r="DN157" i="2"/>
  <c r="DN159" i="2"/>
  <c r="DN15" i="2"/>
  <c r="FG89" i="3"/>
  <c r="FF125" i="3"/>
  <c r="FF93" i="3"/>
  <c r="FF100" i="3" s="1"/>
  <c r="DP76" i="3"/>
  <c r="DQ76" i="3" s="1"/>
  <c r="DR77" i="3"/>
  <c r="DQ77" i="3"/>
  <c r="EY309" i="3"/>
  <c r="EY104" i="3"/>
  <c r="FA102" i="3"/>
  <c r="EZ102" i="3"/>
  <c r="FA156" i="3"/>
  <c r="FA150" i="3"/>
  <c r="DH54" i="2"/>
  <c r="DH53" i="2"/>
  <c r="DO123" i="2"/>
  <c r="DO121" i="2"/>
  <c r="DO122" i="2"/>
  <c r="DO5" i="2"/>
  <c r="DO120" i="2"/>
  <c r="DO114" i="2"/>
  <c r="DO94" i="2"/>
  <c r="DO82" i="2"/>
  <c r="DO102" i="2"/>
  <c r="DO90" i="2"/>
  <c r="DO86" i="2"/>
  <c r="DO110" i="2"/>
  <c r="DO106" i="2"/>
  <c r="DO98" i="2"/>
  <c r="FB156" i="3"/>
  <c r="DG58" i="2" s="1"/>
  <c r="FB150" i="3"/>
  <c r="FI13" i="3"/>
  <c r="FJ13" i="3" s="1"/>
  <c r="DM17" i="2"/>
  <c r="DM16" i="2"/>
  <c r="DM40" i="2"/>
  <c r="DM19" i="2"/>
  <c r="DM18" i="2"/>
  <c r="EV15" i="2"/>
  <c r="DO78" i="2"/>
  <c r="EW317" i="3"/>
  <c r="EV316" i="3"/>
  <c r="DM8" i="2"/>
  <c r="DO129" i="2"/>
  <c r="DO131" i="2"/>
  <c r="DO130" i="2"/>
  <c r="DO156" i="2"/>
  <c r="FF34" i="3"/>
  <c r="FF37" i="3" s="1"/>
  <c r="DK45" i="2"/>
  <c r="DK47" i="2"/>
  <c r="DK46" i="2"/>
  <c r="CO89" i="5"/>
  <c r="CO90" i="5"/>
  <c r="FC320" i="3"/>
  <c r="FC322" i="3" s="1"/>
  <c r="FC113" i="3"/>
  <c r="FC58" i="3"/>
  <c r="DH55" i="2" s="1"/>
  <c r="FD54" i="3" l="1"/>
  <c r="FE54" i="3" s="1"/>
  <c r="EU49" i="2" s="1"/>
  <c r="EU51" i="2" s="1"/>
  <c r="FD44" i="3"/>
  <c r="FE44" i="3" s="1"/>
  <c r="DN8" i="2"/>
  <c r="DN10" i="2" s="1"/>
  <c r="FD53" i="3"/>
  <c r="DI52" i="2" s="1"/>
  <c r="DI54" i="2" s="1"/>
  <c r="FC307" i="3"/>
  <c r="FF54" i="3"/>
  <c r="FF44" i="3"/>
  <c r="FF53" i="3"/>
  <c r="DP129" i="2"/>
  <c r="DP130" i="2"/>
  <c r="DP131" i="2"/>
  <c r="DP156" i="2"/>
  <c r="DQ77" i="2"/>
  <c r="DQ76" i="2"/>
  <c r="DQ119" i="2"/>
  <c r="EW75" i="2"/>
  <c r="EX153" i="3"/>
  <c r="EX74" i="3"/>
  <c r="EY152" i="3"/>
  <c r="EY62" i="3"/>
  <c r="EX106" i="3"/>
  <c r="EW312" i="3"/>
  <c r="EX313" i="3"/>
  <c r="DF58" i="2"/>
  <c r="DG59" i="2" s="1"/>
  <c r="FB303" i="3"/>
  <c r="EV19" i="2"/>
  <c r="EV18" i="2"/>
  <c r="EV17" i="2"/>
  <c r="FI15" i="3"/>
  <c r="FI14" i="3"/>
  <c r="FI22" i="3"/>
  <c r="FG125" i="3"/>
  <c r="FH89" i="3"/>
  <c r="FG93" i="3"/>
  <c r="FG100" i="3" s="1"/>
  <c r="EW316" i="3"/>
  <c r="EX317" i="3"/>
  <c r="EZ104" i="3"/>
  <c r="DP123" i="2"/>
  <c r="DP122" i="2"/>
  <c r="DP120" i="2"/>
  <c r="DP121" i="2"/>
  <c r="DP5" i="2"/>
  <c r="DP114" i="2"/>
  <c r="DP94" i="2"/>
  <c r="DP82" i="2"/>
  <c r="DP102" i="2"/>
  <c r="DP90" i="2"/>
  <c r="DP86" i="2"/>
  <c r="DP110" i="2"/>
  <c r="DP106" i="2"/>
  <c r="DP98" i="2"/>
  <c r="FK8" i="3"/>
  <c r="FK9" i="3"/>
  <c r="FK65" i="3"/>
  <c r="FK121" i="3" s="1"/>
  <c r="FK18" i="3"/>
  <c r="FK20" i="3"/>
  <c r="FJ14" i="3"/>
  <c r="FJ15" i="3"/>
  <c r="DS77" i="3"/>
  <c r="DR76" i="3"/>
  <c r="FK13" i="3"/>
  <c r="DN17" i="2"/>
  <c r="DN16" i="2"/>
  <c r="DN19" i="2"/>
  <c r="DN18" i="2"/>
  <c r="DN40" i="2"/>
  <c r="FJ9" i="3"/>
  <c r="FJ18" i="3"/>
  <c r="FJ20" i="3"/>
  <c r="FI10" i="3"/>
  <c r="DL46" i="2"/>
  <c r="DL47" i="2"/>
  <c r="DL45" i="2"/>
  <c r="DO157" i="2"/>
  <c r="DO158" i="2"/>
  <c r="DO159" i="2"/>
  <c r="DO15" i="2"/>
  <c r="FL7" i="3"/>
  <c r="DO7" i="2"/>
  <c r="DO6" i="2"/>
  <c r="DO14" i="2"/>
  <c r="DO38" i="2"/>
  <c r="DO33" i="2"/>
  <c r="DO24" i="2"/>
  <c r="DO28" i="2"/>
  <c r="DH57" i="2"/>
  <c r="DH56" i="2"/>
  <c r="DO124" i="2"/>
  <c r="DO125" i="2"/>
  <c r="DO126" i="2"/>
  <c r="FD320" i="3"/>
  <c r="FD322" i="3" s="1"/>
  <c r="FD113" i="3"/>
  <c r="FD129" i="3" s="1"/>
  <c r="FD58" i="3"/>
  <c r="DI55" i="2" s="1"/>
  <c r="EY315" i="3"/>
  <c r="EX314" i="3"/>
  <c r="DP78" i="2"/>
  <c r="FG34" i="3"/>
  <c r="FG37" i="3" s="1"/>
  <c r="EI305" i="3"/>
  <c r="EH308" i="3"/>
  <c r="FH122" i="3"/>
  <c r="FG122" i="3"/>
  <c r="ET61" i="2"/>
  <c r="ET60" i="2"/>
  <c r="DM10" i="2"/>
  <c r="DM9" i="2"/>
  <c r="EV8" i="2"/>
  <c r="EV10" i="2" s="1"/>
  <c r="DG60" i="2"/>
  <c r="DG61" i="2"/>
  <c r="FC129" i="3"/>
  <c r="DM44" i="2"/>
  <c r="DM41" i="2"/>
  <c r="DM43" i="2"/>
  <c r="DM42" i="2"/>
  <c r="FA309" i="3"/>
  <c r="FA104" i="3"/>
  <c r="FB102" i="3"/>
  <c r="FH24" i="3"/>
  <c r="FH23" i="3"/>
  <c r="FH56" i="3"/>
  <c r="FH107" i="3" s="1"/>
  <c r="FH32" i="3"/>
  <c r="FJ65" i="3"/>
  <c r="DH51" i="2"/>
  <c r="DH50" i="2"/>
  <c r="EV40" i="2"/>
  <c r="EV318" i="3"/>
  <c r="DI49" i="2" l="1"/>
  <c r="FE48" i="3"/>
  <c r="FE49" i="3" s="1"/>
  <c r="DN9" i="2"/>
  <c r="DQ78" i="2"/>
  <c r="DI53" i="2"/>
  <c r="FD325" i="3"/>
  <c r="FE53" i="3"/>
  <c r="EU52" i="2" s="1"/>
  <c r="EU54" i="2" s="1"/>
  <c r="EW119" i="2"/>
  <c r="EW114" i="2" s="1"/>
  <c r="FG54" i="3"/>
  <c r="FG53" i="3"/>
  <c r="DK52" i="2" s="1"/>
  <c r="FG44" i="3"/>
  <c r="DQ129" i="2"/>
  <c r="DQ131" i="2"/>
  <c r="DQ130" i="2"/>
  <c r="DQ156" i="2"/>
  <c r="FL13" i="3"/>
  <c r="FL10" i="3" s="1"/>
  <c r="FL67" i="3" s="1"/>
  <c r="DO19" i="2"/>
  <c r="DO18" i="2"/>
  <c r="DO40" i="2"/>
  <c r="DO16" i="2"/>
  <c r="DO17" i="2"/>
  <c r="DT77" i="3"/>
  <c r="DS76" i="3"/>
  <c r="FI56" i="3"/>
  <c r="FI107" i="3" s="1"/>
  <c r="FI23" i="3"/>
  <c r="FI32" i="3"/>
  <c r="FJ32" i="3" s="1"/>
  <c r="FI24" i="3"/>
  <c r="FJ22" i="3"/>
  <c r="EY313" i="3"/>
  <c r="EX312" i="3"/>
  <c r="EW128" i="2"/>
  <c r="FE113" i="3"/>
  <c r="EW318" i="3"/>
  <c r="FF320" i="3"/>
  <c r="FF322" i="3" s="1"/>
  <c r="FF113" i="3"/>
  <c r="FF58" i="3"/>
  <c r="DJ55" i="2" s="1"/>
  <c r="FD156" i="3"/>
  <c r="DI58" i="2" s="1"/>
  <c r="FD150" i="3"/>
  <c r="FB309" i="3"/>
  <c r="FC102" i="3"/>
  <c r="FB104" i="3"/>
  <c r="FC303" i="3"/>
  <c r="DJ52" i="2"/>
  <c r="FH34" i="3"/>
  <c r="FC156" i="3"/>
  <c r="FC150" i="3"/>
  <c r="FE129" i="3"/>
  <c r="DI51" i="2"/>
  <c r="DI50" i="2"/>
  <c r="EX316" i="3"/>
  <c r="EY317" i="3"/>
  <c r="DN41" i="2"/>
  <c r="DN42" i="2"/>
  <c r="DN44" i="2"/>
  <c r="DN43" i="2"/>
  <c r="DM47" i="2"/>
  <c r="DM46" i="2"/>
  <c r="DM45" i="2"/>
  <c r="EV44" i="2"/>
  <c r="EJ305" i="3"/>
  <c r="EI308" i="3"/>
  <c r="EY314" i="3"/>
  <c r="FA315" i="3"/>
  <c r="FI89" i="3"/>
  <c r="FH125" i="3"/>
  <c r="FH93" i="3"/>
  <c r="FH100" i="3" s="1"/>
  <c r="EY153" i="3"/>
  <c r="FA152" i="3"/>
  <c r="FE152" i="3" s="1"/>
  <c r="FA62" i="3"/>
  <c r="EZ62" i="3"/>
  <c r="EY74" i="3"/>
  <c r="EZ74" i="3" s="1"/>
  <c r="EY106" i="3"/>
  <c r="EW77" i="2"/>
  <c r="FF325" i="3"/>
  <c r="DJ49" i="2"/>
  <c r="FL65" i="3"/>
  <c r="FL121" i="3" s="1"/>
  <c r="FL9" i="3"/>
  <c r="FL8" i="3"/>
  <c r="FL20" i="3"/>
  <c r="FL18" i="3"/>
  <c r="DP124" i="2"/>
  <c r="DP125" i="2"/>
  <c r="DP126" i="2"/>
  <c r="FM7" i="3"/>
  <c r="DP7" i="2"/>
  <c r="DP6" i="2"/>
  <c r="DP14" i="2"/>
  <c r="DP33" i="2"/>
  <c r="DP38" i="2"/>
  <c r="DP24" i="2"/>
  <c r="DP28" i="2"/>
  <c r="EV43" i="2"/>
  <c r="EV42" i="2"/>
  <c r="FD307" i="3"/>
  <c r="DI57" i="2"/>
  <c r="DI56" i="2"/>
  <c r="DO8" i="2"/>
  <c r="FI67" i="3"/>
  <c r="FJ10" i="3"/>
  <c r="FK15" i="3"/>
  <c r="FK22" i="3"/>
  <c r="FK14" i="3"/>
  <c r="FK10" i="3"/>
  <c r="DF61" i="2"/>
  <c r="DF59" i="2"/>
  <c r="DF60" i="2"/>
  <c r="DQ123" i="2"/>
  <c r="EW123" i="2" s="1"/>
  <c r="EW125" i="2" s="1"/>
  <c r="DQ122" i="2"/>
  <c r="DQ120" i="2"/>
  <c r="DQ121" i="2"/>
  <c r="DQ5" i="2"/>
  <c r="EW5" i="2" s="1"/>
  <c r="DQ114" i="2"/>
  <c r="DQ94" i="2"/>
  <c r="DQ82" i="2"/>
  <c r="DQ102" i="2"/>
  <c r="DQ90" i="2"/>
  <c r="DQ86" i="2"/>
  <c r="DQ110" i="2"/>
  <c r="DQ106" i="2"/>
  <c r="DQ98" i="2"/>
  <c r="DP157" i="2"/>
  <c r="DP159" i="2"/>
  <c r="DP15" i="2"/>
  <c r="DP8" i="2" s="1"/>
  <c r="DP158" i="2"/>
  <c r="EU55" i="2"/>
  <c r="EU57" i="2" s="1"/>
  <c r="FE58" i="3" l="1"/>
  <c r="EW121" i="2"/>
  <c r="FE150" i="3"/>
  <c r="EW102" i="2"/>
  <c r="EW86" i="2"/>
  <c r="EW90" i="2"/>
  <c r="EW82" i="2"/>
  <c r="EW98" i="2"/>
  <c r="EW94" i="2"/>
  <c r="EW78" i="2"/>
  <c r="EW106" i="2"/>
  <c r="EW110" i="2"/>
  <c r="FF307" i="3"/>
  <c r="FK32" i="3"/>
  <c r="FK56" i="3"/>
  <c r="FK107" i="3" s="1"/>
  <c r="FK23" i="3"/>
  <c r="FK24" i="3"/>
  <c r="DP10" i="2"/>
  <c r="DP9" i="2"/>
  <c r="FB152" i="3"/>
  <c r="FB62" i="3"/>
  <c r="FA74" i="3"/>
  <c r="FA153" i="3"/>
  <c r="EU62" i="2"/>
  <c r="FA106" i="3"/>
  <c r="EX318" i="3"/>
  <c r="DQ157" i="2"/>
  <c r="DQ159" i="2"/>
  <c r="DQ15" i="2"/>
  <c r="EW15" i="2" s="1"/>
  <c r="DQ158" i="2"/>
  <c r="DO9" i="2"/>
  <c r="DO10" i="2"/>
  <c r="DN47" i="2"/>
  <c r="DN45" i="2"/>
  <c r="DN46" i="2"/>
  <c r="FD303" i="3"/>
  <c r="DI60" i="2"/>
  <c r="DI61" i="2"/>
  <c r="EW7" i="2"/>
  <c r="EW14" i="2"/>
  <c r="EW38" i="2"/>
  <c r="EW24" i="2"/>
  <c r="EW33" i="2"/>
  <c r="EW28" i="2"/>
  <c r="DQ124" i="2"/>
  <c r="DQ125" i="2"/>
  <c r="DQ126" i="2"/>
  <c r="FE153" i="3"/>
  <c r="FJ56" i="3"/>
  <c r="FJ107" i="3" s="1"/>
  <c r="FJ23" i="3"/>
  <c r="FJ24" i="3"/>
  <c r="DU77" i="3"/>
  <c r="DT76" i="3"/>
  <c r="FL15" i="3"/>
  <c r="FL22" i="3"/>
  <c r="FL14" i="3"/>
  <c r="EL305" i="3"/>
  <c r="EJ308" i="3"/>
  <c r="FI125" i="3"/>
  <c r="FJ125" i="3" s="1"/>
  <c r="FJ89" i="3"/>
  <c r="FK89" i="3"/>
  <c r="FI93" i="3"/>
  <c r="EV47" i="2"/>
  <c r="EV46" i="2"/>
  <c r="DH58" i="2"/>
  <c r="DI59" i="2" s="1"/>
  <c r="FE156" i="3"/>
  <c r="EY312" i="3"/>
  <c r="FA313" i="3"/>
  <c r="FN7" i="3"/>
  <c r="DQ7" i="2"/>
  <c r="DQ6" i="2"/>
  <c r="DQ14" i="2"/>
  <c r="DQ33" i="2"/>
  <c r="DQ38" i="2"/>
  <c r="DQ24" i="2"/>
  <c r="DQ28" i="2"/>
  <c r="FM65" i="3"/>
  <c r="FM121" i="3" s="1"/>
  <c r="FM9" i="3"/>
  <c r="FM8" i="3"/>
  <c r="FM18" i="3"/>
  <c r="FM20" i="3"/>
  <c r="DJ50" i="2"/>
  <c r="DJ51" i="2"/>
  <c r="FB315" i="3"/>
  <c r="FA314" i="3"/>
  <c r="FH37" i="3"/>
  <c r="DJ57" i="2"/>
  <c r="DJ56" i="2"/>
  <c r="FC309" i="3"/>
  <c r="FD102" i="3"/>
  <c r="FC104" i="3"/>
  <c r="FF129" i="3"/>
  <c r="FI34" i="3"/>
  <c r="FJ34" i="3" s="1"/>
  <c r="FJ35" i="3" s="1"/>
  <c r="FG320" i="3"/>
  <c r="FG322" i="3" s="1"/>
  <c r="FG113" i="3"/>
  <c r="FG129" i="3" s="1"/>
  <c r="FG58" i="3"/>
  <c r="DK55" i="2" s="1"/>
  <c r="EW156" i="2"/>
  <c r="FG325" i="3"/>
  <c r="DK49" i="2"/>
  <c r="DP40" i="2"/>
  <c r="DP16" i="2"/>
  <c r="DP18" i="2"/>
  <c r="DP19" i="2"/>
  <c r="FM13" i="3"/>
  <c r="DP17" i="2"/>
  <c r="FK67" i="3"/>
  <c r="FL122" i="3" s="1"/>
  <c r="FJ67" i="3"/>
  <c r="FI122" i="3"/>
  <c r="FJ122" i="3" s="1"/>
  <c r="ET62" i="2"/>
  <c r="EZ106" i="3"/>
  <c r="EY316" i="3"/>
  <c r="FA317" i="3"/>
  <c r="DJ54" i="2"/>
  <c r="DJ53" i="2"/>
  <c r="EW131" i="2"/>
  <c r="EW130" i="2"/>
  <c r="DO43" i="2"/>
  <c r="DO42" i="2"/>
  <c r="DO41" i="2"/>
  <c r="DO44" i="2"/>
  <c r="DK54" i="2"/>
  <c r="DK53" i="2"/>
  <c r="DQ8" i="2" l="1"/>
  <c r="DK51" i="2"/>
  <c r="DK50" i="2"/>
  <c r="FI37" i="3"/>
  <c r="FN65" i="3"/>
  <c r="FO65" i="3" s="1"/>
  <c r="FN9" i="3"/>
  <c r="FN8" i="3"/>
  <c r="FN18" i="3"/>
  <c r="FN20" i="3"/>
  <c r="FN13" i="3"/>
  <c r="DQ16" i="2"/>
  <c r="DQ17" i="2"/>
  <c r="DQ18" i="2"/>
  <c r="DQ40" i="2"/>
  <c r="DQ19" i="2"/>
  <c r="DH59" i="2"/>
  <c r="DH60" i="2"/>
  <c r="DH61" i="2"/>
  <c r="EU58" i="2"/>
  <c r="DP42" i="2"/>
  <c r="DP41" i="2"/>
  <c r="DP44" i="2"/>
  <c r="DP43" i="2"/>
  <c r="EM305" i="3"/>
  <c r="EL308" i="3"/>
  <c r="FC152" i="3"/>
  <c r="FB153" i="3"/>
  <c r="FB74" i="3"/>
  <c r="FC62" i="3"/>
  <c r="EV62" i="2"/>
  <c r="FB106" i="3"/>
  <c r="FK122" i="3"/>
  <c r="FM22" i="3"/>
  <c r="FM14" i="3"/>
  <c r="FM15" i="3"/>
  <c r="FB314" i="3"/>
  <c r="FC315" i="3"/>
  <c r="FB313" i="3"/>
  <c r="FA312" i="3"/>
  <c r="FI100" i="3"/>
  <c r="FJ100" i="3" s="1"/>
  <c r="FJ93" i="3"/>
  <c r="FL56" i="3"/>
  <c r="FL107" i="3" s="1"/>
  <c r="FL24" i="3"/>
  <c r="FL23" i="3"/>
  <c r="FL32" i="3"/>
  <c r="FO7" i="3"/>
  <c r="FD309" i="3"/>
  <c r="FE102" i="3"/>
  <c r="FD104" i="3"/>
  <c r="FF102" i="3"/>
  <c r="DQ10" i="2"/>
  <c r="DQ9" i="2"/>
  <c r="EW19" i="2"/>
  <c r="EW18" i="2"/>
  <c r="EW17" i="2"/>
  <c r="EW159" i="2"/>
  <c r="EW158" i="2"/>
  <c r="FM10" i="3"/>
  <c r="EY318" i="3"/>
  <c r="FK125" i="3"/>
  <c r="FL89" i="3"/>
  <c r="FK93" i="3"/>
  <c r="FK100" i="3" s="1"/>
  <c r="FF303" i="3"/>
  <c r="EW8" i="2"/>
  <c r="EW10" i="2" s="1"/>
  <c r="FK34" i="3"/>
  <c r="FK37" i="3" s="1"/>
  <c r="FB317" i="3"/>
  <c r="FA316" i="3"/>
  <c r="FG156" i="3"/>
  <c r="DK58" i="2" s="1"/>
  <c r="FG150" i="3"/>
  <c r="DU76" i="3"/>
  <c r="DV76" i="3" s="1"/>
  <c r="DW77" i="3"/>
  <c r="DV77" i="3"/>
  <c r="FH54" i="3"/>
  <c r="FH53" i="3"/>
  <c r="FH44" i="3"/>
  <c r="DO46" i="2"/>
  <c r="DO45" i="2"/>
  <c r="DO47" i="2"/>
  <c r="FG307" i="3"/>
  <c r="DK57" i="2"/>
  <c r="DK56" i="2"/>
  <c r="FF156" i="3"/>
  <c r="FF150" i="3"/>
  <c r="FE157" i="3"/>
  <c r="FE158" i="3"/>
  <c r="FK54" i="3" l="1"/>
  <c r="FK44" i="3"/>
  <c r="FK53" i="3"/>
  <c r="FO9" i="3"/>
  <c r="FO20" i="3"/>
  <c r="FO18" i="3"/>
  <c r="FC153" i="3"/>
  <c r="FD152" i="3"/>
  <c r="FD62" i="3"/>
  <c r="FC74" i="3"/>
  <c r="EW62" i="2"/>
  <c r="FC106" i="3"/>
  <c r="DQ42" i="2"/>
  <c r="DQ41" i="2"/>
  <c r="DQ44" i="2"/>
  <c r="DQ43" i="2"/>
  <c r="FN22" i="3"/>
  <c r="FO22" i="3" s="1"/>
  <c r="FN15" i="3"/>
  <c r="FN14" i="3"/>
  <c r="DX77" i="3"/>
  <c r="DW76" i="3"/>
  <c r="FI54" i="3"/>
  <c r="FJ54" i="3" s="1"/>
  <c r="EV49" i="2" s="1"/>
  <c r="EV51" i="2" s="1"/>
  <c r="FI53" i="3"/>
  <c r="DM52" i="2" s="1"/>
  <c r="FI44" i="3"/>
  <c r="FJ44" i="3" s="1"/>
  <c r="FN121" i="3"/>
  <c r="FO121" i="3" s="1"/>
  <c r="FH113" i="3"/>
  <c r="FH307" i="3" s="1"/>
  <c r="FH320" i="3"/>
  <c r="FH322" i="3" s="1"/>
  <c r="FH58" i="3"/>
  <c r="DL55" i="2" s="1"/>
  <c r="FM89" i="3"/>
  <c r="FL125" i="3"/>
  <c r="FL93" i="3"/>
  <c r="FL100" i="3" s="1"/>
  <c r="FL34" i="3"/>
  <c r="FL37" i="3" s="1"/>
  <c r="FA318" i="3"/>
  <c r="EN305" i="3"/>
  <c r="EM308" i="3"/>
  <c r="EU61" i="2"/>
  <c r="EU60" i="2"/>
  <c r="DJ58" i="2"/>
  <c r="DK59" i="2" s="1"/>
  <c r="FC317" i="3"/>
  <c r="FB316" i="3"/>
  <c r="FG303" i="3"/>
  <c r="FM67" i="3"/>
  <c r="FO13" i="3"/>
  <c r="DL52" i="2"/>
  <c r="DK60" i="2"/>
  <c r="DK61" i="2"/>
  <c r="FF104" i="3"/>
  <c r="FG102" i="3"/>
  <c r="FF309" i="3"/>
  <c r="FB312" i="3"/>
  <c r="FC313" i="3"/>
  <c r="FM56" i="3"/>
  <c r="FM107" i="3" s="1"/>
  <c r="FM24" i="3"/>
  <c r="FM23" i="3"/>
  <c r="FM32" i="3"/>
  <c r="EW40" i="2"/>
  <c r="FN10" i="3"/>
  <c r="FN67" i="3" s="1"/>
  <c r="FO67" i="3" s="1"/>
  <c r="DP45" i="2"/>
  <c r="DP47" i="2"/>
  <c r="DP46" i="2"/>
  <c r="FJ37" i="3"/>
  <c r="FH325" i="3"/>
  <c r="DL49" i="2"/>
  <c r="FE104" i="3"/>
  <c r="FC314" i="3"/>
  <c r="FD315" i="3"/>
  <c r="FJ48" i="3" l="1"/>
  <c r="FJ49" i="3" s="1"/>
  <c r="FL54" i="3"/>
  <c r="FL44" i="3"/>
  <c r="FL53" i="3"/>
  <c r="DO52" i="2" s="1"/>
  <c r="FH303" i="3"/>
  <c r="DQ45" i="2"/>
  <c r="DQ47" i="2"/>
  <c r="DQ46" i="2"/>
  <c r="EW44" i="2"/>
  <c r="FH129" i="3"/>
  <c r="DY77" i="3"/>
  <c r="DX76" i="3"/>
  <c r="FC312" i="3"/>
  <c r="FD313" i="3"/>
  <c r="FO15" i="3"/>
  <c r="FO14" i="3"/>
  <c r="FD317" i="3"/>
  <c r="FC316" i="3"/>
  <c r="EO305" i="3"/>
  <c r="EN308" i="3"/>
  <c r="DN52" i="2"/>
  <c r="DL53" i="2"/>
  <c r="DL54" i="2"/>
  <c r="FO24" i="3"/>
  <c r="FO56" i="3"/>
  <c r="FO107" i="3" s="1"/>
  <c r="FO23" i="3"/>
  <c r="FB318" i="3"/>
  <c r="FO10" i="3"/>
  <c r="DJ60" i="2"/>
  <c r="DJ61" i="2"/>
  <c r="DJ59" i="2"/>
  <c r="FM125" i="3"/>
  <c r="FN89" i="3"/>
  <c r="FM93" i="3"/>
  <c r="FM100" i="3" s="1"/>
  <c r="FI320" i="3"/>
  <c r="FI322" i="3" s="1"/>
  <c r="FI113" i="3"/>
  <c r="FI129" i="3" s="1"/>
  <c r="FI58" i="3"/>
  <c r="DM55" i="2" s="1"/>
  <c r="EV55" i="2" s="1"/>
  <c r="EV57" i="2" s="1"/>
  <c r="DM53" i="2"/>
  <c r="DM54" i="2"/>
  <c r="FK113" i="3"/>
  <c r="FK58" i="3"/>
  <c r="DN55" i="2" s="1"/>
  <c r="FK320" i="3"/>
  <c r="FK322" i="3" s="1"/>
  <c r="FD153" i="3"/>
  <c r="FD74" i="3"/>
  <c r="FE74" i="3" s="1"/>
  <c r="FF152" i="3"/>
  <c r="FJ152" i="3" s="1"/>
  <c r="FF62" i="3"/>
  <c r="FE62" i="3"/>
  <c r="FD106" i="3"/>
  <c r="EW43" i="2"/>
  <c r="EW42" i="2"/>
  <c r="DL50" i="2"/>
  <c r="DL51" i="2"/>
  <c r="FM34" i="3"/>
  <c r="FM37" i="3" s="1"/>
  <c r="FN122" i="3"/>
  <c r="FM122" i="3"/>
  <c r="FJ58" i="3"/>
  <c r="FN24" i="3"/>
  <c r="FN23" i="3"/>
  <c r="FN56" i="3"/>
  <c r="FN107" i="3" s="1"/>
  <c r="FN32" i="3"/>
  <c r="FD314" i="3"/>
  <c r="FF315" i="3"/>
  <c r="FG104" i="3"/>
  <c r="FG309" i="3"/>
  <c r="FH102" i="3"/>
  <c r="FJ53" i="3"/>
  <c r="EV52" i="2" s="1"/>
  <c r="EV54" i="2" s="1"/>
  <c r="DL56" i="2"/>
  <c r="DL57" i="2"/>
  <c r="FI325" i="3"/>
  <c r="DM49" i="2"/>
  <c r="FK325" i="3"/>
  <c r="DN49" i="2"/>
  <c r="FO122" i="3" l="1"/>
  <c r="FC318" i="3"/>
  <c r="FI307" i="3"/>
  <c r="FK307" i="3" s="1"/>
  <c r="FM44" i="3"/>
  <c r="FM53" i="3"/>
  <c r="DP52" i="2" s="1"/>
  <c r="FM54" i="3"/>
  <c r="FE106" i="3"/>
  <c r="FO89" i="3"/>
  <c r="FN125" i="3"/>
  <c r="FO125" i="3" s="1"/>
  <c r="FN93" i="3"/>
  <c r="EW46" i="2"/>
  <c r="EW47" i="2"/>
  <c r="DN51" i="2"/>
  <c r="DN50" i="2"/>
  <c r="FG315" i="3"/>
  <c r="FF314" i="3"/>
  <c r="FG152" i="3"/>
  <c r="FF153" i="3"/>
  <c r="FG62" i="3"/>
  <c r="FF74" i="3"/>
  <c r="FF106" i="3"/>
  <c r="DM57" i="2"/>
  <c r="DM56" i="2"/>
  <c r="FD316" i="3"/>
  <c r="FF317" i="3"/>
  <c r="EQ305" i="3"/>
  <c r="EO308" i="3"/>
  <c r="FN34" i="3"/>
  <c r="FO34" i="3" s="1"/>
  <c r="DN57" i="2"/>
  <c r="DN56" i="2"/>
  <c r="FJ113" i="3"/>
  <c r="FL320" i="3"/>
  <c r="FL322" i="3" s="1"/>
  <c r="FL113" i="3"/>
  <c r="FL129" i="3" s="1"/>
  <c r="FL58" i="3"/>
  <c r="DO55" i="2" s="1"/>
  <c r="FI156" i="3"/>
  <c r="DM58" i="2" s="1"/>
  <c r="FI150" i="3"/>
  <c r="DN54" i="2"/>
  <c r="DN53" i="2"/>
  <c r="DZ77" i="3"/>
  <c r="DY76" i="3"/>
  <c r="DO54" i="2"/>
  <c r="DO53" i="2"/>
  <c r="DM50" i="2"/>
  <c r="DM51" i="2"/>
  <c r="FH309" i="3"/>
  <c r="FI102" i="3"/>
  <c r="FH104" i="3"/>
  <c r="FO32" i="3"/>
  <c r="FK129" i="3"/>
  <c r="FD312" i="3"/>
  <c r="FF313" i="3"/>
  <c r="FH156" i="3"/>
  <c r="FH150" i="3"/>
  <c r="FJ129" i="3"/>
  <c r="FI303" i="3"/>
  <c r="FL325" i="3"/>
  <c r="DO49" i="2"/>
  <c r="FO35" i="3" l="1"/>
  <c r="FJ150" i="3"/>
  <c r="FJ153" i="3" s="1"/>
  <c r="FL307" i="3"/>
  <c r="FN37" i="3"/>
  <c r="FN54" i="3" s="1"/>
  <c r="FG313" i="3"/>
  <c r="FF312" i="3"/>
  <c r="FK102" i="3"/>
  <c r="FJ102" i="3"/>
  <c r="FI104" i="3"/>
  <c r="FI309" i="3"/>
  <c r="FM325" i="3"/>
  <c r="DP49" i="2"/>
  <c r="FK303" i="3"/>
  <c r="ER305" i="3"/>
  <c r="EQ308" i="3"/>
  <c r="DP53" i="2"/>
  <c r="DP54" i="2"/>
  <c r="FH152" i="3"/>
  <c r="FG153" i="3"/>
  <c r="FH62" i="3"/>
  <c r="FG74" i="3"/>
  <c r="FG106" i="3"/>
  <c r="FG314" i="3"/>
  <c r="FH315" i="3"/>
  <c r="DL58" i="2"/>
  <c r="DM59" i="2" s="1"/>
  <c r="FJ156" i="3"/>
  <c r="DO57" i="2"/>
  <c r="DO56" i="2"/>
  <c r="FM320" i="3"/>
  <c r="FM322" i="3" s="1"/>
  <c r="FM58" i="3"/>
  <c r="DP55" i="2" s="1"/>
  <c r="FM113" i="3"/>
  <c r="DO51" i="2"/>
  <c r="DO50" i="2"/>
  <c r="DM61" i="2"/>
  <c r="DM60" i="2"/>
  <c r="FD318" i="3"/>
  <c r="EA77" i="3"/>
  <c r="EB77" i="3" s="1"/>
  <c r="DZ76" i="3"/>
  <c r="EA76" i="3" s="1"/>
  <c r="FK156" i="3"/>
  <c r="FK150" i="3"/>
  <c r="FL156" i="3"/>
  <c r="DO58" i="2" s="1"/>
  <c r="FL150" i="3"/>
  <c r="FF316" i="3"/>
  <c r="FG317" i="3"/>
  <c r="FN100" i="3"/>
  <c r="FO100" i="3" s="1"/>
  <c r="FO93" i="3"/>
  <c r="FM307" i="3" l="1"/>
  <c r="FN44" i="3"/>
  <c r="FO44" i="3" s="1"/>
  <c r="FN53" i="3"/>
  <c r="DQ52" i="2" s="1"/>
  <c r="FO37" i="3"/>
  <c r="FF318" i="3"/>
  <c r="EB76" i="3"/>
  <c r="EC77" i="3"/>
  <c r="FI315" i="3"/>
  <c r="FH314" i="3"/>
  <c r="ES305" i="3"/>
  <c r="ER308" i="3"/>
  <c r="FL303" i="3"/>
  <c r="DQ49" i="2"/>
  <c r="FJ104" i="3"/>
  <c r="DO61" i="2"/>
  <c r="DO60" i="2"/>
  <c r="FG312" i="3"/>
  <c r="FH313" i="3"/>
  <c r="FM129" i="3"/>
  <c r="FG316" i="3"/>
  <c r="FH317" i="3"/>
  <c r="DN58" i="2"/>
  <c r="DP57" i="2"/>
  <c r="DP56" i="2"/>
  <c r="FJ157" i="3"/>
  <c r="FJ158" i="3"/>
  <c r="FI152" i="3"/>
  <c r="FH74" i="3"/>
  <c r="FI62" i="3"/>
  <c r="FH153" i="3"/>
  <c r="FH106" i="3"/>
  <c r="FO54" i="3"/>
  <c r="EW49" i="2" s="1"/>
  <c r="EW51" i="2" s="1"/>
  <c r="DL61" i="2"/>
  <c r="DL59" i="2"/>
  <c r="DL60" i="2"/>
  <c r="EV58" i="2"/>
  <c r="DP51" i="2"/>
  <c r="DP50" i="2"/>
  <c r="FK309" i="3"/>
  <c r="FK104" i="3"/>
  <c r="FL102" i="3"/>
  <c r="FN58" i="3" l="1"/>
  <c r="DQ55" i="2" s="1"/>
  <c r="EW55" i="2" s="1"/>
  <c r="EW57" i="2" s="1"/>
  <c r="FN113" i="3"/>
  <c r="FN129" i="3" s="1"/>
  <c r="FO129" i="3" s="1"/>
  <c r="FN320" i="3"/>
  <c r="FN322" i="3" s="1"/>
  <c r="FO53" i="3"/>
  <c r="EW52" i="2" s="1"/>
  <c r="EW54" i="2" s="1"/>
  <c r="FN325" i="3"/>
  <c r="FG318" i="3"/>
  <c r="FM156" i="3"/>
  <c r="FM150" i="3"/>
  <c r="FM303" i="3"/>
  <c r="FK315" i="3"/>
  <c r="FI314" i="3"/>
  <c r="DN59" i="2"/>
  <c r="DN60" i="2"/>
  <c r="DN61" i="2"/>
  <c r="FI313" i="3"/>
  <c r="FH312" i="3"/>
  <c r="FN307" i="3"/>
  <c r="ED77" i="3"/>
  <c r="EC76" i="3"/>
  <c r="DQ51" i="2"/>
  <c r="DQ50" i="2"/>
  <c r="ET305" i="3"/>
  <c r="ES308" i="3"/>
  <c r="FI317" i="3"/>
  <c r="FH316" i="3"/>
  <c r="FL104" i="3"/>
  <c r="FL309" i="3"/>
  <c r="FM102" i="3"/>
  <c r="EV61" i="2"/>
  <c r="EV60" i="2"/>
  <c r="DQ54" i="2"/>
  <c r="DQ53" i="2"/>
  <c r="FI153" i="3"/>
  <c r="FK152" i="3"/>
  <c r="FO152" i="3" s="1"/>
  <c r="FI74" i="3"/>
  <c r="FJ74" i="3" s="1"/>
  <c r="FJ62" i="3"/>
  <c r="FK62" i="3"/>
  <c r="FI106" i="3"/>
  <c r="DO59" i="2"/>
  <c r="FO48" i="3"/>
  <c r="FO113" i="3" l="1"/>
  <c r="DQ56" i="2"/>
  <c r="DQ57" i="2"/>
  <c r="FN150" i="3"/>
  <c r="FO150" i="3" s="1"/>
  <c r="FN156" i="3"/>
  <c r="DQ58" i="2" s="1"/>
  <c r="DQ60" i="2" s="1"/>
  <c r="FK153" i="3"/>
  <c r="FL152" i="3"/>
  <c r="FK74" i="3"/>
  <c r="FL62" i="3"/>
  <c r="FK106" i="3"/>
  <c r="EE77" i="3"/>
  <c r="ED76" i="3"/>
  <c r="FH318" i="3"/>
  <c r="FK313" i="3"/>
  <c r="FI312" i="3"/>
  <c r="FO49" i="3"/>
  <c r="FO58" i="3"/>
  <c r="FI316" i="3"/>
  <c r="FK317" i="3"/>
  <c r="FN303" i="3"/>
  <c r="FJ106" i="3"/>
  <c r="FL315" i="3"/>
  <c r="FK314" i="3"/>
  <c r="FM104" i="3"/>
  <c r="FM309" i="3"/>
  <c r="FN102" i="3"/>
  <c r="EV305" i="3"/>
  <c r="ET308" i="3"/>
  <c r="DP58" i="2"/>
  <c r="DQ61" i="2" l="1"/>
  <c r="FO156" i="3"/>
  <c r="FI318" i="3"/>
  <c r="FM152" i="3"/>
  <c r="FL153" i="3"/>
  <c r="FL74" i="3"/>
  <c r="FM62" i="3"/>
  <c r="FL106" i="3"/>
  <c r="EW305" i="3"/>
  <c r="EV308" i="3"/>
  <c r="FO153" i="3"/>
  <c r="DP60" i="2"/>
  <c r="DP61" i="2"/>
  <c r="DP59" i="2"/>
  <c r="EW58" i="2"/>
  <c r="FN309" i="3"/>
  <c r="FO102" i="3"/>
  <c r="FN104" i="3"/>
  <c r="DQ59" i="2"/>
  <c r="EF77" i="3"/>
  <c r="EG77" i="3" s="1"/>
  <c r="EE76" i="3"/>
  <c r="EF76" i="3" s="1"/>
  <c r="FL314" i="3"/>
  <c r="FM315" i="3"/>
  <c r="FL313" i="3"/>
  <c r="FK312" i="3"/>
  <c r="FL317" i="3"/>
  <c r="FK316" i="3"/>
  <c r="FO157" i="3"/>
  <c r="FO158" i="3"/>
  <c r="FL316" i="3" l="1"/>
  <c r="FM317" i="3"/>
  <c r="EW61" i="2"/>
  <c r="EW60" i="2"/>
  <c r="EX305" i="3"/>
  <c r="EW308" i="3"/>
  <c r="FN152" i="3"/>
  <c r="FN62" i="3"/>
  <c r="FM153" i="3"/>
  <c r="FM74" i="3"/>
  <c r="FM106" i="3"/>
  <c r="FK318" i="3"/>
  <c r="EH77" i="3"/>
  <c r="EG76" i="3"/>
  <c r="FL312" i="3"/>
  <c r="FL318" i="3" s="1"/>
  <c r="FM313" i="3"/>
  <c r="FN315" i="3"/>
  <c r="FN314" i="3" s="1"/>
  <c r="FM314" i="3"/>
  <c r="FO104" i="3"/>
  <c r="FN313" i="3" l="1"/>
  <c r="FN312" i="3" s="1"/>
  <c r="FM312" i="3"/>
  <c r="EY305" i="3"/>
  <c r="EX308" i="3"/>
  <c r="FN153" i="3"/>
  <c r="FN74" i="3"/>
  <c r="FO74" i="3" s="1"/>
  <c r="FO62" i="3"/>
  <c r="FN106" i="3"/>
  <c r="FM316" i="3"/>
  <c r="FN317" i="3"/>
  <c r="FN316" i="3" s="1"/>
  <c r="EH76" i="3"/>
  <c r="EI77" i="3"/>
  <c r="EJ77" i="3" l="1"/>
  <c r="EI76" i="3"/>
  <c r="FO106" i="3"/>
  <c r="FM318" i="3"/>
  <c r="FA305" i="3"/>
  <c r="EY308" i="3"/>
  <c r="FN318" i="3"/>
  <c r="FB305" i="3" l="1"/>
  <c r="FA308" i="3"/>
  <c r="EJ76" i="3"/>
  <c r="EK76" i="3" s="1"/>
  <c r="EK77" i="3"/>
  <c r="EL77" i="3" s="1"/>
  <c r="EL76" i="3" l="1"/>
  <c r="EM77" i="3"/>
  <c r="FC305" i="3"/>
  <c r="FB308" i="3"/>
  <c r="EM76" i="3" l="1"/>
  <c r="EN77" i="3"/>
  <c r="FD305" i="3"/>
  <c r="FC308" i="3"/>
  <c r="FF305" i="3" l="1"/>
  <c r="FD308" i="3"/>
  <c r="EN76" i="3"/>
  <c r="EO77" i="3"/>
  <c r="EO76" i="3" l="1"/>
  <c r="EP76" i="3" s="1"/>
  <c r="EP77" i="3"/>
  <c r="EQ77" i="3" s="1"/>
  <c r="FG305" i="3"/>
  <c r="FF308" i="3"/>
  <c r="ER77" i="3" l="1"/>
  <c r="ES77" i="3" s="1"/>
  <c r="ET77" i="3" s="1"/>
  <c r="EQ76" i="3"/>
  <c r="ER76" i="3" s="1"/>
  <c r="FH305" i="3"/>
  <c r="FG308" i="3"/>
  <c r="ER78" i="3" l="1"/>
  <c r="ER86" i="3" s="1"/>
  <c r="ES76" i="3"/>
  <c r="FI305" i="3"/>
  <c r="FH308" i="3"/>
  <c r="EV77" i="3"/>
  <c r="EW77" i="3" s="1"/>
  <c r="EX77" i="3" s="1"/>
  <c r="EY77" i="3" s="1"/>
  <c r="EU77" i="3"/>
  <c r="FA77" i="3" l="1"/>
  <c r="FB77" i="3" s="1"/>
  <c r="FC77" i="3" s="1"/>
  <c r="FD77" i="3" s="1"/>
  <c r="EZ77" i="3"/>
  <c r="ET76" i="3"/>
  <c r="ES78" i="3"/>
  <c r="ES86" i="3" s="1"/>
  <c r="FK305" i="3"/>
  <c r="FI308" i="3"/>
  <c r="FL305" i="3" l="1"/>
  <c r="FK308" i="3"/>
  <c r="EU76" i="3"/>
  <c r="ET78" i="3"/>
  <c r="EV76" i="3"/>
  <c r="FF77" i="3"/>
  <c r="FG77" i="3" s="1"/>
  <c r="FH77" i="3" s="1"/>
  <c r="FI77" i="3" s="1"/>
  <c r="FE77" i="3"/>
  <c r="FJ77" i="3" l="1"/>
  <c r="FK77" i="3"/>
  <c r="FL77" i="3" s="1"/>
  <c r="FM77" i="3" s="1"/>
  <c r="FN77" i="3" s="1"/>
  <c r="FO77" i="3" s="1"/>
  <c r="EV78" i="3"/>
  <c r="EV86" i="3" s="1"/>
  <c r="EW76" i="3"/>
  <c r="EU78" i="3"/>
  <c r="ET86" i="3"/>
  <c r="FM305" i="3"/>
  <c r="FL308" i="3"/>
  <c r="EU86" i="3" l="1"/>
  <c r="EW78" i="3"/>
  <c r="EW86" i="3" s="1"/>
  <c r="EX76" i="3"/>
  <c r="FN305" i="3"/>
  <c r="FN308" i="3" s="1"/>
  <c r="FM308" i="3"/>
  <c r="EX78" i="3" l="1"/>
  <c r="EX86" i="3" s="1"/>
  <c r="EY76" i="3"/>
  <c r="EZ76" i="3" l="1"/>
  <c r="EY78" i="3"/>
  <c r="FA76" i="3"/>
  <c r="FB76" i="3" l="1"/>
  <c r="FA78" i="3"/>
  <c r="FA86" i="3" s="1"/>
  <c r="EZ78" i="3"/>
  <c r="EY86" i="3"/>
  <c r="EZ86" i="3" l="1"/>
  <c r="FB78" i="3"/>
  <c r="FB86" i="3" s="1"/>
  <c r="FC76" i="3"/>
  <c r="FD76" i="3" l="1"/>
  <c r="FC78" i="3"/>
  <c r="FC86" i="3" s="1"/>
  <c r="FF76" i="3" l="1"/>
  <c r="FD78" i="3"/>
  <c r="FE76" i="3"/>
  <c r="FE78" i="3" l="1"/>
  <c r="FD86" i="3"/>
  <c r="FF78" i="3"/>
  <c r="FF86" i="3" s="1"/>
  <c r="FG76" i="3"/>
  <c r="FH76" i="3" l="1"/>
  <c r="FG78" i="3"/>
  <c r="FG86" i="3" s="1"/>
  <c r="FE86" i="3"/>
  <c r="FH78" i="3" l="1"/>
  <c r="FH86" i="3" s="1"/>
  <c r="FI76" i="3"/>
  <c r="FI78" i="3" l="1"/>
  <c r="FK76" i="3"/>
  <c r="FJ76" i="3"/>
  <c r="FL76" i="3" l="1"/>
  <c r="FK78" i="3"/>
  <c r="FK86" i="3" s="1"/>
  <c r="FJ78" i="3"/>
  <c r="FI86" i="3"/>
  <c r="FJ86" i="3" l="1"/>
  <c r="FL78" i="3"/>
  <c r="FL86" i="3" s="1"/>
  <c r="FM76" i="3"/>
  <c r="FM78" i="3" l="1"/>
  <c r="FM86" i="3" s="1"/>
  <c r="FN76" i="3"/>
  <c r="FN78" i="3" l="1"/>
  <c r="FO76" i="3"/>
  <c r="FO78" i="3" l="1"/>
  <c r="FN86" i="3"/>
  <c r="FO86" i="3" l="1"/>
</calcChain>
</file>

<file path=xl/sharedStrings.xml><?xml version="1.0" encoding="utf-8"?>
<sst xmlns="http://schemas.openxmlformats.org/spreadsheetml/2006/main" count="2571" uniqueCount="617">
  <si>
    <t>Nvidia (NVDA)</t>
  </si>
  <si>
    <t>Semiconductors</t>
  </si>
  <si>
    <t>Last updated: 05/20/26</t>
  </si>
  <si>
    <t>James Schneider, Ph.D</t>
  </si>
  <si>
    <t>jim.schneider@gs.com</t>
  </si>
  <si>
    <t>212-357-2929</t>
  </si>
  <si>
    <t>Anmol Makkar</t>
  </si>
  <si>
    <t>anmol.makkar@gs.com</t>
  </si>
  <si>
    <t>212-357-1366</t>
  </si>
  <si>
    <t>Lal Kablan</t>
  </si>
  <si>
    <t>lal.kablan@gs.com</t>
  </si>
  <si>
    <t>Luya You</t>
  </si>
  <si>
    <t>luya.you@gs.com</t>
  </si>
  <si>
    <t>Khalil Fenina</t>
  </si>
  <si>
    <t>khalil.fenina@gs.com</t>
  </si>
  <si>
    <t>FY2Q21</t>
  </si>
  <si>
    <t>FY3Q21</t>
  </si>
  <si>
    <t>FY4Q21</t>
  </si>
  <si>
    <t>FY1Q22</t>
  </si>
  <si>
    <t>FY2Q22</t>
  </si>
  <si>
    <t>FY3Q22</t>
  </si>
  <si>
    <t>FY4Q22</t>
  </si>
  <si>
    <t>FY1Q23</t>
  </si>
  <si>
    <t>FY2Q23</t>
  </si>
  <si>
    <t>FY3Q23</t>
  </si>
  <si>
    <t>FY4Q23</t>
  </si>
  <si>
    <t>FY1Q24</t>
  </si>
  <si>
    <t>FY2Q24</t>
  </si>
  <si>
    <t>FY3Q24</t>
  </si>
  <si>
    <t>FY4Q24</t>
  </si>
  <si>
    <t>FY1Q25</t>
  </si>
  <si>
    <t>FY2Q25</t>
  </si>
  <si>
    <t>FY3Q25</t>
  </si>
  <si>
    <t>FY4Q25</t>
  </si>
  <si>
    <t>FY1Q26</t>
  </si>
  <si>
    <t>FY2Q26</t>
  </si>
  <si>
    <t>FY3Q26</t>
  </si>
  <si>
    <t>FY4Q26</t>
  </si>
  <si>
    <t>FY1Q27</t>
  </si>
  <si>
    <t>FY2Q27E</t>
  </si>
  <si>
    <t>FY3Q27E</t>
  </si>
  <si>
    <t>FY4Q27E</t>
  </si>
  <si>
    <t>FY1Q28E</t>
  </si>
  <si>
    <t>FY2Q28E</t>
  </si>
  <si>
    <t>FY3Q28E</t>
  </si>
  <si>
    <t>FY4Q28E</t>
  </si>
  <si>
    <t>FY1Q29E</t>
  </si>
  <si>
    <t>FY2Q29E</t>
  </si>
  <si>
    <t>FY3Q29E</t>
  </si>
  <si>
    <t>FY4Q29E</t>
  </si>
  <si>
    <t>FY1Q30E</t>
  </si>
  <si>
    <t>FY2Q30E</t>
  </si>
  <si>
    <t>FY3Q30E</t>
  </si>
  <si>
    <t>FY4Q30E</t>
  </si>
  <si>
    <t>FY1Q31E</t>
  </si>
  <si>
    <t>FY2Q31E</t>
  </si>
  <si>
    <t>FY3Q31E</t>
  </si>
  <si>
    <t>FY4Q31E</t>
  </si>
  <si>
    <t>FY15</t>
  </si>
  <si>
    <t>FY16</t>
  </si>
  <si>
    <t>FY17</t>
  </si>
  <si>
    <t>FY18</t>
  </si>
  <si>
    <t>FY19</t>
  </si>
  <si>
    <t>FY20</t>
  </si>
  <si>
    <t>FY21</t>
  </si>
  <si>
    <t>FY22</t>
  </si>
  <si>
    <t>FY23</t>
  </si>
  <si>
    <t>FY24</t>
  </si>
  <si>
    <t>FY25</t>
  </si>
  <si>
    <t>FY26</t>
  </si>
  <si>
    <t>FY27E</t>
  </si>
  <si>
    <t>FY28E</t>
  </si>
  <si>
    <t>FY29E</t>
  </si>
  <si>
    <t>FY30E</t>
  </si>
  <si>
    <t>FY31E</t>
  </si>
  <si>
    <t>MLNX</t>
  </si>
  <si>
    <t>1Q01</t>
  </si>
  <si>
    <t>2Q01</t>
  </si>
  <si>
    <t>3Q01</t>
  </si>
  <si>
    <t>4Q01</t>
  </si>
  <si>
    <t>1Q02</t>
  </si>
  <si>
    <t>2Q02</t>
  </si>
  <si>
    <t>3Q02</t>
  </si>
  <si>
    <t>4Q02</t>
  </si>
  <si>
    <t>1Q03</t>
  </si>
  <si>
    <t>2Q03</t>
  </si>
  <si>
    <t>3Q03</t>
  </si>
  <si>
    <t>4Q03</t>
  </si>
  <si>
    <t>1Q04</t>
  </si>
  <si>
    <t>2Q04</t>
  </si>
  <si>
    <t>3Q04</t>
  </si>
  <si>
    <t>4Q04</t>
  </si>
  <si>
    <t>1Q05</t>
  </si>
  <si>
    <t>2Q05</t>
  </si>
  <si>
    <t>3Q05</t>
  </si>
  <si>
    <t>4Q05</t>
  </si>
  <si>
    <t>1Q06</t>
  </si>
  <si>
    <t>2Q06</t>
  </si>
  <si>
    <t>3Q06</t>
  </si>
  <si>
    <t>4Q06</t>
  </si>
  <si>
    <t>1Q07</t>
  </si>
  <si>
    <t>2Q07</t>
  </si>
  <si>
    <t>3Q07</t>
  </si>
  <si>
    <t>4Q07</t>
  </si>
  <si>
    <t>1Q08</t>
  </si>
  <si>
    <t>2Q08</t>
  </si>
  <si>
    <t>3Q08</t>
  </si>
  <si>
    <t>4Q08</t>
  </si>
  <si>
    <t>1Q09</t>
  </si>
  <si>
    <t>2Q09</t>
  </si>
  <si>
    <t>3Q09</t>
  </si>
  <si>
    <t>4Q09</t>
  </si>
  <si>
    <t>1Q10</t>
  </si>
  <si>
    <t>2Q10</t>
  </si>
  <si>
    <t>3Q10</t>
  </si>
  <si>
    <t>4Q10</t>
  </si>
  <si>
    <t>1Q11</t>
  </si>
  <si>
    <t>2Q11</t>
  </si>
  <si>
    <t>3Q11</t>
  </si>
  <si>
    <t>4Q11</t>
  </si>
  <si>
    <t>1Q12</t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</si>
  <si>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</si>
  <si>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</si>
  <si>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</si>
  <si>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</si>
  <si>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</si>
  <si>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</si>
  <si>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</si>
  <si>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</si>
  <si>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</si>
  <si>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</si>
  <si>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>4Q14</t>
  </si>
  <si>
    <t>1Q15</t>
  </si>
  <si>
    <t>2Q15</t>
  </si>
  <si>
    <t>3Q15</t>
  </si>
  <si>
    <t>4Q15</t>
  </si>
  <si>
    <t>1Q16</t>
  </si>
  <si>
    <t>2Q16</t>
  </si>
  <si>
    <t>3Q16</t>
  </si>
  <si>
    <t>4Q16</t>
  </si>
  <si>
    <t>1Q17</t>
  </si>
  <si>
    <t>2Q17</t>
  </si>
  <si>
    <t>3Q17</t>
  </si>
  <si>
    <t>4Q17</t>
  </si>
  <si>
    <t>1Q18</t>
  </si>
  <si>
    <t>2Q18</t>
  </si>
  <si>
    <t>3Q18</t>
  </si>
  <si>
    <t>4Q18</t>
  </si>
  <si>
    <t>1Q19</t>
  </si>
  <si>
    <t>2Q19</t>
  </si>
  <si>
    <t>3Q19</t>
  </si>
  <si>
    <t>4Q19</t>
  </si>
  <si>
    <t>1Q20</t>
  </si>
  <si>
    <t>2Q20</t>
  </si>
  <si>
    <t>3Q20</t>
  </si>
  <si>
    <t>4Q20</t>
  </si>
  <si>
    <t>1Q21</t>
  </si>
  <si>
    <t>2Q21</t>
  </si>
  <si>
    <t>3Q21</t>
  </si>
  <si>
    <t>4Q21</t>
  </si>
  <si>
    <t>1Q22</t>
  </si>
  <si>
    <t>2Q22</t>
  </si>
  <si>
    <t>3Q22</t>
  </si>
  <si>
    <t>4Q22</t>
  </si>
  <si>
    <t>1Q23</t>
  </si>
  <si>
    <t>2Q23</t>
  </si>
  <si>
    <t>3Q23</t>
  </si>
  <si>
    <t>4Q23</t>
  </si>
  <si>
    <t>1Q24</t>
  </si>
  <si>
    <t>2Q24</t>
  </si>
  <si>
    <t>3Q24</t>
  </si>
  <si>
    <t>4Q24</t>
  </si>
  <si>
    <t>1Q25</t>
  </si>
  <si>
    <t>2Q25</t>
  </si>
  <si>
    <t>3Q25</t>
  </si>
  <si>
    <t>4Q25</t>
  </si>
  <si>
    <t>1Q26</t>
  </si>
  <si>
    <t>2Q26E</t>
  </si>
  <si>
    <t>3Q26E</t>
  </si>
  <si>
    <t>4Q26E</t>
  </si>
  <si>
    <t>1Q27E</t>
  </si>
  <si>
    <t>2Q27E</t>
  </si>
  <si>
    <t>3Q27E</t>
  </si>
  <si>
    <t>4Q27E</t>
  </si>
  <si>
    <t>1Q28E</t>
  </si>
  <si>
    <t>2Q28E</t>
  </si>
  <si>
    <t>3Q28E</t>
  </si>
  <si>
    <t>4Q28E</t>
  </si>
  <si>
    <t>1Q29E</t>
  </si>
  <si>
    <t>2Q29E</t>
  </si>
  <si>
    <t>3Q29E</t>
  </si>
  <si>
    <t>4Q29E</t>
  </si>
  <si>
    <t>1Q30E</t>
  </si>
  <si>
    <t>2Q30E</t>
  </si>
  <si>
    <t>3Q30E</t>
  </si>
  <si>
    <t>4Q30E</t>
  </si>
  <si>
    <t>Calendar year</t>
  </si>
  <si>
    <t>NVDA</t>
  </si>
  <si>
    <t>4/31/2008</t>
  </si>
  <si>
    <t>4/31/2009</t>
  </si>
  <si>
    <t>4/31/2010</t>
  </si>
  <si>
    <t>4/31/2011</t>
  </si>
  <si>
    <t>4/31/2012</t>
  </si>
  <si>
    <t>4/31/2013</t>
  </si>
  <si>
    <t>4/31/14</t>
  </si>
  <si>
    <t>4/31/15</t>
  </si>
  <si>
    <t>4/31/16</t>
  </si>
  <si>
    <t>4/31/2017</t>
  </si>
  <si>
    <t>4/31/18</t>
  </si>
  <si>
    <t>4/31/19</t>
  </si>
  <si>
    <t>4/31/20</t>
  </si>
  <si>
    <t>4/31/21</t>
  </si>
  <si>
    <t>4/31/22</t>
  </si>
  <si>
    <t>4/31/23</t>
  </si>
  <si>
    <t>4/31/24</t>
  </si>
  <si>
    <t>4/31/25</t>
  </si>
  <si>
    <t>4/31/26</t>
  </si>
  <si>
    <t>2026E</t>
  </si>
  <si>
    <t>2027E</t>
  </si>
  <si>
    <t>2028E</t>
  </si>
  <si>
    <t>2029E</t>
  </si>
  <si>
    <t>2030E</t>
  </si>
  <si>
    <t>Revenue</t>
  </si>
  <si>
    <t>qoq</t>
  </si>
  <si>
    <t>--</t>
  </si>
  <si>
    <t>yoy</t>
  </si>
  <si>
    <t>COGS (incl D&amp;A)</t>
  </si>
  <si>
    <t>Depreciation</t>
  </si>
  <si>
    <t>as a % of revenue</t>
  </si>
  <si>
    <t>Gross profit</t>
  </si>
  <si>
    <t>as a % of revenue (ex SBC)</t>
  </si>
  <si>
    <t>SBC in GM</t>
  </si>
  <si>
    <t>Opex (incl SBC)</t>
  </si>
  <si>
    <t>Opex (ex SBC)</t>
  </si>
  <si>
    <t>SBC in opex</t>
  </si>
  <si>
    <t>R&amp;D</t>
  </si>
  <si>
    <t>SBC in R&amp;D</t>
  </si>
  <si>
    <t>SG&amp;A</t>
  </si>
  <si>
    <t>SBC in SGA</t>
  </si>
  <si>
    <t>Op profit (incl SBC)</t>
  </si>
  <si>
    <t>Op profit (ex SBC)</t>
  </si>
  <si>
    <t>Op EPS</t>
  </si>
  <si>
    <t>Op EPS (ex ESO)</t>
  </si>
  <si>
    <t>GAAP EPS</t>
  </si>
  <si>
    <t>FCF</t>
  </si>
  <si>
    <t>as a % of sales</t>
  </si>
  <si>
    <t>Net Cash</t>
  </si>
  <si>
    <t>Non-GAAP Dil Shares</t>
  </si>
  <si>
    <t>Rev</t>
  </si>
  <si>
    <t>Inventory</t>
  </si>
  <si>
    <t>GP</t>
  </si>
  <si>
    <t>opex</t>
  </si>
  <si>
    <t>op profit</t>
  </si>
  <si>
    <t>DOI (TTM)</t>
  </si>
  <si>
    <t>DOI (NTM)</t>
  </si>
  <si>
    <t>AR</t>
  </si>
  <si>
    <t>Segment Revenue</t>
  </si>
  <si>
    <t>Gaming</t>
  </si>
  <si>
    <t>% total</t>
  </si>
  <si>
    <t>Crypto</t>
  </si>
  <si>
    <t>Professional Visualization</t>
  </si>
  <si>
    <t>Data Center</t>
  </si>
  <si>
    <t>Classic Data Center (Compute)</t>
  </si>
  <si>
    <t>Classic Mellanox (Networking)</t>
  </si>
  <si>
    <t>Automotive</t>
  </si>
  <si>
    <t>OEM &amp; Other</t>
  </si>
  <si>
    <t>Non-Crypto GPU</t>
  </si>
  <si>
    <t>Crypto Mining Processor (CMP)</t>
  </si>
  <si>
    <t>`</t>
  </si>
  <si>
    <t>Tegra Misc (tablet, home, IoT, etc)</t>
  </si>
  <si>
    <t>% of total</t>
  </si>
  <si>
    <t>IP</t>
  </si>
  <si>
    <t>Total</t>
  </si>
  <si>
    <t>Edge Computing</t>
  </si>
  <si>
    <t>Check</t>
  </si>
  <si>
    <t>Gross margin breakout</t>
  </si>
  <si>
    <t>Gaming (GeForce)</t>
  </si>
  <si>
    <t>GM assumption</t>
  </si>
  <si>
    <t>Pro Vis (Quadro)</t>
  </si>
  <si>
    <t>OEM</t>
  </si>
  <si>
    <t>GM%</t>
  </si>
  <si>
    <t>Revenue by geography (ship-to basis)</t>
  </si>
  <si>
    <t>company headquarters basis for 2023-25</t>
  </si>
  <si>
    <t>Taiwan</t>
  </si>
  <si>
    <t>China (incl Hong Kong)</t>
  </si>
  <si>
    <t>Other APAC</t>
  </si>
  <si>
    <t>United States</t>
  </si>
  <si>
    <t>Europe</t>
  </si>
  <si>
    <t>Other countries</t>
  </si>
  <si>
    <t>Singapore</t>
  </si>
  <si>
    <t>as a % of total</t>
  </si>
  <si>
    <t>Euope</t>
  </si>
  <si>
    <t>Revenue by customer</t>
  </si>
  <si>
    <t>Direct Customers (ODMs, OEMs)</t>
  </si>
  <si>
    <t>Customer A</t>
  </si>
  <si>
    <t>Customer B</t>
  </si>
  <si>
    <t>Customer C</t>
  </si>
  <si>
    <t>Customer D</t>
  </si>
  <si>
    <t>Customer E</t>
  </si>
  <si>
    <t>End Customers</t>
  </si>
  <si>
    <t>Customer X</t>
  </si>
  <si>
    <t>Customer Y</t>
  </si>
  <si>
    <t>No of indirect customers (&gt;10%)</t>
  </si>
  <si>
    <t>Microsoft</t>
  </si>
  <si>
    <t>10-Q Details</t>
  </si>
  <si>
    <t>Fiscal Year</t>
  </si>
  <si>
    <t>2031 and thereafter</t>
  </si>
  <si>
    <t xml:space="preserve">Total </t>
  </si>
  <si>
    <t>Multi-year Cloud Service Agreements (incl in above)</t>
  </si>
  <si>
    <t>Short term Prepaid supply and capacity agreements</t>
  </si>
  <si>
    <t>NA</t>
  </si>
  <si>
    <t>Excess inventory purchase obligations</t>
  </si>
  <si>
    <t>Misc Breakout</t>
  </si>
  <si>
    <t>OEM GPU</t>
  </si>
  <si>
    <t>Tegra Infotainment (auto)</t>
  </si>
  <si>
    <t>Gaming + OEM Gaming</t>
  </si>
  <si>
    <t>Graphics</t>
  </si>
  <si>
    <t>Compute &amp; Networking</t>
  </si>
  <si>
    <t>MISC - DON'T DELETE</t>
  </si>
  <si>
    <t>Product breakout</t>
  </si>
  <si>
    <t>Tegra</t>
  </si>
  <si>
    <t>GPU</t>
  </si>
  <si>
    <t>% of sales</t>
  </si>
  <si>
    <t>SGA</t>
  </si>
  <si>
    <t>Opex</t>
  </si>
  <si>
    <t>Dell</t>
  </si>
  <si>
    <t>HPE</t>
  </si>
  <si>
    <t>% total sales</t>
  </si>
  <si>
    <t>Infrastructure Solutions Group (ISG)</t>
  </si>
  <si>
    <t>Dell ISG - Servers and networking revenue</t>
  </si>
  <si>
    <t>Storage</t>
  </si>
  <si>
    <t>HPE - Compute + HPC&amp;MCS revenue</t>
  </si>
  <si>
    <t>Compute</t>
  </si>
  <si>
    <t>HPE - HPC &amp; MCS revenue</t>
  </si>
  <si>
    <t>A&amp;PS</t>
  </si>
  <si>
    <t>Nvidia</t>
  </si>
  <si>
    <t>Q198</t>
  </si>
  <si>
    <t>Q298</t>
  </si>
  <si>
    <t>Q398</t>
  </si>
  <si>
    <t>Q498</t>
  </si>
  <si>
    <t>FY</t>
  </si>
  <si>
    <t>Q199</t>
  </si>
  <si>
    <t>Q299</t>
  </si>
  <si>
    <t>Q399</t>
  </si>
  <si>
    <t>Q499</t>
  </si>
  <si>
    <t>Q100</t>
  </si>
  <si>
    <t>Q200</t>
  </si>
  <si>
    <t>Q300</t>
  </si>
  <si>
    <t>Q400</t>
  </si>
  <si>
    <t>Q101</t>
  </si>
  <si>
    <t>Q201</t>
  </si>
  <si>
    <t>Q301</t>
  </si>
  <si>
    <t>Q401</t>
  </si>
  <si>
    <t>Q102</t>
  </si>
  <si>
    <t>Q202</t>
  </si>
  <si>
    <t>Q302</t>
  </si>
  <si>
    <t>Q402</t>
  </si>
  <si>
    <t>Q103</t>
  </si>
  <si>
    <t>Q203</t>
  </si>
  <si>
    <t>Q303</t>
  </si>
  <si>
    <t>Q403</t>
  </si>
  <si>
    <t>Q104</t>
  </si>
  <si>
    <t>Q204</t>
  </si>
  <si>
    <t>Q304</t>
  </si>
  <si>
    <t>Q404</t>
  </si>
  <si>
    <t>2Q26</t>
  </si>
  <si>
    <t>3Q26</t>
  </si>
  <si>
    <t>4Q26</t>
  </si>
  <si>
    <t>1Q27</t>
  </si>
  <si>
    <t>4/31/2014</t>
  </si>
  <si>
    <t>4/31/2015</t>
  </si>
  <si>
    <t>4/31/2016</t>
  </si>
  <si>
    <t>4/31/2018</t>
  </si>
  <si>
    <t>4/31/2019</t>
  </si>
  <si>
    <t>4/31/2020</t>
  </si>
  <si>
    <t>4/31/2021</t>
  </si>
  <si>
    <t>4/31/2022</t>
  </si>
  <si>
    <t>4/31/27</t>
  </si>
  <si>
    <t>4/31/28</t>
  </si>
  <si>
    <t>4/31/29</t>
  </si>
  <si>
    <t>4/31/30</t>
  </si>
  <si>
    <t>Fiscal year ends January</t>
  </si>
  <si>
    <t>Nov</t>
  </si>
  <si>
    <t>Feb</t>
  </si>
  <si>
    <t>May</t>
  </si>
  <si>
    <t>Aug</t>
  </si>
  <si>
    <t>Nvidia  Income Statement</t>
  </si>
  <si>
    <t xml:space="preserve">   % Growth qoq</t>
  </si>
  <si>
    <t xml:space="preserve">   % Growth  yoy</t>
  </si>
  <si>
    <t>COGS (ex. D&amp;A)</t>
  </si>
  <si>
    <t>D&amp;A</t>
  </si>
  <si>
    <t>Gross Profit</t>
  </si>
  <si>
    <t xml:space="preserve">  Gross Margin</t>
  </si>
  <si>
    <t xml:space="preserve">  Gross Margin Leverage</t>
  </si>
  <si>
    <t>Operating Income</t>
  </si>
  <si>
    <t xml:space="preserve">  Operating Margin</t>
  </si>
  <si>
    <t xml:space="preserve">  Operating Margin Leverage</t>
  </si>
  <si>
    <t>Interest Expense</t>
  </si>
  <si>
    <t>Interest (Income)</t>
  </si>
  <si>
    <t>Net Interest Expense/(Income)</t>
  </si>
  <si>
    <t>Other Expense</t>
  </si>
  <si>
    <t>EBT</t>
  </si>
  <si>
    <t>Total Taxes</t>
  </si>
  <si>
    <t>Tax Rate</t>
  </si>
  <si>
    <t>Net Income - Recurring</t>
  </si>
  <si>
    <t>Extraordinary Gain (Loss)</t>
  </si>
  <si>
    <t>Goodwill amortization</t>
  </si>
  <si>
    <t>ESO Expense (pre tax)</t>
  </si>
  <si>
    <t>ESO Expense (net of tax)</t>
  </si>
  <si>
    <t>Net Income - Reported (GAAP)</t>
  </si>
  <si>
    <t>Shares outstanding - basic (GAAP)</t>
  </si>
  <si>
    <t>Dilution impact from convertible note</t>
  </si>
  <si>
    <t>Shares outstanding - diluted (non-GAAP)</t>
  </si>
  <si>
    <t>Shares outstanding - diluted (GAAP)</t>
  </si>
  <si>
    <t>Diluted EPS - Recurring (as if convertible not exercised)</t>
  </si>
  <si>
    <t>Diluted EPS - Recurring (as if convertible is exercised)</t>
  </si>
  <si>
    <t>Diluted EPS - Recurring (excl ESOs - Non-GAAP)</t>
  </si>
  <si>
    <t>Diluted EPS - Recurring (incl ESO)</t>
  </si>
  <si>
    <t>EBITDA</t>
  </si>
  <si>
    <t>Dividend per share</t>
  </si>
  <si>
    <t>GAAP Diluted EPS</t>
  </si>
  <si>
    <t>Nvidia Balance Sheet</t>
  </si>
  <si>
    <t>Cash and Equivalents</t>
  </si>
  <si>
    <t>Restricted Cash</t>
  </si>
  <si>
    <t>Marketable Securities</t>
  </si>
  <si>
    <t>DSO's</t>
  </si>
  <si>
    <t>Total Inventory</t>
  </si>
  <si>
    <t>Raw materials</t>
  </si>
  <si>
    <t>WIP</t>
  </si>
  <si>
    <t>Finished Goods</t>
  </si>
  <si>
    <t xml:space="preserve">Inventory Days </t>
  </si>
  <si>
    <t>Other Current Assets</t>
  </si>
  <si>
    <t>Current Assets</t>
  </si>
  <si>
    <t>P,P and E - Gross</t>
  </si>
  <si>
    <t>Accumulated Depreciation</t>
  </si>
  <si>
    <t>P,P and E - Net</t>
  </si>
  <si>
    <t>Other Assets:</t>
  </si>
  <si>
    <t>Deposits and other assets</t>
  </si>
  <si>
    <t>Prepaid and deferred taxes</t>
  </si>
  <si>
    <t>Goodwill and intangible assets, net</t>
  </si>
  <si>
    <t>Total Other Assets</t>
  </si>
  <si>
    <t>Total Assets</t>
  </si>
  <si>
    <t>Current Portion of Capital Leases</t>
  </si>
  <si>
    <t>AP</t>
  </si>
  <si>
    <t>Short Term Debt</t>
  </si>
  <si>
    <t>Accrued liabilities</t>
  </si>
  <si>
    <t>Current Liabilities</t>
  </si>
  <si>
    <t>Non-current capital leases</t>
  </si>
  <si>
    <t>Convertible note</t>
  </si>
  <si>
    <t>Other LT Debt</t>
  </si>
  <si>
    <t>Deferred Revenue and Other liabilities</t>
  </si>
  <si>
    <t>Total Liabilities</t>
  </si>
  <si>
    <t>Total Equity</t>
  </si>
  <si>
    <t>Total Liabilities and Equity</t>
  </si>
  <si>
    <t>Net Debt</t>
  </si>
  <si>
    <t>Net Debt/EBITDA</t>
  </si>
  <si>
    <t>check</t>
  </si>
  <si>
    <t>Nvidia Statement of Cash Flows</t>
  </si>
  <si>
    <t>Cash From Operations</t>
  </si>
  <si>
    <t>Net Income</t>
  </si>
  <si>
    <t>Deferred income taxes</t>
  </si>
  <si>
    <t>Amortization of deferred compensation</t>
  </si>
  <si>
    <t>Tax benefit from employee stock plans</t>
  </si>
  <si>
    <t>Other/stock-based comp</t>
  </si>
  <si>
    <t>Changes in certain assets and liabilities:</t>
  </si>
  <si>
    <t>Accounts receivable</t>
  </si>
  <si>
    <t>Prepaid expenses and other current assets</t>
  </si>
  <si>
    <t>Accounts payable</t>
  </si>
  <si>
    <t>Deferred revenue/Other LT Liab.</t>
  </si>
  <si>
    <t>Total Cash from Operating</t>
  </si>
  <si>
    <t>Cash From Investing</t>
  </si>
  <si>
    <t>Capex</t>
  </si>
  <si>
    <t>Other Changes in PP&amp;E</t>
  </si>
  <si>
    <t>Total Cash from Investing</t>
  </si>
  <si>
    <t>Capex/Sales</t>
  </si>
  <si>
    <t>Cash from Financing</t>
  </si>
  <si>
    <t>Debt Issued</t>
  </si>
  <si>
    <t>Debt Repaid</t>
  </si>
  <si>
    <t>Stock Issued</t>
  </si>
  <si>
    <t>Stock Repurchased</t>
  </si>
  <si>
    <t>Dividends Paid</t>
  </si>
  <si>
    <t>Dividends/other</t>
  </si>
  <si>
    <t>Total Cash From Financing</t>
  </si>
  <si>
    <t>Net Change in Cash</t>
  </si>
  <si>
    <t>Cash Beginning of Period</t>
  </si>
  <si>
    <t>Cash End of Period</t>
  </si>
  <si>
    <t>% shareholder return</t>
  </si>
  <si>
    <t>Legacy Revenue Model</t>
  </si>
  <si>
    <t>Desktop GPUs (incl. workstations through FY07)</t>
  </si>
  <si>
    <t>Market size (units)</t>
  </si>
  <si>
    <t>NVDA market share</t>
  </si>
  <si>
    <t>NVDA units (Professional broken-out starting FY08)</t>
  </si>
  <si>
    <t>ASP</t>
  </si>
  <si>
    <t>NVDA Revenues</t>
  </si>
  <si>
    <t xml:space="preserve">  % qoq</t>
  </si>
  <si>
    <t xml:space="preserve">  % yoy</t>
  </si>
  <si>
    <t>Gross Margin</t>
  </si>
  <si>
    <t>Operating Margin</t>
  </si>
  <si>
    <t>Operating Profit</t>
  </si>
  <si>
    <t>Notebook GPUs</t>
  </si>
  <si>
    <t>NVDA units</t>
  </si>
  <si>
    <t>Professional Solutions (workstation/enterprise and Tesla)</t>
  </si>
  <si>
    <t>NVDA Revenues (PSB)</t>
  </si>
  <si>
    <t>MCP (chipsets and motherboard GPUs)</t>
  </si>
  <si>
    <t>Game Consoles</t>
  </si>
  <si>
    <t>NVDA units into PS3 (Xbox up to 2005)</t>
  </si>
  <si>
    <t>Sony NRE/license revenues</t>
  </si>
  <si>
    <t>Tegra (auto and mobile)</t>
  </si>
  <si>
    <t xml:space="preserve">Licensing &amp; other </t>
  </si>
  <si>
    <t>Revenues</t>
  </si>
  <si>
    <t>Other OpM charges</t>
  </si>
  <si>
    <t>Consolidated</t>
  </si>
  <si>
    <t>Total Revenue</t>
  </si>
  <si>
    <t>Sequential Growth</t>
  </si>
  <si>
    <t>Overall Gross Margin</t>
  </si>
  <si>
    <t>Total Gross Profit</t>
  </si>
  <si>
    <t>Overall Operating Margin</t>
  </si>
  <si>
    <t>Total Operating Profit</t>
  </si>
  <si>
    <t>Revenue Distribution</t>
  </si>
  <si>
    <t>GPU revenue check</t>
  </si>
  <si>
    <t>GP OM check</t>
  </si>
  <si>
    <t>New reported segments</t>
  </si>
  <si>
    <t xml:space="preserve">GPU </t>
  </si>
  <si>
    <t>All other</t>
  </si>
  <si>
    <t>Nvidia reported mix</t>
  </si>
  <si>
    <t>PC OEM</t>
  </si>
  <si>
    <t>Enterprise (Quadro/GRID)</t>
  </si>
  <si>
    <t>HPC/Cloud (Tesla)</t>
  </si>
  <si>
    <t>Auto</t>
  </si>
  <si>
    <t>Mobile (smartphones, tablets)</t>
  </si>
  <si>
    <t>% of revenue</t>
  </si>
  <si>
    <t>PC gaming</t>
  </si>
  <si>
    <t>Tegra (non-auto)</t>
  </si>
  <si>
    <t>Non-auto (smartphones, tablets)</t>
  </si>
  <si>
    <t>Quantum</t>
  </si>
  <si>
    <t>Balance Sheet:</t>
  </si>
  <si>
    <t>Prepaid and deferred taxes (current portion)</t>
  </si>
  <si>
    <t>Goodwill</t>
  </si>
  <si>
    <t>Intangible assets, net</t>
  </si>
  <si>
    <t>Gross Intangible Assets</t>
  </si>
  <si>
    <t>Accumulated Amortization</t>
  </si>
  <si>
    <t>.</t>
  </si>
  <si>
    <t>Common stock</t>
  </si>
  <si>
    <t>Additional paid-in capital</t>
  </si>
  <si>
    <t>Deferred stock-based compensation</t>
  </si>
  <si>
    <t>Accumulated other comprehensive income, net</t>
  </si>
  <si>
    <t>Retained earnings</t>
  </si>
  <si>
    <t>Period end shares outstanding</t>
  </si>
  <si>
    <t>ESO expense in CGS</t>
  </si>
  <si>
    <t>ESO expense in  SG&amp;A</t>
  </si>
  <si>
    <t>ESO expense in R&amp;D</t>
  </si>
  <si>
    <t>Diluted EPS - Reported (as if convertible not exercised)</t>
  </si>
  <si>
    <t>Diluted EPS - Reported (as if convertible is exercised)</t>
  </si>
  <si>
    <t>Diluted EPS - Reported</t>
  </si>
  <si>
    <t>Stock option dilution</t>
  </si>
  <si>
    <t>Interest on convertible bond</t>
  </si>
  <si>
    <t>Times (1-tax rate)</t>
  </si>
  <si>
    <t xml:space="preserve">  Interest Add Back</t>
  </si>
  <si>
    <t>Adjusted Net Income Before Extras (as if convert is exercised)</t>
  </si>
  <si>
    <t>Adjusted Net Income After Extras (as if convert is exercised)</t>
  </si>
  <si>
    <t>Employees</t>
  </si>
  <si>
    <t>Sales per employee ($ thousand)</t>
  </si>
  <si>
    <t>Old reported segments</t>
  </si>
  <si>
    <t>PSB</t>
  </si>
  <si>
    <t>CPB</t>
  </si>
  <si>
    <t>Cloud Capex</t>
  </si>
  <si>
    <t>AMZN-AWS Capex</t>
  </si>
  <si>
    <t>META</t>
  </si>
  <si>
    <t>GOOGL</t>
  </si>
  <si>
    <t>MSFT</t>
  </si>
  <si>
    <t>ORCL</t>
  </si>
  <si>
    <t>CRM</t>
  </si>
  <si>
    <t>China</t>
  </si>
  <si>
    <t>Total cloud capex ($mn)</t>
  </si>
  <si>
    <t>NVIDIA Datacenter revenue</t>
  </si>
  <si>
    <t>Classic Nvidia (Compute)</t>
  </si>
  <si>
    <t>% of Web 2.0 capex</t>
  </si>
  <si>
    <t>qoq (%)</t>
  </si>
  <si>
    <t>yoy (%)</t>
  </si>
  <si>
    <t>NVDA DC Breakdown</t>
  </si>
  <si>
    <t>A100</t>
  </si>
  <si>
    <t>Units (k units)</t>
  </si>
  <si>
    <t>% of total units</t>
  </si>
  <si>
    <t>ASP ($)</t>
  </si>
  <si>
    <t>Total Revenue (mn)</t>
  </si>
  <si>
    <t>H100</t>
  </si>
  <si>
    <t>ASP ($'000)</t>
  </si>
  <si>
    <t>H200</t>
  </si>
  <si>
    <t>Total Revenue ($mn)</t>
  </si>
  <si>
    <t>Blackwell</t>
  </si>
  <si>
    <t>Blackwell Ultra</t>
  </si>
  <si>
    <t>Rubin</t>
  </si>
  <si>
    <t>Rubin Ultra</t>
  </si>
  <si>
    <t>Feynman</t>
  </si>
  <si>
    <t>DC Compute Revenue ($ mn)</t>
  </si>
  <si>
    <t>Units (k)</t>
  </si>
  <si>
    <t>Blended ASP ($)</t>
  </si>
  <si>
    <t>Calendar Year</t>
  </si>
  <si>
    <t>DESKTOP</t>
  </si>
  <si>
    <t>Nvidia units</t>
  </si>
  <si>
    <t>Nvidia ASP (GSe)</t>
  </si>
  <si>
    <t>vs Notebook ASP</t>
  </si>
  <si>
    <t>Nvidia revenue</t>
  </si>
  <si>
    <t>NOTEBOOK</t>
  </si>
  <si>
    <t>Total GPU</t>
  </si>
  <si>
    <t>% Desktop</t>
  </si>
  <si>
    <t>% Notebook</t>
  </si>
  <si>
    <t>---</t>
  </si>
  <si>
    <t>Nintendo Switch</t>
  </si>
  <si>
    <t>Units</t>
  </si>
  <si>
    <t>Total Gaming Revenue</t>
  </si>
  <si>
    <t>Revenue Build</t>
  </si>
  <si>
    <t>Infotainment</t>
  </si>
  <si>
    <t>% of automotive</t>
  </si>
  <si>
    <t>Content/car</t>
  </si>
  <si>
    <t>Non-Infotainment (ADAS + AI Cockpit)</t>
  </si>
  <si>
    <t>Total automotive revenue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</si>
</sst>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7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_);\(0.0%\);0.0%_);@_)"/>
    <numFmt numFmtId="165" formatCode="#,##0.0_);\(#,##0.0\);#,##0.0_);@_)"/>
    <numFmt numFmtId="166" formatCode="0%_);\(0%\);0%_);@_)"/>
    <numFmt numFmtId="167" formatCode="#,##0_);\(#,##0\);#,##0_);@_)"/>
    <numFmt numFmtId="168" formatCode="_(* #,##0_);_(* \(#,##0\);_(* &quot;-&quot;??_);_(@_)"/>
    <numFmt numFmtId="169" formatCode="mm/dd/yy"/>
    <numFmt numFmtId="170" formatCode="0.0%"/>
    <numFmt numFmtId="171" formatCode="&quot;$&quot;#,##0.0_);\(&quot;$&quot;#,##0.0\);&quot;$&quot;#,##0.0_);@_)"/>
    <numFmt numFmtId="172" formatCode="&quot;$&quot;#,##0.00"/>
    <numFmt numFmtId="173" formatCode="#,##0.0"/>
    <numFmt numFmtId="174" formatCode="0.00000"/>
    <numFmt numFmtId="175" formatCode="0.0"/>
    <numFmt numFmtId="176" formatCode="0.000"/>
    <numFmt numFmtId="177" formatCode="0.0000"/>
    <numFmt numFmtId="178" formatCode="#,##0.0_);[Red]\(#,##0.0\)"/>
    <numFmt numFmtId="179" formatCode="&quot;$&quot;#,##0.0"/>
    <numFmt numFmtId="180" formatCode="0.0%_);[Red]\(0.0%\)"/>
    <numFmt numFmtId="181" formatCode="0.0_);[Red]\(0.0\)"/>
    <numFmt numFmtId="182" formatCode="&quot;$&quot;#,##0.00_);\(&quot;$&quot;#,##0.00\);&quot;$&quot;#,##0.00_);@_)"/>
    <numFmt numFmtId="183" formatCode="&quot;$&quot;#,##0.000_);\(&quot;$&quot;#,##0.000\);&quot;$&quot;#,##0.000_);@_)"/>
    <numFmt numFmtId="184" formatCode="#,##0.000"/>
    <numFmt numFmtId="185" formatCode="#,##0.000_);[Red]\(#,##0.000\)"/>
    <numFmt numFmtId="186" formatCode="#,##0.0000000000000_);[Red]\(#,##0.0000000000000\)"/>
    <numFmt numFmtId="187" formatCode="0.00000000000000"/>
    <numFmt numFmtId="188" formatCode="0.000_);[Red]\(0.000\)"/>
    <numFmt numFmtId="189" formatCode="#,##0.000_);\(#,##0.000\);#,##0.000_);@_)"/>
    <numFmt numFmtId="190" formatCode="_(&quot;$&quot;* #,##0.000_);_(&quot;$&quot;* \(#,##0.000\);_(&quot;$&quot;* &quot;-&quot;??_);_(@_)"/>
    <numFmt numFmtId="191" formatCode="&quot;$&quot;#,##0.0_);[Red]\(&quot;$&quot;#,##0.0\)"/>
    <numFmt numFmtId="192" formatCode="_(* #,##0.000_);_(* \(#,##0.000\);_(* &quot;-&quot;??_);_(@_)"/>
    <numFmt numFmtId="193" formatCode="_(* #,##0.0000_);_(* \(#,##0.0000\);_(* &quot;-&quot;??_);_(@_)"/>
    <numFmt numFmtId="194" formatCode="_(* #,##0.0_);_(* \(#,##0.0\);_(* &quot;-&quot;??_);_(@_)"/>
    <numFmt numFmtId="195" formatCode="_(&quot;$&quot;* #,##0.0000_);_(&quot;$&quot;* \(#,##0.0000\);_(&quot;$&quot;* &quot;-&quot;??_);_(@_)"/>
  </numFmts>
  <fonts count="64">
    <font>
      <sz val="10"/>
      <name val="Arial"/>
    </font>
    <font>
      <sz val="11"/>
      <color theme="1"/>
      <name val="Calibri"/>
      <family val="2"/>
      <scheme val="minor"/>
    </font>
    <font>
      <sz val="10"/>
      <name val="GS TheSans"/>
      <family val="2"/>
    </font>
    <font>
      <b/>
      <sz val="26"/>
      <name val="Arial"/>
      <family val="2"/>
    </font>
    <font>
      <b/>
      <sz val="11"/>
      <color indexed="57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24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b/>
      <sz val="16"/>
      <color indexed="8"/>
      <name val="Arial"/>
      <family val="2"/>
    </font>
    <font>
      <b/>
      <sz val="12"/>
      <name val="Arial"/>
      <family val="2"/>
    </font>
    <font>
      <u/>
      <sz val="10"/>
      <color theme="10"/>
      <name val="Arial"/>
      <family val="2"/>
    </font>
    <font>
      <sz val="12"/>
      <color indexed="8"/>
      <name val="Arial"/>
      <family val="2"/>
    </font>
    <font>
      <u/>
      <sz val="11"/>
      <color theme="10"/>
      <name val="Univers LT Std 55"/>
      <family val="2"/>
    </font>
    <font>
      <sz val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sz val="8"/>
      <color rgb="FFFF0000"/>
      <name val="Arial"/>
      <family val="2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b/>
      <sz val="8"/>
      <color rgb="FF0000FF"/>
      <name val="Arial"/>
      <family val="2"/>
    </font>
    <font>
      <sz val="8"/>
      <color theme="1"/>
      <name val="Arial"/>
      <family val="2"/>
    </font>
    <font>
      <sz val="8"/>
      <color rgb="FF0000FF"/>
      <name val="Arial"/>
      <family val="2"/>
    </font>
    <font>
      <sz val="8"/>
      <color rgb="FFC00000"/>
      <name val="Arial"/>
      <family val="2"/>
    </font>
    <font>
      <i/>
      <sz val="8"/>
      <name val="Arial"/>
      <family val="2"/>
    </font>
    <font>
      <sz val="10"/>
      <color rgb="FFFF0000"/>
      <name val="Arial"/>
      <family val="2"/>
    </font>
    <font>
      <i/>
      <sz val="8"/>
      <color rgb="FF0000FF"/>
      <name val="Arial"/>
      <family val="2"/>
    </font>
    <font>
      <i/>
      <sz val="8"/>
      <color rgb="FFC00000"/>
      <name val="Arial"/>
      <family val="2"/>
    </font>
    <font>
      <b/>
      <i/>
      <sz val="8"/>
      <color rgb="FF0000FF"/>
      <name val="Arial"/>
      <family val="2"/>
    </font>
    <font>
      <b/>
      <u/>
      <sz val="8"/>
      <name val="Arial"/>
      <family val="2"/>
    </font>
    <font>
      <i/>
      <sz val="8"/>
      <color theme="1"/>
      <name val="Arial"/>
      <family val="2"/>
    </font>
    <font>
      <sz val="8"/>
      <color rgb="FFFF000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i/>
      <sz val="10"/>
      <color indexed="23"/>
      <name val="Arial"/>
      <family val="2"/>
    </font>
    <font>
      <sz val="10"/>
      <color indexed="52"/>
      <name val="Arial"/>
      <family val="2"/>
    </font>
    <font>
      <sz val="8"/>
      <name val="Times New Roman"/>
      <family val="1"/>
    </font>
    <font>
      <i/>
      <sz val="10"/>
      <color indexed="55"/>
      <name val="Arial"/>
      <family val="2"/>
    </font>
    <font>
      <i/>
      <sz val="10"/>
      <color indexed="9"/>
      <name val="Arial"/>
      <family val="2"/>
    </font>
    <font>
      <b/>
      <sz val="10"/>
      <color rgb="FF0000FF"/>
      <name val="Arial"/>
      <family val="2"/>
    </font>
    <font>
      <i/>
      <sz val="10"/>
      <name val="Arial"/>
      <family val="2"/>
    </font>
    <font>
      <sz val="10"/>
      <color rgb="FF0000FF"/>
      <name val="Arial"/>
      <family val="2"/>
    </font>
    <font>
      <sz val="8"/>
      <color indexed="18"/>
      <name val="Times New Roman"/>
      <family val="1"/>
    </font>
    <font>
      <b/>
      <sz val="10"/>
      <color rgb="FFFF0000"/>
      <name val="Arial"/>
      <family val="2"/>
    </font>
    <font>
      <b/>
      <i/>
      <sz val="10"/>
      <name val="Arial"/>
      <family val="2"/>
    </font>
    <font>
      <sz val="10"/>
      <color indexed="10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i/>
      <sz val="10"/>
      <color rgb="FFC00000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sz val="10"/>
      <color indexed="12"/>
      <name val="Arial"/>
      <family val="2"/>
    </font>
    <font>
      <u/>
      <sz val="10"/>
      <color indexed="12"/>
      <name val="Arial"/>
      <family val="2"/>
    </font>
    <font>
      <sz val="10"/>
      <color indexed="55"/>
      <name val="Wingdings 3"/>
      <family val="1"/>
      <charset val="2"/>
    </font>
    <font>
      <sz val="10"/>
      <color indexed="55"/>
      <name val="Arial"/>
      <family val="2"/>
    </font>
    <font>
      <i/>
      <sz val="10"/>
      <color indexed="12"/>
      <name val="Arial"/>
      <family val="2"/>
    </font>
    <font>
      <sz val="10"/>
      <color indexed="23"/>
      <name val="Arial"/>
      <family val="2"/>
    </font>
    <font>
      <i/>
      <sz val="10"/>
      <color indexed="60"/>
      <name val="Arial"/>
      <family val="2"/>
    </font>
    <font>
      <sz val="10"/>
      <color rgb="FF00B0F0"/>
      <name val="Arial"/>
      <family val="2"/>
    </font>
    <font>
      <b/>
      <sz val="10"/>
      <color rgb="FFFFCCCC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2"/>
      <color theme="0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 tint="-0.499984740745262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2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DashDotDot">
        <color theme="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24"/>
      </right>
      <top style="thin">
        <color indexed="64"/>
      </top>
      <bottom style="thin">
        <color indexed="64"/>
      </bottom>
      <diagonal/>
    </border>
    <border>
      <left style="mediumDashDotDot">
        <color theme="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2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DashDotDot">
        <color theme="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DashDotDot">
        <color theme="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DashDotDot">
        <color theme="4"/>
      </left>
      <right/>
      <top/>
      <bottom style="thin">
        <color indexed="64"/>
      </bottom>
      <diagonal/>
    </border>
  </borders>
  <cellStyleXfs count="20">
    <xf numFmtId="0" fontId="0" fillId="0" borderId="0">
      <alignment vertical="top"/>
    </xf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top"/>
    </xf>
    <xf numFmtId="0" fontId="2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6" fillId="0" borderId="0">
      <alignment vertical="top"/>
    </xf>
    <xf numFmtId="9" fontId="16" fillId="0" borderId="0" applyFont="0" applyFill="0" applyBorder="0" applyAlignment="0" applyProtection="0"/>
    <xf numFmtId="0" fontId="15" fillId="0" borderId="0"/>
    <xf numFmtId="178" fontId="37" fillId="0" borderId="0" applyFill="0" applyBorder="0" applyAlignment="0" applyProtection="0">
      <alignment horizontal="right"/>
      <protection locked="0"/>
    </xf>
    <xf numFmtId="180" fontId="43" fillId="0" borderId="0" applyFill="0" applyBorder="0" applyAlignment="0" applyProtection="0"/>
    <xf numFmtId="9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" fillId="0" borderId="0">
      <alignment vertical="top"/>
    </xf>
    <xf numFmtId="44" fontId="1" fillId="0" borderId="0" applyFont="0" applyFill="0" applyBorder="0" applyAlignment="0" applyProtection="0"/>
    <xf numFmtId="0" fontId="1" fillId="0" borderId="0"/>
  </cellStyleXfs>
  <cellXfs count="798">
    <xf numFmtId="0" fontId="0" fillId="0" borderId="0" xfId="0">
      <alignment vertical="top"/>
    </xf>
    <xf numFmtId="0" fontId="3" fillId="2" borderId="0" xfId="5" applyFont="1" applyFill="1" applyAlignment="1">
      <alignment horizontal="center"/>
    </xf>
    <xf numFmtId="15" fontId="4" fillId="2" borderId="0" xfId="5" quotePrefix="1" applyNumberFormat="1" applyFont="1" applyFill="1" applyAlignment="1" applyProtection="1">
      <alignment horizontal="center"/>
      <protection locked="0"/>
    </xf>
    <xf numFmtId="15" fontId="5" fillId="2" borderId="0" xfId="5" applyNumberFormat="1" applyFont="1" applyFill="1" applyAlignment="1">
      <alignment horizontal="center"/>
    </xf>
    <xf numFmtId="0" fontId="5" fillId="2" borderId="0" xfId="5" applyFont="1" applyFill="1"/>
    <xf numFmtId="49" fontId="6" fillId="2" borderId="0" xfId="5" applyNumberFormat="1" applyFont="1" applyFill="1" applyAlignment="1">
      <alignment horizontal="center"/>
    </xf>
    <xf numFmtId="0" fontId="5" fillId="3" borderId="0" xfId="5" applyFont="1" applyFill="1"/>
    <xf numFmtId="0" fontId="7" fillId="3" borderId="0" xfId="5" applyFont="1" applyFill="1"/>
    <xf numFmtId="0" fontId="8" fillId="3" borderId="0" xfId="5" applyFont="1" applyFill="1"/>
    <xf numFmtId="0" fontId="9" fillId="3" borderId="0" xfId="5" applyFont="1" applyFill="1"/>
    <xf numFmtId="0" fontId="5" fillId="4" borderId="0" xfId="5" applyFont="1" applyFill="1"/>
    <xf numFmtId="0" fontId="10" fillId="4" borderId="0" xfId="5" applyFont="1" applyFill="1"/>
    <xf numFmtId="0" fontId="11" fillId="5" borderId="0" xfId="5" applyFont="1" applyFill="1"/>
    <xf numFmtId="0" fontId="12" fillId="5" borderId="0" xfId="4" applyFill="1" applyAlignment="1" applyProtection="1"/>
    <xf numFmtId="0" fontId="5" fillId="5" borderId="0" xfId="5" applyFont="1" applyFill="1"/>
    <xf numFmtId="0" fontId="13" fillId="4" borderId="0" xfId="5" applyFont="1" applyFill="1"/>
    <xf numFmtId="0" fontId="14" fillId="5" borderId="0" xfId="6" applyFill="1" applyAlignment="1" applyProtection="1"/>
    <xf numFmtId="0" fontId="15" fillId="0" borderId="0" xfId="0" applyFont="1" applyAlignment="1">
      <alignment horizontal="right"/>
    </xf>
    <xf numFmtId="0" fontId="17" fillId="0" borderId="0" xfId="7" applyFont="1" applyAlignment="1">
      <alignment horizontal="right"/>
    </xf>
    <xf numFmtId="0" fontId="17" fillId="0" borderId="1" xfId="7" applyFont="1" applyBorder="1" applyAlignment="1">
      <alignment horizontal="right"/>
    </xf>
    <xf numFmtId="9" fontId="17" fillId="0" borderId="0" xfId="3" applyFont="1" applyFill="1" applyBorder="1" applyAlignment="1">
      <alignment horizontal="right"/>
    </xf>
    <xf numFmtId="3" fontId="17" fillId="0" borderId="0" xfId="7" applyNumberFormat="1" applyFont="1" applyAlignment="1">
      <alignment horizontal="right"/>
    </xf>
    <xf numFmtId="164" fontId="17" fillId="0" borderId="0" xfId="7" applyNumberFormat="1" applyFont="1" applyAlignment="1">
      <alignment horizontal="right"/>
    </xf>
    <xf numFmtId="165" fontId="17" fillId="0" borderId="0" xfId="7" applyNumberFormat="1" applyFont="1" applyAlignment="1">
      <alignment horizontal="right"/>
    </xf>
    <xf numFmtId="166" fontId="17" fillId="0" borderId="0" xfId="7" applyNumberFormat="1" applyFont="1" applyAlignment="1">
      <alignment horizontal="right"/>
    </xf>
    <xf numFmtId="0" fontId="17" fillId="0" borderId="0" xfId="0" applyFont="1" applyAlignment="1">
      <alignment horizontal="right"/>
    </xf>
    <xf numFmtId="3" fontId="17" fillId="0" borderId="0" xfId="0" applyNumberFormat="1" applyFont="1" applyAlignment="1">
      <alignment horizontal="right"/>
    </xf>
    <xf numFmtId="0" fontId="15" fillId="0" borderId="0" xfId="0" applyFont="1" applyAlignment="1"/>
    <xf numFmtId="167" fontId="17" fillId="0" borderId="0" xfId="7" applyNumberFormat="1" applyFont="1" applyAlignment="1">
      <alignment horizontal="right"/>
    </xf>
    <xf numFmtId="9" fontId="17" fillId="0" borderId="0" xfId="3" applyFont="1" applyFill="1" applyAlignment="1">
      <alignment horizontal="right"/>
    </xf>
    <xf numFmtId="9" fontId="18" fillId="0" borderId="0" xfId="3" applyFont="1" applyFill="1" applyAlignment="1">
      <alignment horizontal="right"/>
    </xf>
    <xf numFmtId="3" fontId="17" fillId="0" borderId="0" xfId="0" applyNumberFormat="1" applyFont="1" applyAlignment="1">
      <alignment horizontal="center"/>
    </xf>
    <xf numFmtId="3" fontId="18" fillId="0" borderId="0" xfId="7" applyNumberFormat="1" applyFont="1" applyAlignment="1">
      <alignment horizontal="right"/>
    </xf>
    <xf numFmtId="9" fontId="17" fillId="0" borderId="0" xfId="3" applyFont="1" applyFill="1" applyBorder="1" applyAlignment="1">
      <alignment horizontal="center"/>
    </xf>
    <xf numFmtId="168" fontId="17" fillId="0" borderId="0" xfId="1" applyNumberFormat="1" applyFont="1" applyFill="1" applyAlignment="1">
      <alignment horizontal="right"/>
    </xf>
    <xf numFmtId="3" fontId="17" fillId="0" borderId="0" xfId="0" applyNumberFormat="1" applyFont="1" applyAlignment="1"/>
    <xf numFmtId="4" fontId="18" fillId="0" borderId="0" xfId="0" applyNumberFormat="1" applyFont="1" applyAlignment="1"/>
    <xf numFmtId="0" fontId="0" fillId="0" borderId="0" xfId="0" applyAlignment="1"/>
    <xf numFmtId="0" fontId="17" fillId="0" borderId="0" xfId="0" applyFont="1" applyAlignment="1"/>
    <xf numFmtId="0" fontId="19" fillId="6" borderId="0" xfId="7" applyFont="1" applyFill="1" applyAlignment="1">
      <alignment horizontal="right"/>
    </xf>
    <xf numFmtId="0" fontId="19" fillId="6" borderId="1" xfId="7" applyFont="1" applyFill="1" applyBorder="1" applyAlignment="1">
      <alignment horizontal="right"/>
    </xf>
    <xf numFmtId="0" fontId="19" fillId="6" borderId="0" xfId="0" applyFont="1" applyFill="1" applyAlignment="1">
      <alignment horizontal="center"/>
    </xf>
    <xf numFmtId="0" fontId="19" fillId="6" borderId="0" xfId="0" applyFont="1" applyFill="1" applyAlignment="1"/>
    <xf numFmtId="0" fontId="19" fillId="6" borderId="0" xfId="7" applyFont="1" applyFill="1" applyAlignment="1">
      <alignment horizontal="left"/>
    </xf>
    <xf numFmtId="169" fontId="19" fillId="6" borderId="0" xfId="7" applyNumberFormat="1" applyFont="1" applyFill="1" applyAlignment="1">
      <alignment horizontal="right"/>
    </xf>
    <xf numFmtId="169" fontId="19" fillId="6" borderId="0" xfId="7" applyNumberFormat="1" applyFont="1" applyFill="1" applyAlignment="1"/>
    <xf numFmtId="169" fontId="19" fillId="6" borderId="1" xfId="7" applyNumberFormat="1" applyFont="1" applyFill="1" applyBorder="1" applyAlignment="1"/>
    <xf numFmtId="0" fontId="19" fillId="6" borderId="0" xfId="0" applyFont="1" applyFill="1" applyAlignment="1">
      <alignment horizontal="right"/>
    </xf>
    <xf numFmtId="3" fontId="21" fillId="0" borderId="0" xfId="0" applyNumberFormat="1" applyFont="1" applyAlignment="1"/>
    <xf numFmtId="3" fontId="15" fillId="0" borderId="0" xfId="0" applyNumberFormat="1" applyFont="1" applyAlignment="1"/>
    <xf numFmtId="164" fontId="15" fillId="0" borderId="0" xfId="0" applyNumberFormat="1" applyFont="1" applyAlignment="1"/>
    <xf numFmtId="170" fontId="15" fillId="0" borderId="0" xfId="0" applyNumberFormat="1" applyFont="1" applyAlignment="1">
      <alignment horizontal="left" indent="1"/>
    </xf>
    <xf numFmtId="170" fontId="15" fillId="0" borderId="0" xfId="0" applyNumberFormat="1" applyFont="1" applyAlignment="1"/>
    <xf numFmtId="170" fontId="23" fillId="0" borderId="0" xfId="0" applyNumberFormat="1" applyFont="1" applyAlignment="1"/>
    <xf numFmtId="170" fontId="15" fillId="0" borderId="0" xfId="0" quotePrefix="1" applyNumberFormat="1" applyFont="1" applyAlignment="1">
      <alignment horizontal="right"/>
    </xf>
    <xf numFmtId="170" fontId="23" fillId="0" borderId="0" xfId="0" quotePrefix="1" applyNumberFormat="1" applyFont="1" applyAlignment="1">
      <alignment horizontal="right"/>
    </xf>
    <xf numFmtId="170" fontId="15" fillId="0" borderId="0" xfId="0" applyNumberFormat="1" applyFont="1" applyAlignment="1">
      <alignment horizontal="center"/>
    </xf>
    <xf numFmtId="170" fontId="21" fillId="7" borderId="0" xfId="0" applyNumberFormat="1" applyFont="1" applyFill="1" applyAlignment="1"/>
    <xf numFmtId="170" fontId="15" fillId="0" borderId="0" xfId="0" applyNumberFormat="1" applyFont="1" applyAlignment="1">
      <alignment horizontal="left" indent="2"/>
    </xf>
    <xf numFmtId="170" fontId="15" fillId="0" borderId="0" xfId="3" applyNumberFormat="1" applyFont="1" applyAlignment="1"/>
    <xf numFmtId="170" fontId="15" fillId="0" borderId="0" xfId="3" applyNumberFormat="1" applyFont="1" applyFill="1" applyBorder="1" applyAlignment="1"/>
    <xf numFmtId="170" fontId="23" fillId="0" borderId="0" xfId="3" applyNumberFormat="1" applyFont="1" applyFill="1" applyBorder="1" applyAlignment="1"/>
    <xf numFmtId="170" fontId="15" fillId="0" borderId="0" xfId="3" applyNumberFormat="1" applyFont="1" applyFill="1" applyAlignment="1"/>
    <xf numFmtId="170" fontId="23" fillId="0" borderId="0" xfId="3" applyNumberFormat="1" applyFont="1" applyFill="1" applyAlignment="1"/>
    <xf numFmtId="170" fontId="24" fillId="0" borderId="0" xfId="3" applyNumberFormat="1" applyFont="1" applyFill="1" applyAlignment="1"/>
    <xf numFmtId="170" fontId="21" fillId="0" borderId="0" xfId="0" applyNumberFormat="1" applyFont="1" applyAlignment="1"/>
    <xf numFmtId="9" fontId="15" fillId="0" borderId="0" xfId="3" applyFont="1" applyFill="1" applyAlignment="1"/>
    <xf numFmtId="165" fontId="23" fillId="0" borderId="0" xfId="0" applyNumberFormat="1" applyFont="1" applyAlignment="1"/>
    <xf numFmtId="165" fontId="15" fillId="0" borderId="0" xfId="0" applyNumberFormat="1" applyFont="1" applyAlignment="1"/>
    <xf numFmtId="3" fontId="15" fillId="0" borderId="0" xfId="0" applyNumberFormat="1" applyFont="1" applyAlignment="1">
      <alignment horizontal="left" indent="1"/>
    </xf>
    <xf numFmtId="9" fontId="15" fillId="0" borderId="0" xfId="3" applyFont="1" applyAlignment="1"/>
    <xf numFmtId="9" fontId="15" fillId="0" borderId="0" xfId="3" applyFont="1" applyBorder="1" applyAlignment="1"/>
    <xf numFmtId="3" fontId="17" fillId="0" borderId="0" xfId="3" applyNumberFormat="1" applyFont="1" applyAlignment="1"/>
    <xf numFmtId="3" fontId="17" fillId="0" borderId="0" xfId="3" applyNumberFormat="1" applyFont="1" applyBorder="1" applyAlignment="1"/>
    <xf numFmtId="3" fontId="19" fillId="6" borderId="0" xfId="0" applyNumberFormat="1" applyFont="1" applyFill="1" applyAlignment="1"/>
    <xf numFmtId="3" fontId="19" fillId="6" borderId="0" xfId="0" applyNumberFormat="1" applyFont="1" applyFill="1" applyAlignment="1">
      <alignment horizontal="right"/>
    </xf>
    <xf numFmtId="3" fontId="17" fillId="4" borderId="0" xfId="0" applyNumberFormat="1" applyFont="1" applyFill="1" applyAlignment="1"/>
    <xf numFmtId="3" fontId="15" fillId="4" borderId="0" xfId="0" applyNumberFormat="1" applyFont="1" applyFill="1" applyAlignment="1"/>
    <xf numFmtId="3" fontId="21" fillId="4" borderId="0" xfId="0" applyNumberFormat="1" applyFont="1" applyFill="1" applyAlignment="1"/>
    <xf numFmtId="170" fontId="17" fillId="0" borderId="0" xfId="0" applyNumberFormat="1" applyFont="1" applyAlignment="1"/>
    <xf numFmtId="170" fontId="25" fillId="0" borderId="0" xfId="3" applyNumberFormat="1" applyFont="1" applyAlignment="1"/>
    <xf numFmtId="3" fontId="17" fillId="8" borderId="0" xfId="0" applyNumberFormat="1" applyFont="1" applyFill="1" applyAlignment="1">
      <alignment horizontal="left" indent="1"/>
    </xf>
    <xf numFmtId="3" fontId="15" fillId="8" borderId="0" xfId="0" applyNumberFormat="1" applyFont="1" applyFill="1" applyAlignment="1"/>
    <xf numFmtId="3" fontId="17" fillId="8" borderId="0" xfId="0" applyNumberFormat="1" applyFont="1" applyFill="1" applyAlignment="1"/>
    <xf numFmtId="3" fontId="21" fillId="8" borderId="0" xfId="0" applyNumberFormat="1" applyFont="1" applyFill="1" applyAlignment="1"/>
    <xf numFmtId="3" fontId="17" fillId="8" borderId="0" xfId="3" applyNumberFormat="1" applyFont="1" applyFill="1" applyAlignment="1"/>
    <xf numFmtId="3" fontId="17" fillId="8" borderId="0" xfId="3" applyNumberFormat="1" applyFont="1" applyFill="1" applyBorder="1" applyAlignment="1"/>
    <xf numFmtId="166" fontId="15" fillId="0" borderId="0" xfId="0" applyNumberFormat="1" applyFont="1" applyAlignment="1"/>
    <xf numFmtId="9" fontId="17" fillId="0" borderId="0" xfId="0" quotePrefix="1" applyNumberFormat="1" applyFont="1" applyAlignment="1">
      <alignment horizontal="right"/>
    </xf>
    <xf numFmtId="9" fontId="21" fillId="7" borderId="0" xfId="0" quotePrefix="1" applyNumberFormat="1" applyFont="1" applyFill="1" applyAlignment="1">
      <alignment horizontal="right"/>
    </xf>
    <xf numFmtId="165" fontId="18" fillId="0" borderId="0" xfId="0" applyNumberFormat="1" applyFont="1" applyAlignment="1"/>
    <xf numFmtId="170" fontId="25" fillId="0" borderId="0" xfId="0" applyNumberFormat="1" applyFont="1" applyAlignment="1"/>
    <xf numFmtId="170" fontId="16" fillId="0" borderId="0" xfId="0" applyNumberFormat="1" applyFont="1" applyAlignment="1">
      <alignment horizontal="left" indent="1"/>
    </xf>
    <xf numFmtId="167" fontId="15" fillId="0" borderId="0" xfId="0" applyNumberFormat="1" applyFont="1" applyAlignment="1"/>
    <xf numFmtId="3" fontId="17" fillId="4" borderId="0" xfId="0" applyNumberFormat="1" applyFont="1" applyFill="1" applyAlignment="1">
      <alignment horizontal="left" indent="1"/>
    </xf>
    <xf numFmtId="3" fontId="21" fillId="8" borderId="0" xfId="3" applyNumberFormat="1" applyFont="1" applyFill="1" applyBorder="1" applyAlignment="1"/>
    <xf numFmtId="3" fontId="17" fillId="7" borderId="0" xfId="0" applyNumberFormat="1" applyFont="1" applyFill="1" applyAlignment="1"/>
    <xf numFmtId="164" fontId="21" fillId="4" borderId="0" xfId="0" applyNumberFormat="1" applyFont="1" applyFill="1" applyAlignment="1"/>
    <xf numFmtId="9" fontId="21" fillId="4" borderId="0" xfId="3" applyFont="1" applyFill="1" applyAlignment="1"/>
    <xf numFmtId="2" fontId="23" fillId="0" borderId="0" xfId="0" applyNumberFormat="1" applyFont="1" applyAlignment="1"/>
    <xf numFmtId="170" fontId="27" fillId="0" borderId="0" xfId="0" applyNumberFormat="1" applyFont="1" applyAlignment="1"/>
    <xf numFmtId="168" fontId="27" fillId="0" borderId="0" xfId="1" applyNumberFormat="1" applyFont="1" applyBorder="1" applyAlignment="1"/>
    <xf numFmtId="167" fontId="17" fillId="0" borderId="0" xfId="0" applyNumberFormat="1" applyFont="1" applyAlignment="1"/>
    <xf numFmtId="3" fontId="17" fillId="0" borderId="0" xfId="3" applyNumberFormat="1" applyFont="1" applyFill="1" applyAlignment="1"/>
    <xf numFmtId="3" fontId="17" fillId="0" borderId="0" xfId="3" applyNumberFormat="1" applyFont="1" applyFill="1" applyBorder="1" applyAlignment="1"/>
    <xf numFmtId="1" fontId="17" fillId="0" borderId="0" xfId="0" applyNumberFormat="1" applyFont="1" applyAlignment="1"/>
    <xf numFmtId="3" fontId="28" fillId="0" borderId="0" xfId="0" applyNumberFormat="1" applyFont="1" applyAlignment="1"/>
    <xf numFmtId="170" fontId="23" fillId="0" borderId="0" xfId="0" applyNumberFormat="1" applyFont="1" applyAlignment="1">
      <alignment horizontal="left" indent="1"/>
    </xf>
    <xf numFmtId="170" fontId="28" fillId="0" borderId="0" xfId="0" applyNumberFormat="1" applyFont="1" applyAlignment="1"/>
    <xf numFmtId="3" fontId="18" fillId="4" borderId="0" xfId="0" applyNumberFormat="1" applyFont="1" applyFill="1" applyAlignment="1"/>
    <xf numFmtId="43" fontId="23" fillId="0" borderId="0" xfId="1" applyFont="1" applyFill="1" applyBorder="1" applyAlignment="1"/>
    <xf numFmtId="168" fontId="27" fillId="0" borderId="0" xfId="1" applyNumberFormat="1" applyFont="1" applyFill="1" applyBorder="1" applyAlignment="1"/>
    <xf numFmtId="1" fontId="27" fillId="0" borderId="0" xfId="0" applyNumberFormat="1" applyFont="1" applyAlignment="1"/>
    <xf numFmtId="164" fontId="28" fillId="0" borderId="0" xfId="0" applyNumberFormat="1" applyFont="1" applyAlignment="1"/>
    <xf numFmtId="9" fontId="17" fillId="0" borderId="0" xfId="3" applyFont="1" applyAlignment="1"/>
    <xf numFmtId="9" fontId="17" fillId="0" borderId="0" xfId="3" applyFont="1" applyBorder="1" applyAlignment="1"/>
    <xf numFmtId="9" fontId="21" fillId="0" borderId="0" xfId="3" applyFont="1" applyBorder="1" applyAlignment="1"/>
    <xf numFmtId="3" fontId="15" fillId="0" borderId="0" xfId="3" applyNumberFormat="1" applyFont="1" applyFill="1" applyBorder="1" applyAlignment="1"/>
    <xf numFmtId="3" fontId="21" fillId="0" borderId="0" xfId="3" applyNumberFormat="1" applyFont="1" applyFill="1" applyBorder="1" applyAlignment="1"/>
    <xf numFmtId="0" fontId="30" fillId="0" borderId="0" xfId="0" applyFont="1" applyAlignment="1"/>
    <xf numFmtId="9" fontId="17" fillId="0" borderId="0" xfId="3" applyFont="1" applyFill="1" applyAlignment="1"/>
    <xf numFmtId="9" fontId="17" fillId="0" borderId="0" xfId="3" applyFont="1" applyFill="1" applyBorder="1" applyAlignment="1"/>
    <xf numFmtId="9" fontId="21" fillId="0" borderId="0" xfId="3" applyFont="1" applyFill="1" applyBorder="1" applyAlignment="1"/>
    <xf numFmtId="3" fontId="19" fillId="0" borderId="0" xfId="0" applyNumberFormat="1" applyFont="1" applyAlignment="1"/>
    <xf numFmtId="3" fontId="19" fillId="0" borderId="0" xfId="0" applyNumberFormat="1" applyFont="1" applyAlignment="1">
      <alignment horizontal="right"/>
    </xf>
    <xf numFmtId="0" fontId="19" fillId="0" borderId="0" xfId="0" applyFont="1" applyAlignment="1">
      <alignment horizontal="right"/>
    </xf>
    <xf numFmtId="170" fontId="17" fillId="0" borderId="0" xfId="3" applyNumberFormat="1" applyFont="1" applyAlignment="1"/>
    <xf numFmtId="170" fontId="17" fillId="0" borderId="0" xfId="3" applyNumberFormat="1" applyFont="1" applyBorder="1" applyAlignment="1"/>
    <xf numFmtId="1" fontId="15" fillId="0" borderId="0" xfId="0" applyNumberFormat="1" applyFont="1" applyAlignment="1">
      <alignment horizontal="left"/>
    </xf>
    <xf numFmtId="3" fontId="15" fillId="0" borderId="0" xfId="0" applyNumberFormat="1" applyFont="1" applyAlignment="1">
      <alignment horizontal="right"/>
    </xf>
    <xf numFmtId="9" fontId="19" fillId="6" borderId="0" xfId="3" applyFont="1" applyFill="1" applyAlignment="1"/>
    <xf numFmtId="43" fontId="19" fillId="6" borderId="0" xfId="1" applyFont="1" applyFill="1" applyAlignment="1"/>
    <xf numFmtId="3" fontId="17" fillId="6" borderId="0" xfId="0" applyNumberFormat="1" applyFont="1" applyFill="1" applyAlignment="1"/>
    <xf numFmtId="3" fontId="19" fillId="9" borderId="0" xfId="0" applyNumberFormat="1" applyFont="1" applyFill="1" applyAlignment="1"/>
    <xf numFmtId="0" fontId="15" fillId="9" borderId="0" xfId="0" applyFont="1" applyFill="1" applyAlignment="1"/>
    <xf numFmtId="164" fontId="15" fillId="9" borderId="0" xfId="0" applyNumberFormat="1" applyFont="1" applyFill="1" applyAlignment="1"/>
    <xf numFmtId="165" fontId="24" fillId="0" borderId="0" xfId="0" applyNumberFormat="1" applyFont="1" applyAlignment="1"/>
    <xf numFmtId="0" fontId="18" fillId="0" borderId="0" xfId="0" applyFont="1" applyAlignment="1"/>
    <xf numFmtId="0" fontId="15" fillId="0" borderId="0" xfId="0" applyFont="1" applyAlignment="1">
      <alignment horizontal="left" indent="1"/>
    </xf>
    <xf numFmtId="9" fontId="32" fillId="0" borderId="0" xfId="3" applyFont="1" applyAlignment="1"/>
    <xf numFmtId="9" fontId="18" fillId="0" borderId="0" xfId="0" applyNumberFormat="1" applyFont="1" applyAlignment="1"/>
    <xf numFmtId="174" fontId="15" fillId="0" borderId="0" xfId="0" applyNumberFormat="1" applyFont="1" applyAlignment="1"/>
    <xf numFmtId="175" fontId="17" fillId="0" borderId="0" xfId="0" applyNumberFormat="1" applyFont="1" applyAlignment="1"/>
    <xf numFmtId="2" fontId="15" fillId="0" borderId="0" xfId="0" applyNumberFormat="1" applyFont="1" applyAlignment="1"/>
    <xf numFmtId="1" fontId="17" fillId="0" borderId="0" xfId="1" applyNumberFormat="1" applyFont="1" applyAlignment="1"/>
    <xf numFmtId="0" fontId="17" fillId="0" borderId="0" xfId="0" applyFont="1" applyAlignment="1">
      <alignment horizontal="left" indent="1"/>
    </xf>
    <xf numFmtId="0" fontId="15" fillId="0" borderId="0" xfId="0" applyFont="1" applyAlignment="1">
      <alignment horizontal="left"/>
    </xf>
    <xf numFmtId="0" fontId="5" fillId="0" borderId="0" xfId="7" applyFont="1" applyAlignment="1">
      <alignment horizontal="left"/>
    </xf>
    <xf numFmtId="0" fontId="16" fillId="0" borderId="0" xfId="7" applyAlignment="1">
      <alignment horizontal="right"/>
    </xf>
    <xf numFmtId="0" fontId="16" fillId="0" borderId="0" xfId="7" applyAlignment="1"/>
    <xf numFmtId="176" fontId="16" fillId="0" borderId="0" xfId="7" applyNumberFormat="1" applyAlignment="1"/>
    <xf numFmtId="177" fontId="16" fillId="0" borderId="0" xfId="7" applyNumberFormat="1" applyAlignment="1"/>
    <xf numFmtId="175" fontId="16" fillId="0" borderId="0" xfId="7" applyNumberFormat="1" applyAlignment="1"/>
    <xf numFmtId="9" fontId="16" fillId="0" borderId="0" xfId="3" applyFont="1" applyAlignment="1"/>
    <xf numFmtId="0" fontId="33" fillId="6" borderId="0" xfId="9" applyFont="1" applyFill="1" applyAlignment="1">
      <alignment horizontal="left"/>
    </xf>
    <xf numFmtId="0" fontId="34" fillId="6" borderId="0" xfId="7" applyFont="1" applyFill="1" applyAlignment="1">
      <alignment horizontal="right"/>
    </xf>
    <xf numFmtId="0" fontId="33" fillId="6" borderId="0" xfId="7" applyFont="1" applyFill="1" applyAlignment="1">
      <alignment horizontal="right"/>
    </xf>
    <xf numFmtId="0" fontId="34" fillId="6" borderId="1" xfId="7" applyFont="1" applyFill="1" applyBorder="1" applyAlignment="1">
      <alignment horizontal="right"/>
    </xf>
    <xf numFmtId="0" fontId="33" fillId="0" borderId="0" xfId="7" applyFont="1" applyAlignment="1">
      <alignment horizontal="right"/>
    </xf>
    <xf numFmtId="0" fontId="5" fillId="0" borderId="0" xfId="7" applyFont="1" applyAlignment="1">
      <alignment horizontal="right"/>
    </xf>
    <xf numFmtId="169" fontId="34" fillId="6" borderId="0" xfId="7" applyNumberFormat="1" applyFont="1" applyFill="1" applyAlignment="1">
      <alignment horizontal="right"/>
    </xf>
    <xf numFmtId="169" fontId="34" fillId="6" borderId="1" xfId="7" applyNumberFormat="1" applyFont="1" applyFill="1" applyBorder="1" applyAlignment="1">
      <alignment horizontal="right"/>
    </xf>
    <xf numFmtId="0" fontId="33" fillId="6" borderId="0" xfId="7" applyFont="1" applyFill="1" applyAlignment="1">
      <alignment horizontal="left"/>
    </xf>
    <xf numFmtId="0" fontId="33" fillId="6" borderId="0" xfId="7" applyFont="1" applyFill="1" applyAlignment="1"/>
    <xf numFmtId="0" fontId="33" fillId="0" borderId="0" xfId="7" applyFont="1" applyAlignment="1"/>
    <xf numFmtId="0" fontId="34" fillId="6" borderId="0" xfId="7" applyFont="1" applyFill="1" applyAlignment="1"/>
    <xf numFmtId="0" fontId="34" fillId="0" borderId="0" xfId="7" applyFont="1" applyAlignment="1"/>
    <xf numFmtId="43" fontId="5" fillId="0" borderId="0" xfId="1" applyFont="1" applyFill="1" applyBorder="1" applyAlignment="1">
      <alignment horizontal="right"/>
    </xf>
    <xf numFmtId="9" fontId="5" fillId="0" borderId="0" xfId="3" applyFont="1" applyFill="1" applyBorder="1" applyAlignment="1">
      <alignment horizontal="right"/>
    </xf>
    <xf numFmtId="0" fontId="5" fillId="0" borderId="0" xfId="7" applyFont="1" applyAlignment="1"/>
    <xf numFmtId="0" fontId="41" fillId="0" borderId="0" xfId="7" applyFont="1" applyAlignment="1">
      <alignment horizontal="left"/>
    </xf>
    <xf numFmtId="0" fontId="16" fillId="0" borderId="0" xfId="7" applyAlignment="1">
      <alignment horizontal="left"/>
    </xf>
    <xf numFmtId="167" fontId="16" fillId="0" borderId="0" xfId="7" applyNumberFormat="1" applyAlignment="1"/>
    <xf numFmtId="164" fontId="5" fillId="0" borderId="0" xfId="3" applyNumberFormat="1" applyFont="1" applyFill="1" applyBorder="1"/>
    <xf numFmtId="2" fontId="16" fillId="0" borderId="0" xfId="7" applyNumberFormat="1" applyAlignment="1"/>
    <xf numFmtId="9" fontId="41" fillId="0" borderId="0" xfId="7" applyNumberFormat="1" applyFont="1" applyAlignment="1"/>
    <xf numFmtId="167" fontId="16" fillId="0" borderId="0" xfId="1" applyNumberFormat="1" applyFont="1" applyFill="1" applyAlignment="1">
      <alignment horizontal="right"/>
    </xf>
    <xf numFmtId="178" fontId="16" fillId="0" borderId="0" xfId="7" applyNumberFormat="1" applyAlignment="1"/>
    <xf numFmtId="170" fontId="5" fillId="0" borderId="0" xfId="3" applyNumberFormat="1" applyFont="1" applyAlignment="1"/>
    <xf numFmtId="164" fontId="16" fillId="0" borderId="0" xfId="11" applyNumberFormat="1" applyFont="1" applyFill="1" applyAlignment="1" applyProtection="1">
      <protection locked="0"/>
    </xf>
    <xf numFmtId="164" fontId="40" fillId="0" borderId="0" xfId="11" applyNumberFormat="1" applyFont="1" applyFill="1" applyAlignment="1" applyProtection="1">
      <protection locked="0"/>
    </xf>
    <xf numFmtId="181" fontId="16" fillId="0" borderId="0" xfId="1" applyNumberFormat="1" applyFont="1" applyFill="1" applyAlignment="1">
      <alignment horizontal="right"/>
    </xf>
    <xf numFmtId="167" fontId="5" fillId="0" borderId="0" xfId="1" applyNumberFormat="1" applyFont="1" applyFill="1" applyAlignment="1">
      <alignment horizontal="right"/>
    </xf>
    <xf numFmtId="9" fontId="44" fillId="0" borderId="0" xfId="3" applyFont="1" applyFill="1" applyAlignment="1">
      <alignment horizontal="right"/>
    </xf>
    <xf numFmtId="9" fontId="16" fillId="0" borderId="0" xfId="3" applyFont="1" applyFill="1" applyAlignment="1"/>
    <xf numFmtId="43" fontId="16" fillId="0" borderId="0" xfId="1" applyFont="1" applyFill="1" applyAlignment="1"/>
    <xf numFmtId="173" fontId="16" fillId="0" borderId="0" xfId="7" applyNumberFormat="1" applyAlignment="1"/>
    <xf numFmtId="8" fontId="16" fillId="0" borderId="0" xfId="7" applyNumberFormat="1" applyAlignment="1"/>
    <xf numFmtId="165" fontId="16" fillId="0" borderId="0" xfId="7" applyNumberFormat="1" applyAlignment="1"/>
    <xf numFmtId="8" fontId="16" fillId="0" borderId="0" xfId="7" applyNumberFormat="1" applyAlignment="1">
      <alignment horizontal="right"/>
    </xf>
    <xf numFmtId="182" fontId="5" fillId="0" borderId="0" xfId="1" applyNumberFormat="1" applyFont="1" applyFill="1" applyAlignment="1">
      <alignment horizontal="right"/>
    </xf>
    <xf numFmtId="8" fontId="5" fillId="0" borderId="0" xfId="1" applyNumberFormat="1" applyFont="1" applyAlignment="1">
      <alignment horizontal="right"/>
    </xf>
    <xf numFmtId="8" fontId="5" fillId="0" borderId="0" xfId="7" applyNumberFormat="1" applyFont="1" applyAlignment="1"/>
    <xf numFmtId="10" fontId="16" fillId="0" borderId="0" xfId="7" applyNumberFormat="1" applyAlignment="1"/>
    <xf numFmtId="0" fontId="33" fillId="6" borderId="0" xfId="7" applyFont="1" applyFill="1" applyAlignment="1">
      <alignment horizontal="left" vertical="center"/>
    </xf>
    <xf numFmtId="0" fontId="34" fillId="6" borderId="0" xfId="7" applyFont="1" applyFill="1" applyAlignment="1">
      <alignment horizontal="right" vertical="center"/>
    </xf>
    <xf numFmtId="0" fontId="34" fillId="6" borderId="0" xfId="7" applyFont="1" applyFill="1" applyAlignment="1">
      <alignment vertical="center"/>
    </xf>
    <xf numFmtId="0" fontId="34" fillId="0" borderId="0" xfId="7" applyFont="1" applyAlignment="1">
      <alignment vertical="center"/>
    </xf>
    <xf numFmtId="0" fontId="16" fillId="0" borderId="0" xfId="7" applyAlignment="1">
      <alignment vertical="center"/>
    </xf>
    <xf numFmtId="3" fontId="16" fillId="0" borderId="0" xfId="7" applyNumberFormat="1" applyAlignment="1">
      <alignment horizontal="right"/>
    </xf>
    <xf numFmtId="170" fontId="49" fillId="0" borderId="0" xfId="3" applyNumberFormat="1" applyFont="1" applyFill="1" applyBorder="1" applyAlignment="1"/>
    <xf numFmtId="170" fontId="49" fillId="0" borderId="0" xfId="3" applyNumberFormat="1" applyFont="1" applyFill="1" applyAlignment="1"/>
    <xf numFmtId="170" fontId="46" fillId="0" borderId="0" xfId="3" applyNumberFormat="1" applyFont="1" applyFill="1" applyBorder="1" applyAlignment="1"/>
    <xf numFmtId="0" fontId="16" fillId="0" borderId="0" xfId="7" applyAlignment="1">
      <alignment horizontal="left" indent="1"/>
    </xf>
    <xf numFmtId="9" fontId="16" fillId="0" borderId="0" xfId="7" applyNumberFormat="1" applyAlignment="1"/>
    <xf numFmtId="175" fontId="16" fillId="0" borderId="0" xfId="7" applyNumberFormat="1" applyAlignment="1">
      <alignment horizontal="right"/>
    </xf>
    <xf numFmtId="176" fontId="16" fillId="0" borderId="0" xfId="7" applyNumberFormat="1" applyAlignment="1">
      <alignment horizontal="right"/>
    </xf>
    <xf numFmtId="185" fontId="16" fillId="0" borderId="0" xfId="7" applyNumberFormat="1" applyAlignment="1"/>
    <xf numFmtId="1" fontId="16" fillId="0" borderId="0" xfId="7" applyNumberFormat="1" applyAlignment="1"/>
    <xf numFmtId="1" fontId="16" fillId="0" borderId="0" xfId="7" applyNumberFormat="1" applyAlignment="1">
      <alignment horizontal="right"/>
    </xf>
    <xf numFmtId="1" fontId="16" fillId="11" borderId="0" xfId="7" applyNumberFormat="1" applyFill="1" applyAlignment="1"/>
    <xf numFmtId="0" fontId="16" fillId="10" borderId="0" xfId="7" applyFill="1" applyAlignment="1"/>
    <xf numFmtId="188" fontId="16" fillId="0" borderId="0" xfId="7" applyNumberFormat="1" applyAlignment="1">
      <alignment horizontal="right"/>
    </xf>
    <xf numFmtId="0" fontId="16" fillId="9" borderId="0" xfId="7" applyFill="1" applyAlignment="1">
      <alignment horizontal="left"/>
    </xf>
    <xf numFmtId="0" fontId="16" fillId="9" borderId="0" xfId="7" applyFill="1" applyAlignment="1"/>
    <xf numFmtId="188" fontId="16" fillId="9" borderId="0" xfId="7" applyNumberFormat="1" applyFill="1" applyAlignment="1">
      <alignment horizontal="right"/>
    </xf>
    <xf numFmtId="175" fontId="16" fillId="9" borderId="0" xfId="7" applyNumberFormat="1" applyFill="1" applyAlignment="1">
      <alignment horizontal="right"/>
    </xf>
    <xf numFmtId="0" fontId="16" fillId="9" borderId="0" xfId="7" applyFill="1" applyAlignment="1">
      <alignment horizontal="right"/>
    </xf>
    <xf numFmtId="9" fontId="34" fillId="6" borderId="0" xfId="7" applyNumberFormat="1" applyFont="1" applyFill="1" applyAlignment="1">
      <alignment horizontal="right"/>
    </xf>
    <xf numFmtId="9" fontId="33" fillId="6" borderId="0" xfId="7" applyNumberFormat="1" applyFont="1" applyFill="1" applyAlignment="1">
      <alignment horizontal="right"/>
    </xf>
    <xf numFmtId="8" fontId="34" fillId="6" borderId="0" xfId="7" applyNumberFormat="1" applyFont="1" applyFill="1" applyAlignment="1"/>
    <xf numFmtId="9" fontId="34" fillId="6" borderId="0" xfId="7" applyNumberFormat="1" applyFont="1" applyFill="1" applyAlignment="1"/>
    <xf numFmtId="9" fontId="34" fillId="6" borderId="3" xfId="7" applyNumberFormat="1" applyFont="1" applyFill="1" applyBorder="1" applyAlignment="1"/>
    <xf numFmtId="170" fontId="34" fillId="6" borderId="0" xfId="7" applyNumberFormat="1" applyFont="1" applyFill="1" applyAlignment="1"/>
    <xf numFmtId="1" fontId="34" fillId="6" borderId="0" xfId="7" applyNumberFormat="1" applyFont="1" applyFill="1" applyAlignment="1"/>
    <xf numFmtId="175" fontId="34" fillId="6" borderId="0" xfId="7" applyNumberFormat="1" applyFont="1" applyFill="1" applyAlignment="1"/>
    <xf numFmtId="43" fontId="34" fillId="6" borderId="0" xfId="1" applyFont="1" applyFill="1" applyBorder="1" applyAlignment="1"/>
    <xf numFmtId="189" fontId="34" fillId="6" borderId="0" xfId="7" applyNumberFormat="1" applyFont="1" applyFill="1" applyAlignment="1"/>
    <xf numFmtId="170" fontId="16" fillId="0" borderId="0" xfId="3" applyNumberFormat="1" applyFont="1" applyBorder="1"/>
    <xf numFmtId="170" fontId="16" fillId="0" borderId="0" xfId="7" applyNumberFormat="1" applyAlignment="1"/>
    <xf numFmtId="190" fontId="16" fillId="0" borderId="0" xfId="2" applyNumberFormat="1" applyFont="1" applyBorder="1" applyAlignment="1"/>
    <xf numFmtId="164" fontId="16" fillId="0" borderId="0" xfId="2" applyNumberFormat="1" applyFont="1" applyBorder="1" applyAlignment="1"/>
    <xf numFmtId="9" fontId="16" fillId="7" borderId="4" xfId="7" applyNumberFormat="1" applyFill="1" applyBorder="1" applyAlignment="1"/>
    <xf numFmtId="1" fontId="41" fillId="7" borderId="0" xfId="7" applyNumberFormat="1" applyFont="1" applyFill="1" applyAlignment="1"/>
    <xf numFmtId="9" fontId="16" fillId="0" borderId="0" xfId="3" applyFont="1" applyBorder="1" applyAlignment="1"/>
    <xf numFmtId="173" fontId="16" fillId="12" borderId="0" xfId="7" applyNumberFormat="1" applyFill="1" applyAlignment="1"/>
    <xf numFmtId="173" fontId="16" fillId="12" borderId="1" xfId="7" applyNumberFormat="1" applyFill="1" applyBorder="1" applyAlignment="1"/>
    <xf numFmtId="173" fontId="16" fillId="13" borderId="0" xfId="7" applyNumberFormat="1" applyFill="1" applyAlignment="1"/>
    <xf numFmtId="173" fontId="51" fillId="11" borderId="0" xfId="7" applyNumberFormat="1" applyFont="1" applyFill="1" applyAlignment="1"/>
    <xf numFmtId="173" fontId="5" fillId="11" borderId="0" xfId="7" applyNumberFormat="1" applyFont="1" applyFill="1" applyAlignment="1"/>
    <xf numFmtId="0" fontId="5" fillId="11" borderId="0" xfId="7" applyFont="1" applyFill="1" applyAlignment="1">
      <alignment horizontal="right"/>
    </xf>
    <xf numFmtId="170" fontId="16" fillId="0" borderId="1" xfId="7" applyNumberFormat="1" applyBorder="1" applyAlignment="1"/>
    <xf numFmtId="175" fontId="16" fillId="12" borderId="0" xfId="7" applyNumberFormat="1" applyFill="1" applyAlignment="1"/>
    <xf numFmtId="175" fontId="41" fillId="12" borderId="0" xfId="7" applyNumberFormat="1" applyFont="1" applyFill="1" applyAlignment="1"/>
    <xf numFmtId="175" fontId="41" fillId="12" borderId="1" xfId="7" applyNumberFormat="1" applyFont="1" applyFill="1" applyBorder="1" applyAlignment="1"/>
    <xf numFmtId="175" fontId="41" fillId="7" borderId="0" xfId="7" applyNumberFormat="1" applyFont="1" applyFill="1" applyAlignment="1"/>
    <xf numFmtId="8" fontId="16" fillId="0" borderId="1" xfId="7" applyNumberFormat="1" applyBorder="1" applyAlignment="1"/>
    <xf numFmtId="8" fontId="16" fillId="11" borderId="0" xfId="7" applyNumberFormat="1" applyFill="1" applyAlignment="1"/>
    <xf numFmtId="8" fontId="16" fillId="11" borderId="4" xfId="7" applyNumberFormat="1" applyFill="1" applyBorder="1" applyAlignment="1"/>
    <xf numFmtId="171" fontId="51" fillId="11" borderId="0" xfId="7" applyNumberFormat="1" applyFont="1" applyFill="1" applyAlignment="1"/>
    <xf numFmtId="0" fontId="16" fillId="0" borderId="5" xfId="7" applyBorder="1" applyAlignment="1">
      <alignment horizontal="left"/>
    </xf>
    <xf numFmtId="173" fontId="16" fillId="0" borderId="5" xfId="7" applyNumberFormat="1" applyBorder="1" applyAlignment="1"/>
    <xf numFmtId="175" fontId="16" fillId="0" borderId="5" xfId="7" applyNumberFormat="1" applyBorder="1" applyAlignment="1"/>
    <xf numFmtId="173" fontId="16" fillId="0" borderId="6" xfId="7" applyNumberFormat="1" applyBorder="1" applyAlignment="1"/>
    <xf numFmtId="173" fontId="16" fillId="11" borderId="5" xfId="7" applyNumberFormat="1" applyFill="1" applyBorder="1" applyAlignment="1"/>
    <xf numFmtId="176" fontId="16" fillId="11" borderId="5" xfId="7" applyNumberFormat="1" applyFill="1" applyBorder="1" applyAlignment="1"/>
    <xf numFmtId="173" fontId="16" fillId="11" borderId="7" xfId="7" applyNumberFormat="1" applyFill="1" applyBorder="1" applyAlignment="1"/>
    <xf numFmtId="184" fontId="16" fillId="11" borderId="5" xfId="7" applyNumberFormat="1" applyFill="1" applyBorder="1" applyAlignment="1"/>
    <xf numFmtId="175" fontId="51" fillId="11" borderId="5" xfId="7" applyNumberFormat="1" applyFont="1" applyFill="1" applyBorder="1" applyAlignment="1"/>
    <xf numFmtId="175" fontId="51" fillId="11" borderId="5" xfId="7" applyNumberFormat="1" applyFont="1" applyFill="1" applyBorder="1" applyAlignment="1">
      <alignment horizontal="right"/>
    </xf>
    <xf numFmtId="175" fontId="51" fillId="0" borderId="5" xfId="7" applyNumberFormat="1" applyFont="1" applyBorder="1" applyAlignment="1"/>
    <xf numFmtId="0" fontId="16" fillId="0" borderId="5" xfId="7" applyBorder="1" applyAlignment="1"/>
    <xf numFmtId="173" fontId="41" fillId="0" borderId="0" xfId="7" applyNumberFormat="1" applyFont="1" applyAlignment="1"/>
    <xf numFmtId="175" fontId="41" fillId="0" borderId="0" xfId="7" applyNumberFormat="1" applyFont="1" applyAlignment="1"/>
    <xf numFmtId="173" fontId="41" fillId="0" borderId="1" xfId="7" applyNumberFormat="1" applyFont="1" applyBorder="1" applyAlignment="1"/>
    <xf numFmtId="173" fontId="41" fillId="11" borderId="0" xfId="7" applyNumberFormat="1" applyFont="1" applyFill="1" applyAlignment="1"/>
    <xf numFmtId="176" fontId="41" fillId="11" borderId="0" xfId="7" applyNumberFormat="1" applyFont="1" applyFill="1" applyAlignment="1"/>
    <xf numFmtId="164" fontId="41" fillId="11" borderId="0" xfId="7" applyNumberFormat="1" applyFont="1" applyFill="1" applyAlignment="1"/>
    <xf numFmtId="164" fontId="41" fillId="11" borderId="4" xfId="7" applyNumberFormat="1" applyFont="1" applyFill="1" applyBorder="1" applyAlignment="1"/>
    <xf numFmtId="0" fontId="41" fillId="11" borderId="0" xfId="7" applyFont="1" applyFill="1" applyAlignment="1">
      <alignment horizontal="right"/>
    </xf>
    <xf numFmtId="164" fontId="41" fillId="0" borderId="0" xfId="7" applyNumberFormat="1" applyFont="1" applyAlignment="1"/>
    <xf numFmtId="0" fontId="41" fillId="0" borderId="0" xfId="7" applyFont="1" applyAlignment="1"/>
    <xf numFmtId="170" fontId="16" fillId="11" borderId="0" xfId="7" applyNumberFormat="1" applyFill="1" applyAlignment="1"/>
    <xf numFmtId="170" fontId="16" fillId="11" borderId="4" xfId="7" applyNumberFormat="1" applyFill="1" applyBorder="1" applyAlignment="1"/>
    <xf numFmtId="170" fontId="42" fillId="11" borderId="0" xfId="7" applyNumberFormat="1" applyFont="1" applyFill="1" applyAlignment="1"/>
    <xf numFmtId="0" fontId="16" fillId="11" borderId="0" xfId="7" applyFill="1" applyAlignment="1">
      <alignment horizontal="right"/>
    </xf>
    <xf numFmtId="173" fontId="16" fillId="0" borderId="1" xfId="7" applyNumberFormat="1" applyBorder="1" applyAlignment="1"/>
    <xf numFmtId="173" fontId="16" fillId="11" borderId="0" xfId="7" applyNumberFormat="1" applyFill="1" applyAlignment="1"/>
    <xf numFmtId="173" fontId="16" fillId="11" borderId="4" xfId="7" applyNumberFormat="1" applyFill="1" applyBorder="1" applyAlignment="1"/>
    <xf numFmtId="191" fontId="16" fillId="0" borderId="0" xfId="7" applyNumberFormat="1" applyAlignment="1"/>
    <xf numFmtId="191" fontId="16" fillId="11" borderId="0" xfId="7" applyNumberFormat="1" applyFill="1" applyAlignment="1"/>
    <xf numFmtId="175" fontId="16" fillId="0" borderId="1" xfId="7" applyNumberFormat="1" applyBorder="1" applyAlignment="1"/>
    <xf numFmtId="175" fontId="16" fillId="11" borderId="0" xfId="7" applyNumberFormat="1" applyFill="1" applyAlignment="1"/>
    <xf numFmtId="176" fontId="16" fillId="11" borderId="0" xfId="7" applyNumberFormat="1" applyFill="1" applyAlignment="1"/>
    <xf numFmtId="2" fontId="16" fillId="11" borderId="4" xfId="7" applyNumberFormat="1" applyFill="1" applyBorder="1" applyAlignment="1"/>
    <xf numFmtId="2" fontId="16" fillId="11" borderId="0" xfId="7" applyNumberFormat="1" applyFill="1" applyAlignment="1"/>
    <xf numFmtId="0" fontId="16" fillId="11" borderId="0" xfId="7" applyFill="1" applyAlignment="1"/>
    <xf numFmtId="9" fontId="5" fillId="0" borderId="0" xfId="7" applyNumberFormat="1" applyFont="1" applyAlignment="1"/>
    <xf numFmtId="9" fontId="16" fillId="11" borderId="0" xfId="7" applyNumberFormat="1" applyFill="1" applyAlignment="1"/>
    <xf numFmtId="43" fontId="16" fillId="11" borderId="0" xfId="1" applyFont="1" applyFill="1" applyBorder="1"/>
    <xf numFmtId="192" fontId="16" fillId="11" borderId="0" xfId="1" applyNumberFormat="1" applyFont="1" applyFill="1" applyBorder="1" applyAlignment="1"/>
    <xf numFmtId="9" fontId="16" fillId="11" borderId="4" xfId="7" applyNumberFormat="1" applyFill="1" applyBorder="1" applyAlignment="1"/>
    <xf numFmtId="164" fontId="16" fillId="11" borderId="0" xfId="7" applyNumberFormat="1" applyFill="1" applyAlignment="1"/>
    <xf numFmtId="9" fontId="16" fillId="11" borderId="0" xfId="3" applyFont="1" applyFill="1" applyBorder="1" applyAlignment="1"/>
    <xf numFmtId="175" fontId="16" fillId="12" borderId="1" xfId="7" applyNumberFormat="1" applyFill="1" applyBorder="1" applyAlignment="1"/>
    <xf numFmtId="8" fontId="16" fillId="10" borderId="0" xfId="7" applyNumberFormat="1" applyFill="1" applyAlignment="1"/>
    <xf numFmtId="182" fontId="50" fillId="11" borderId="0" xfId="7" applyNumberFormat="1" applyFont="1" applyFill="1" applyAlignment="1"/>
    <xf numFmtId="182" fontId="16" fillId="11" borderId="0" xfId="7" applyNumberFormat="1" applyFill="1" applyAlignment="1"/>
    <xf numFmtId="182" fontId="16" fillId="11" borderId="0" xfId="7" applyNumberFormat="1" applyFill="1" applyAlignment="1">
      <alignment horizontal="right"/>
    </xf>
    <xf numFmtId="175" fontId="16" fillId="10" borderId="5" xfId="7" applyNumberFormat="1" applyFill="1" applyBorder="1" applyAlignment="1"/>
    <xf numFmtId="175" fontId="16" fillId="0" borderId="6" xfId="7" applyNumberFormat="1" applyBorder="1" applyAlignment="1"/>
    <xf numFmtId="175" fontId="16" fillId="7" borderId="5" xfId="7" applyNumberFormat="1" applyFill="1" applyBorder="1" applyAlignment="1"/>
    <xf numFmtId="175" fontId="16" fillId="11" borderId="5" xfId="7" applyNumberFormat="1" applyFill="1" applyBorder="1" applyAlignment="1"/>
    <xf numFmtId="175" fontId="16" fillId="11" borderId="7" xfId="7" applyNumberFormat="1" applyFill="1" applyBorder="1" applyAlignment="1"/>
    <xf numFmtId="170" fontId="16" fillId="10" borderId="0" xfId="7" applyNumberFormat="1" applyFill="1" applyAlignment="1"/>
    <xf numFmtId="170" fontId="16" fillId="10" borderId="1" xfId="7" applyNumberFormat="1" applyFill="1" applyBorder="1" applyAlignment="1"/>
    <xf numFmtId="0" fontId="42" fillId="11" borderId="0" xfId="7" applyFont="1" applyFill="1" applyAlignment="1">
      <alignment horizontal="right"/>
    </xf>
    <xf numFmtId="175" fontId="16" fillId="11" borderId="4" xfId="7" applyNumberFormat="1" applyFill="1" applyBorder="1" applyAlignment="1"/>
    <xf numFmtId="9" fontId="42" fillId="0" borderId="0" xfId="7" applyNumberFormat="1" applyFont="1" applyAlignment="1"/>
    <xf numFmtId="9" fontId="42" fillId="0" borderId="1" xfId="7" applyNumberFormat="1" applyFont="1" applyBorder="1" applyAlignment="1"/>
    <xf numFmtId="9" fontId="42" fillId="11" borderId="0" xfId="7" applyNumberFormat="1" applyFont="1" applyFill="1" applyAlignment="1"/>
    <xf numFmtId="9" fontId="42" fillId="11" borderId="4" xfId="7" applyNumberFormat="1" applyFont="1" applyFill="1" applyBorder="1" applyAlignment="1"/>
    <xf numFmtId="9" fontId="16" fillId="0" borderId="0" xfId="3" applyFont="1"/>
    <xf numFmtId="9" fontId="16" fillId="0" borderId="1" xfId="7" applyNumberFormat="1" applyBorder="1" applyAlignment="1"/>
    <xf numFmtId="184" fontId="16" fillId="11" borderId="0" xfId="7" applyNumberFormat="1" applyFill="1" applyAlignment="1"/>
    <xf numFmtId="0" fontId="16" fillId="11" borderId="4" xfId="7" applyFill="1" applyBorder="1" applyAlignment="1"/>
    <xf numFmtId="4" fontId="51" fillId="11" borderId="0" xfId="7" applyNumberFormat="1" applyFont="1" applyFill="1" applyAlignment="1"/>
    <xf numFmtId="173" fontId="16" fillId="0" borderId="5" xfId="7" applyNumberFormat="1" applyBorder="1" applyAlignment="1">
      <alignment horizontal="left"/>
    </xf>
    <xf numFmtId="173" fontId="16" fillId="0" borderId="5" xfId="7" applyNumberFormat="1" applyBorder="1" applyAlignment="1">
      <alignment horizontal="right"/>
    </xf>
    <xf numFmtId="173" fontId="16" fillId="0" borderId="5" xfId="3" applyNumberFormat="1" applyFont="1" applyBorder="1"/>
    <xf numFmtId="173" fontId="16" fillId="12" borderId="5" xfId="7" applyNumberFormat="1" applyFill="1" applyBorder="1" applyAlignment="1"/>
    <xf numFmtId="173" fontId="16" fillId="11" borderId="5" xfId="7" applyNumberFormat="1" applyFill="1" applyBorder="1" applyAlignment="1">
      <alignment horizontal="right"/>
    </xf>
    <xf numFmtId="170" fontId="42" fillId="10" borderId="0" xfId="7" applyNumberFormat="1" applyFont="1" applyFill="1" applyAlignment="1"/>
    <xf numFmtId="170" fontId="42" fillId="0" borderId="0" xfId="7" applyNumberFormat="1" applyFont="1" applyAlignment="1"/>
    <xf numFmtId="170" fontId="42" fillId="11" borderId="4" xfId="7" applyNumberFormat="1" applyFont="1" applyFill="1" applyBorder="1" applyAlignment="1"/>
    <xf numFmtId="175" fontId="42" fillId="12" borderId="0" xfId="7" applyNumberFormat="1" applyFont="1" applyFill="1" applyAlignment="1"/>
    <xf numFmtId="173" fontId="42" fillId="12" borderId="0" xfId="7" applyNumberFormat="1" applyFont="1" applyFill="1" applyAlignment="1"/>
    <xf numFmtId="173" fontId="42" fillId="11" borderId="0" xfId="7" applyNumberFormat="1" applyFont="1" applyFill="1" applyAlignment="1"/>
    <xf numFmtId="175" fontId="42" fillId="11" borderId="0" xfId="7" applyNumberFormat="1" applyFont="1" applyFill="1" applyAlignment="1"/>
    <xf numFmtId="0" fontId="42" fillId="11" borderId="0" xfId="7" applyFont="1" applyFill="1" applyAlignment="1"/>
    <xf numFmtId="176" fontId="42" fillId="11" borderId="0" xfId="7" applyNumberFormat="1" applyFont="1" applyFill="1" applyAlignment="1"/>
    <xf numFmtId="176" fontId="16" fillId="11" borderId="4" xfId="7" applyNumberFormat="1" applyFill="1" applyBorder="1" applyAlignment="1"/>
    <xf numFmtId="177" fontId="16" fillId="11" borderId="0" xfId="7" applyNumberFormat="1" applyFill="1" applyAlignment="1"/>
    <xf numFmtId="193" fontId="16" fillId="11" borderId="0" xfId="1" applyNumberFormat="1" applyFont="1" applyFill="1" applyBorder="1" applyAlignment="1"/>
    <xf numFmtId="38" fontId="16" fillId="0" borderId="0" xfId="7" applyNumberFormat="1" applyAlignment="1"/>
    <xf numFmtId="8" fontId="16" fillId="10" borderId="1" xfId="7" applyNumberFormat="1" applyFill="1" applyBorder="1" applyAlignment="1"/>
    <xf numFmtId="4" fontId="16" fillId="0" borderId="0" xfId="7" applyNumberFormat="1" applyAlignment="1"/>
    <xf numFmtId="4" fontId="16" fillId="0" borderId="1" xfId="7" applyNumberFormat="1" applyBorder="1" applyAlignment="1"/>
    <xf numFmtId="2" fontId="16" fillId="1" borderId="0" xfId="7" applyNumberFormat="1" applyFill="1" applyAlignment="1"/>
    <xf numFmtId="0" fontId="16" fillId="1" borderId="0" xfId="7" applyFill="1" applyAlignment="1"/>
    <xf numFmtId="175" fontId="16" fillId="10" borderId="0" xfId="7" applyNumberFormat="1" applyFill="1" applyAlignment="1"/>
    <xf numFmtId="175" fontId="16" fillId="10" borderId="1" xfId="7" applyNumberFormat="1" applyFill="1" applyBorder="1" applyAlignment="1"/>
    <xf numFmtId="0" fontId="52" fillId="0" borderId="0" xfId="7" applyFont="1" applyAlignment="1">
      <alignment horizontal="left"/>
    </xf>
    <xf numFmtId="0" fontId="52" fillId="0" borderId="0" xfId="7" applyFont="1" applyAlignment="1">
      <alignment horizontal="right"/>
    </xf>
    <xf numFmtId="0" fontId="52" fillId="0" borderId="0" xfId="7" applyFont="1" applyAlignment="1"/>
    <xf numFmtId="9" fontId="52" fillId="0" borderId="0" xfId="7" applyNumberFormat="1" applyFont="1" applyAlignment="1"/>
    <xf numFmtId="8" fontId="53" fillId="0" borderId="0" xfId="7" applyNumberFormat="1" applyFont="1" applyAlignment="1"/>
    <xf numFmtId="9" fontId="52" fillId="0" borderId="1" xfId="7" applyNumberFormat="1" applyFont="1" applyBorder="1" applyAlignment="1"/>
    <xf numFmtId="0" fontId="52" fillId="11" borderId="0" xfId="7" applyFont="1" applyFill="1" applyAlignment="1"/>
    <xf numFmtId="0" fontId="52" fillId="11" borderId="4" xfId="7" applyFont="1" applyFill="1" applyBorder="1" applyAlignment="1"/>
    <xf numFmtId="176" fontId="52" fillId="11" borderId="0" xfId="7" applyNumberFormat="1" applyFont="1" applyFill="1" applyAlignment="1"/>
    <xf numFmtId="4" fontId="52" fillId="11" borderId="0" xfId="3" applyNumberFormat="1" applyFont="1" applyFill="1" applyAlignment="1"/>
    <xf numFmtId="164" fontId="52" fillId="11" borderId="0" xfId="7" applyNumberFormat="1" applyFont="1" applyFill="1" applyAlignment="1"/>
    <xf numFmtId="9" fontId="52" fillId="11" borderId="0" xfId="3" applyFont="1" applyFill="1" applyAlignment="1"/>
    <xf numFmtId="0" fontId="52" fillId="11" borderId="0" xfId="7" applyFont="1" applyFill="1" applyAlignment="1">
      <alignment horizontal="right"/>
    </xf>
    <xf numFmtId="43" fontId="16" fillId="11" borderId="0" xfId="1" applyFont="1" applyFill="1" applyAlignment="1"/>
    <xf numFmtId="175" fontId="42" fillId="11" borderId="4" xfId="7" applyNumberFormat="1" applyFont="1" applyFill="1" applyBorder="1" applyAlignment="1"/>
    <xf numFmtId="2" fontId="42" fillId="11" borderId="0" xfId="7" applyNumberFormat="1" applyFont="1" applyFill="1" applyAlignment="1"/>
    <xf numFmtId="9" fontId="16" fillId="0" borderId="0" xfId="7" applyNumberFormat="1" applyAlignment="1">
      <alignment horizontal="right"/>
    </xf>
    <xf numFmtId="0" fontId="16" fillId="0" borderId="5" xfId="7" applyBorder="1" applyAlignment="1">
      <alignment horizontal="right"/>
    </xf>
    <xf numFmtId="9" fontId="16" fillId="0" borderId="5" xfId="7" applyNumberFormat="1" applyBorder="1" applyAlignment="1">
      <alignment horizontal="right"/>
    </xf>
    <xf numFmtId="175" fontId="16" fillId="12" borderId="5" xfId="7" applyNumberFormat="1" applyFill="1" applyBorder="1" applyAlignment="1"/>
    <xf numFmtId="175" fontId="16" fillId="12" borderId="6" xfId="7" applyNumberFormat="1" applyFill="1" applyBorder="1" applyAlignment="1"/>
    <xf numFmtId="176" fontId="16" fillId="11" borderId="7" xfId="7" applyNumberFormat="1" applyFill="1" applyBorder="1" applyAlignment="1"/>
    <xf numFmtId="2" fontId="5" fillId="11" borderId="5" xfId="7" applyNumberFormat="1" applyFont="1" applyFill="1" applyBorder="1" applyAlignment="1"/>
    <xf numFmtId="0" fontId="16" fillId="11" borderId="5" xfId="7" applyFill="1" applyBorder="1" applyAlignment="1">
      <alignment horizontal="right"/>
    </xf>
    <xf numFmtId="170" fontId="16" fillId="0" borderId="0" xfId="7" applyNumberFormat="1" applyAlignment="1">
      <alignment horizontal="right"/>
    </xf>
    <xf numFmtId="0" fontId="16" fillId="0" borderId="1" xfId="7" applyBorder="1" applyAlignment="1"/>
    <xf numFmtId="0" fontId="54" fillId="0" borderId="0" xfId="7" applyFont="1" applyAlignment="1"/>
    <xf numFmtId="0" fontId="16" fillId="11" borderId="5" xfId="7" applyFill="1" applyBorder="1" applyAlignment="1"/>
    <xf numFmtId="176" fontId="16" fillId="0" borderId="1" xfId="7" applyNumberFormat="1" applyBorder="1" applyAlignment="1"/>
    <xf numFmtId="9" fontId="16" fillId="11" borderId="0" xfId="7" quotePrefix="1" applyNumberFormat="1" applyFill="1" applyAlignment="1">
      <alignment horizontal="right"/>
    </xf>
    <xf numFmtId="9" fontId="16" fillId="11" borderId="4" xfId="7" quotePrefix="1" applyNumberFormat="1" applyFill="1" applyBorder="1" applyAlignment="1">
      <alignment horizontal="right"/>
    </xf>
    <xf numFmtId="0" fontId="16" fillId="0" borderId="8" xfId="7" applyBorder="1" applyAlignment="1"/>
    <xf numFmtId="176" fontId="5" fillId="0" borderId="0" xfId="7" applyNumberFormat="1" applyFont="1" applyAlignment="1"/>
    <xf numFmtId="0" fontId="16" fillId="0" borderId="9" xfId="7" applyBorder="1" applyAlignment="1"/>
    <xf numFmtId="0" fontId="16" fillId="11" borderId="9" xfId="7" applyFill="1" applyBorder="1" applyAlignment="1"/>
    <xf numFmtId="0" fontId="5" fillId="0" borderId="10" xfId="7" applyFont="1" applyBorder="1" applyAlignment="1">
      <alignment horizontal="left"/>
    </xf>
    <xf numFmtId="0" fontId="16" fillId="0" borderId="10" xfId="7" applyBorder="1" applyAlignment="1"/>
    <xf numFmtId="176" fontId="5" fillId="0" borderId="10" xfId="7" applyNumberFormat="1" applyFont="1" applyBorder="1" applyAlignment="1"/>
    <xf numFmtId="2" fontId="5" fillId="0" borderId="10" xfId="7" applyNumberFormat="1" applyFont="1" applyBorder="1" applyAlignment="1"/>
    <xf numFmtId="176" fontId="5" fillId="11" borderId="0" xfId="7" applyNumberFormat="1" applyFont="1" applyFill="1" applyAlignment="1"/>
    <xf numFmtId="176" fontId="5" fillId="11" borderId="10" xfId="7" applyNumberFormat="1" applyFont="1" applyFill="1" applyBorder="1" applyAlignment="1"/>
    <xf numFmtId="176" fontId="5" fillId="11" borderId="11" xfId="7" applyNumberFormat="1" applyFont="1" applyFill="1" applyBorder="1" applyAlignment="1"/>
    <xf numFmtId="0" fontId="16" fillId="11" borderId="10" xfId="7" applyFill="1" applyBorder="1" applyAlignment="1">
      <alignment horizontal="right"/>
    </xf>
    <xf numFmtId="170" fontId="16" fillId="0" borderId="0" xfId="3" applyNumberFormat="1" applyFont="1" applyFill="1" applyBorder="1" applyProtection="1">
      <protection locked="0"/>
    </xf>
    <xf numFmtId="170" fontId="16" fillId="11" borderId="0" xfId="3" applyNumberFormat="1" applyFont="1" applyFill="1" applyBorder="1" applyProtection="1">
      <protection locked="0"/>
    </xf>
    <xf numFmtId="170" fontId="16" fillId="11" borderId="4" xfId="3" applyNumberFormat="1" applyFont="1" applyFill="1" applyBorder="1" applyProtection="1">
      <protection locked="0"/>
    </xf>
    <xf numFmtId="170" fontId="5" fillId="0" borderId="0" xfId="7" applyNumberFormat="1" applyFont="1" applyAlignment="1"/>
    <xf numFmtId="9" fontId="16" fillId="0" borderId="0" xfId="3" applyFont="1" applyFill="1" applyBorder="1"/>
    <xf numFmtId="170" fontId="16" fillId="0" borderId="0" xfId="3" applyNumberFormat="1" applyFont="1" applyFill="1" applyBorder="1"/>
    <xf numFmtId="176" fontId="5" fillId="11" borderId="4" xfId="7" applyNumberFormat="1" applyFont="1" applyFill="1" applyBorder="1" applyAlignment="1"/>
    <xf numFmtId="170" fontId="5" fillId="0" borderId="0" xfId="3" applyNumberFormat="1" applyFont="1" applyFill="1" applyBorder="1" applyProtection="1">
      <protection locked="0"/>
    </xf>
    <xf numFmtId="170" fontId="5" fillId="11" borderId="0" xfId="3" applyNumberFormat="1" applyFont="1" applyFill="1" applyBorder="1" applyProtection="1">
      <protection locked="0"/>
    </xf>
    <xf numFmtId="170" fontId="5" fillId="11" borderId="4" xfId="3" applyNumberFormat="1" applyFont="1" applyFill="1" applyBorder="1" applyProtection="1">
      <protection locked="0"/>
    </xf>
    <xf numFmtId="9" fontId="5" fillId="0" borderId="0" xfId="3" applyFont="1" applyBorder="1"/>
    <xf numFmtId="9" fontId="5" fillId="11" borderId="0" xfId="3" applyFont="1" applyFill="1" applyBorder="1"/>
    <xf numFmtId="9" fontId="5" fillId="11" borderId="4" xfId="3" applyFont="1" applyFill="1" applyBorder="1"/>
    <xf numFmtId="0" fontId="5" fillId="11" borderId="0" xfId="7" applyFont="1" applyFill="1" applyAlignment="1"/>
    <xf numFmtId="0" fontId="16" fillId="0" borderId="12" xfId="7" applyBorder="1" applyAlignment="1">
      <alignment horizontal="left"/>
    </xf>
    <xf numFmtId="0" fontId="16" fillId="0" borderId="12" xfId="7" applyBorder="1" applyAlignment="1"/>
    <xf numFmtId="175" fontId="16" fillId="0" borderId="12" xfId="7" applyNumberFormat="1" applyBorder="1" applyAlignment="1"/>
    <xf numFmtId="176" fontId="16" fillId="0" borderId="12" xfId="7" applyNumberFormat="1" applyBorder="1" applyAlignment="1"/>
    <xf numFmtId="176" fontId="16" fillId="11" borderId="12" xfId="7" applyNumberFormat="1" applyFill="1" applyBorder="1" applyAlignment="1"/>
    <xf numFmtId="176" fontId="16" fillId="11" borderId="13" xfId="7" applyNumberFormat="1" applyFill="1" applyBorder="1" applyAlignment="1"/>
    <xf numFmtId="0" fontId="16" fillId="11" borderId="12" xfId="7" applyFill="1" applyBorder="1" applyAlignment="1">
      <alignment horizontal="right"/>
    </xf>
    <xf numFmtId="0" fontId="16" fillId="11" borderId="12" xfId="7" applyFill="1" applyBorder="1" applyAlignment="1"/>
    <xf numFmtId="8" fontId="5" fillId="11" borderId="0" xfId="7" applyNumberFormat="1" applyFont="1" applyFill="1" applyAlignment="1"/>
    <xf numFmtId="8" fontId="5" fillId="11" borderId="4" xfId="7" applyNumberFormat="1" applyFont="1" applyFill="1" applyBorder="1" applyAlignment="1"/>
    <xf numFmtId="0" fontId="16" fillId="0" borderId="14" xfId="7" applyBorder="1" applyAlignment="1">
      <alignment horizontal="right"/>
    </xf>
    <xf numFmtId="194" fontId="16" fillId="11" borderId="0" xfId="1" applyNumberFormat="1" applyFont="1" applyFill="1" applyBorder="1" applyAlignment="1"/>
    <xf numFmtId="190" fontId="16" fillId="11" borderId="0" xfId="2" applyNumberFormat="1" applyFont="1" applyFill="1" applyBorder="1" applyAlignment="1"/>
    <xf numFmtId="164" fontId="16" fillId="11" borderId="0" xfId="2" applyNumberFormat="1" applyFont="1" applyFill="1" applyBorder="1" applyAlignment="1"/>
    <xf numFmtId="183" fontId="16" fillId="11" borderId="0" xfId="7" applyNumberFormat="1" applyFill="1" applyAlignment="1"/>
    <xf numFmtId="165" fontId="16" fillId="11" borderId="0" xfId="7" applyNumberFormat="1" applyFill="1" applyAlignment="1"/>
    <xf numFmtId="4" fontId="16" fillId="11" borderId="0" xfId="7" applyNumberFormat="1" applyFill="1" applyAlignment="1"/>
    <xf numFmtId="175" fontId="16" fillId="0" borderId="0" xfId="2" applyNumberFormat="1" applyFont="1" applyBorder="1" applyAlignment="1"/>
    <xf numFmtId="175" fontId="16" fillId="11" borderId="0" xfId="2" applyNumberFormat="1" applyFont="1" applyFill="1" applyBorder="1" applyAlignment="1"/>
    <xf numFmtId="175" fontId="16" fillId="11" borderId="4" xfId="2" applyNumberFormat="1" applyFont="1" applyFill="1" applyBorder="1" applyAlignment="1"/>
    <xf numFmtId="0" fontId="16" fillId="0" borderId="9" xfId="7" applyBorder="1" applyAlignment="1">
      <alignment horizontal="left"/>
    </xf>
    <xf numFmtId="0" fontId="16" fillId="0" borderId="9" xfId="7" applyBorder="1" applyAlignment="1">
      <alignment horizontal="right"/>
    </xf>
    <xf numFmtId="165" fontId="16" fillId="11" borderId="9" xfId="7" applyNumberFormat="1" applyFill="1" applyBorder="1" applyAlignment="1"/>
    <xf numFmtId="189" fontId="16" fillId="11" borderId="15" xfId="7" applyNumberFormat="1" applyFill="1" applyBorder="1" applyAlignment="1"/>
    <xf numFmtId="189" fontId="16" fillId="11" borderId="9" xfId="7" applyNumberFormat="1" applyFill="1" applyBorder="1" applyAlignment="1"/>
    <xf numFmtId="177" fontId="50" fillId="11" borderId="9" xfId="7" applyNumberFormat="1" applyFont="1" applyFill="1" applyBorder="1" applyAlignment="1"/>
    <xf numFmtId="177" fontId="50" fillId="11" borderId="9" xfId="7" applyNumberFormat="1" applyFont="1" applyFill="1" applyBorder="1" applyAlignment="1">
      <alignment horizontal="right"/>
    </xf>
    <xf numFmtId="177" fontId="50" fillId="0" borderId="9" xfId="7" applyNumberFormat="1" applyFont="1" applyBorder="1" applyAlignment="1"/>
    <xf numFmtId="189" fontId="16" fillId="0" borderId="0" xfId="7" applyNumberFormat="1" applyAlignment="1"/>
    <xf numFmtId="0" fontId="48" fillId="0" borderId="0" xfId="7" applyFont="1" applyAlignment="1">
      <alignment horizontal="left"/>
    </xf>
    <xf numFmtId="167" fontId="5" fillId="0" borderId="0" xfId="7" applyNumberFormat="1" applyFont="1" applyAlignment="1"/>
    <xf numFmtId="9" fontId="16" fillId="0" borderId="0" xfId="3" applyFont="1" applyFill="1" applyBorder="1" applyAlignment="1"/>
    <xf numFmtId="168" fontId="16" fillId="0" borderId="0" xfId="1" applyNumberFormat="1" applyFont="1" applyFill="1" applyBorder="1" applyAlignment="1"/>
    <xf numFmtId="167" fontId="26" fillId="0" borderId="0" xfId="7" applyNumberFormat="1" applyFont="1" applyAlignment="1"/>
    <xf numFmtId="9" fontId="5" fillId="0" borderId="0" xfId="3" applyFont="1" applyFill="1" applyBorder="1" applyAlignment="1"/>
    <xf numFmtId="0" fontId="16" fillId="10" borderId="0" xfId="7" applyFill="1" applyAlignment="1">
      <alignment horizontal="left"/>
    </xf>
    <xf numFmtId="0" fontId="5" fillId="14" borderId="0" xfId="7" applyFont="1" applyFill="1" applyAlignment="1">
      <alignment horizontal="left"/>
    </xf>
    <xf numFmtId="0" fontId="5" fillId="14" borderId="0" xfId="7" applyFont="1" applyFill="1" applyAlignment="1">
      <alignment horizontal="right"/>
    </xf>
    <xf numFmtId="0" fontId="5" fillId="14" borderId="0" xfId="7" applyFont="1" applyFill="1" applyAlignment="1"/>
    <xf numFmtId="185" fontId="5" fillId="14" borderId="0" xfId="7" applyNumberFormat="1" applyFont="1" applyFill="1" applyAlignment="1"/>
    <xf numFmtId="0" fontId="16" fillId="15" borderId="0" xfId="7" applyFill="1" applyAlignment="1"/>
    <xf numFmtId="185" fontId="16" fillId="10" borderId="0" xfId="7" applyNumberFormat="1" applyFill="1" applyAlignment="1"/>
    <xf numFmtId="178" fontId="16" fillId="10" borderId="0" xfId="7" applyNumberFormat="1" applyFill="1" applyAlignment="1"/>
    <xf numFmtId="178" fontId="16" fillId="11" borderId="0" xfId="7" applyNumberFormat="1" applyFill="1" applyAlignment="1"/>
    <xf numFmtId="178" fontId="16" fillId="15" borderId="0" xfId="7" applyNumberFormat="1" applyFill="1" applyAlignment="1"/>
    <xf numFmtId="178" fontId="5" fillId="0" borderId="0" xfId="7" applyNumberFormat="1" applyFont="1" applyAlignment="1"/>
    <xf numFmtId="178" fontId="5" fillId="10" borderId="0" xfId="7" applyNumberFormat="1" applyFont="1" applyFill="1" applyAlignment="1"/>
    <xf numFmtId="175" fontId="5" fillId="0" borderId="0" xfId="7" applyNumberFormat="1" applyFont="1" applyAlignment="1"/>
    <xf numFmtId="178" fontId="5" fillId="11" borderId="0" xfId="7" applyNumberFormat="1" applyFont="1" applyFill="1" applyAlignment="1"/>
    <xf numFmtId="173" fontId="55" fillId="0" borderId="0" xfId="7" applyNumberFormat="1" applyFont="1" applyAlignment="1"/>
    <xf numFmtId="173" fontId="55" fillId="10" borderId="0" xfId="7" applyNumberFormat="1" applyFont="1" applyFill="1" applyAlignment="1"/>
    <xf numFmtId="175" fontId="55" fillId="0" borderId="0" xfId="7" applyNumberFormat="1" applyFont="1" applyAlignment="1"/>
    <xf numFmtId="173" fontId="55" fillId="11" borderId="0" xfId="7" applyNumberFormat="1" applyFont="1" applyFill="1" applyAlignment="1"/>
    <xf numFmtId="181" fontId="16" fillId="0" borderId="0" xfId="7" applyNumberFormat="1" applyAlignment="1"/>
    <xf numFmtId="181" fontId="16" fillId="10" borderId="0" xfId="7" applyNumberFormat="1" applyFill="1" applyAlignment="1"/>
    <xf numFmtId="185" fontId="16" fillId="11" borderId="0" xfId="7" applyNumberFormat="1" applyFill="1" applyAlignment="1"/>
    <xf numFmtId="0" fontId="56" fillId="0" borderId="0" xfId="7" applyFont="1" applyAlignment="1">
      <alignment horizontal="left"/>
    </xf>
    <xf numFmtId="0" fontId="56" fillId="0" borderId="0" xfId="7" applyFont="1" applyAlignment="1">
      <alignment horizontal="right"/>
    </xf>
    <xf numFmtId="0" fontId="56" fillId="0" borderId="0" xfId="7" applyFont="1" applyAlignment="1"/>
    <xf numFmtId="185" fontId="41" fillId="0" borderId="0" xfId="7" applyNumberFormat="1" applyFont="1" applyAlignment="1"/>
    <xf numFmtId="9" fontId="56" fillId="0" borderId="0" xfId="7" applyNumberFormat="1" applyFont="1" applyAlignment="1"/>
    <xf numFmtId="0" fontId="57" fillId="0" borderId="0" xfId="7" applyFont="1" applyAlignment="1">
      <alignment horizontal="left"/>
    </xf>
    <xf numFmtId="0" fontId="57" fillId="0" borderId="0" xfId="7" applyFont="1" applyAlignment="1">
      <alignment horizontal="right"/>
    </xf>
    <xf numFmtId="176" fontId="57" fillId="0" borderId="0" xfId="7" applyNumberFormat="1" applyFont="1" applyAlignment="1">
      <alignment horizontal="right"/>
    </xf>
    <xf numFmtId="185" fontId="57" fillId="0" borderId="0" xfId="7" applyNumberFormat="1" applyFont="1" applyAlignment="1">
      <alignment horizontal="right"/>
    </xf>
    <xf numFmtId="8" fontId="5" fillId="0" borderId="0" xfId="1" applyNumberFormat="1" applyFont="1" applyBorder="1" applyAlignment="1">
      <alignment horizontal="right"/>
    </xf>
    <xf numFmtId="8" fontId="5" fillId="0" borderId="0" xfId="1" applyNumberFormat="1" applyFont="1" applyFill="1" applyAlignment="1">
      <alignment horizontal="right"/>
    </xf>
    <xf numFmtId="0" fontId="58" fillId="0" borderId="0" xfId="7" applyFont="1" applyAlignment="1">
      <alignment horizontal="left"/>
    </xf>
    <xf numFmtId="0" fontId="58" fillId="0" borderId="0" xfId="7" applyFont="1" applyAlignment="1">
      <alignment horizontal="right"/>
    </xf>
    <xf numFmtId="9" fontId="58" fillId="0" borderId="0" xfId="7" applyNumberFormat="1" applyFont="1" applyAlignment="1"/>
    <xf numFmtId="0" fontId="58" fillId="0" borderId="0" xfId="7" applyFont="1" applyAlignment="1"/>
    <xf numFmtId="181" fontId="16" fillId="0" borderId="0" xfId="7" applyNumberFormat="1" applyAlignment="1">
      <alignment horizontal="right"/>
    </xf>
    <xf numFmtId="195" fontId="16" fillId="0" borderId="0" xfId="2" applyNumberFormat="1" applyFont="1" applyBorder="1" applyAlignment="1">
      <alignment horizontal="right"/>
    </xf>
    <xf numFmtId="6" fontId="16" fillId="0" borderId="0" xfId="7" applyNumberFormat="1" applyAlignment="1"/>
    <xf numFmtId="183" fontId="16" fillId="0" borderId="0" xfId="7" applyNumberFormat="1" applyAlignment="1"/>
    <xf numFmtId="175" fontId="59" fillId="0" borderId="0" xfId="2" applyNumberFormat="1" applyFont="1" applyBorder="1" applyAlignment="1"/>
    <xf numFmtId="175" fontId="59" fillId="0" borderId="0" xfId="7" applyNumberFormat="1" applyFont="1" applyAlignment="1"/>
    <xf numFmtId="0" fontId="60" fillId="6" borderId="0" xfId="0" applyFont="1" applyFill="1" applyAlignment="1">
      <alignment horizontal="right"/>
    </xf>
    <xf numFmtId="0" fontId="33" fillId="6" borderId="0" xfId="0" applyFont="1" applyFill="1" applyAlignment="1">
      <alignment horizontal="right"/>
    </xf>
    <xf numFmtId="0" fontId="5" fillId="0" borderId="0" xfId="0" applyFont="1" applyAlignment="1">
      <alignment horizontal="right"/>
    </xf>
    <xf numFmtId="0" fontId="16" fillId="0" borderId="0" xfId="0" applyFont="1" applyAlignment="1">
      <alignment horizontal="right"/>
    </xf>
    <xf numFmtId="0" fontId="33" fillId="6" borderId="0" xfId="0" applyFont="1" applyFill="1" applyAlignment="1">
      <alignment horizontal="center"/>
    </xf>
    <xf numFmtId="0" fontId="33" fillId="6" borderId="0" xfId="0" applyFont="1" applyFill="1" applyAlignment="1"/>
    <xf numFmtId="0" fontId="5" fillId="0" borderId="0" xfId="0" applyFont="1" applyAlignment="1"/>
    <xf numFmtId="0" fontId="16" fillId="0" borderId="0" xfId="0" applyFont="1" applyAlignment="1"/>
    <xf numFmtId="3" fontId="16" fillId="0" borderId="0" xfId="0" applyNumberFormat="1" applyFont="1" applyAlignment="1"/>
    <xf numFmtId="3" fontId="5" fillId="0" borderId="0" xfId="0" applyNumberFormat="1" applyFont="1" applyAlignment="1"/>
    <xf numFmtId="3" fontId="40" fillId="0" borderId="0" xfId="0" applyNumberFormat="1" applyFont="1" applyAlignment="1"/>
    <xf numFmtId="164" fontId="16" fillId="0" borderId="0" xfId="0" applyNumberFormat="1" applyFont="1" applyAlignment="1"/>
    <xf numFmtId="170" fontId="16" fillId="0" borderId="0" xfId="0" applyNumberFormat="1" applyFont="1" applyAlignment="1"/>
    <xf numFmtId="170" fontId="42" fillId="0" borderId="0" xfId="0" applyNumberFormat="1" applyFont="1" applyAlignment="1"/>
    <xf numFmtId="170" fontId="44" fillId="0" borderId="0" xfId="0" applyNumberFormat="1" applyFont="1" applyAlignment="1"/>
    <xf numFmtId="168" fontId="44" fillId="0" borderId="0" xfId="1" applyNumberFormat="1" applyFont="1" applyAlignment="1"/>
    <xf numFmtId="9" fontId="33" fillId="6" borderId="0" xfId="3" applyFont="1" applyFill="1" applyAlignment="1"/>
    <xf numFmtId="170" fontId="5" fillId="0" borderId="0" xfId="0" applyNumberFormat="1" applyFont="1" applyAlignment="1"/>
    <xf numFmtId="9" fontId="44" fillId="0" borderId="0" xfId="0" applyNumberFormat="1" applyFont="1" applyAlignment="1"/>
    <xf numFmtId="9" fontId="5" fillId="0" borderId="0" xfId="3" applyFont="1" applyFill="1" applyAlignment="1"/>
    <xf numFmtId="170" fontId="5" fillId="0" borderId="0" xfId="0" applyNumberFormat="1" applyFont="1" applyAlignment="1">
      <alignment horizontal="left" indent="1"/>
    </xf>
    <xf numFmtId="170" fontId="40" fillId="0" borderId="0" xfId="0" applyNumberFormat="1" applyFont="1" applyAlignment="1"/>
    <xf numFmtId="170" fontId="5" fillId="0" borderId="0" xfId="3" applyNumberFormat="1" applyFont="1" applyFill="1" applyBorder="1" applyAlignment="1"/>
    <xf numFmtId="165" fontId="16" fillId="0" borderId="0" xfId="0" applyNumberFormat="1" applyFont="1" applyAlignment="1"/>
    <xf numFmtId="0" fontId="16" fillId="0" borderId="0" xfId="0" applyFont="1" applyAlignment="1">
      <alignment horizontal="center"/>
    </xf>
    <xf numFmtId="3" fontId="16" fillId="0" borderId="0" xfId="0" applyNumberFormat="1" applyFont="1" applyAlignment="1">
      <alignment horizontal="left" indent="1"/>
    </xf>
    <xf numFmtId="0" fontId="16" fillId="0" borderId="0" xfId="0" applyFont="1" applyAlignment="1">
      <alignment horizontal="left" indent="1"/>
    </xf>
    <xf numFmtId="170" fontId="42" fillId="0" borderId="0" xfId="3" applyNumberFormat="1" applyFont="1" applyBorder="1" applyAlignment="1"/>
    <xf numFmtId="0" fontId="5" fillId="16" borderId="0" xfId="0" applyFont="1" applyFill="1" applyAlignment="1"/>
    <xf numFmtId="167" fontId="16" fillId="0" borderId="0" xfId="0" applyNumberFormat="1" applyFont="1" applyAlignment="1"/>
    <xf numFmtId="167" fontId="42" fillId="0" borderId="0" xfId="0" applyNumberFormat="1" applyFont="1" applyAlignment="1"/>
    <xf numFmtId="167" fontId="5" fillId="0" borderId="0" xfId="0" applyNumberFormat="1" applyFont="1" applyAlignment="1"/>
    <xf numFmtId="167" fontId="40" fillId="0" borderId="0" xfId="0" applyNumberFormat="1" applyFont="1" applyAlignment="1"/>
    <xf numFmtId="43" fontId="5" fillId="0" borderId="0" xfId="1" applyFont="1" applyAlignment="1"/>
    <xf numFmtId="9" fontId="5" fillId="0" borderId="0" xfId="0" applyNumberFormat="1" applyFont="1" applyAlignment="1"/>
    <xf numFmtId="0" fontId="16" fillId="0" borderId="0" xfId="0" applyFont="1" applyAlignment="1">
      <alignment horizontal="left" indent="2"/>
    </xf>
    <xf numFmtId="165" fontId="16" fillId="0" borderId="0" xfId="0" applyNumberFormat="1" applyFont="1" applyAlignment="1">
      <alignment horizontal="right"/>
    </xf>
    <xf numFmtId="1" fontId="16" fillId="0" borderId="0" xfId="0" applyNumberFormat="1" applyFont="1" applyAlignment="1"/>
    <xf numFmtId="0" fontId="61" fillId="17" borderId="0" xfId="14" applyFont="1" applyFill="1" applyAlignment="1">
      <alignment horizontal="left"/>
    </xf>
    <xf numFmtId="0" fontId="62" fillId="17" borderId="0" xfId="14" applyFont="1" applyFill="1" applyAlignment="1">
      <alignment horizontal="right"/>
    </xf>
    <xf numFmtId="0" fontId="62" fillId="0" borderId="0" xfId="14" applyFont="1" applyAlignment="1">
      <alignment horizontal="right"/>
    </xf>
    <xf numFmtId="3" fontId="62" fillId="0" borderId="0" xfId="14" applyNumberFormat="1" applyFont="1" applyAlignment="1">
      <alignment horizontal="left"/>
    </xf>
    <xf numFmtId="3" fontId="62" fillId="0" borderId="0" xfId="14" applyNumberFormat="1" applyFont="1" applyAlignment="1">
      <alignment horizontal="right"/>
    </xf>
    <xf numFmtId="0" fontId="62" fillId="0" borderId="0" xfId="14" applyFont="1" applyAlignment="1">
      <alignment horizontal="left" indent="1"/>
    </xf>
    <xf numFmtId="9" fontId="62" fillId="0" borderId="0" xfId="14" applyNumberFormat="1" applyFont="1" applyAlignment="1">
      <alignment horizontal="right"/>
    </xf>
    <xf numFmtId="0" fontId="62" fillId="0" borderId="0" xfId="14" quotePrefix="1" applyFont="1" applyAlignment="1">
      <alignment horizontal="right"/>
    </xf>
    <xf numFmtId="3" fontId="61" fillId="0" borderId="0" xfId="14" applyNumberFormat="1" applyFont="1" applyAlignment="1">
      <alignment horizontal="left"/>
    </xf>
    <xf numFmtId="3" fontId="61" fillId="0" borderId="0" xfId="14" applyNumberFormat="1" applyFont="1" applyAlignment="1">
      <alignment horizontal="right"/>
    </xf>
    <xf numFmtId="9" fontId="62" fillId="0" borderId="0" xfId="3" applyFont="1" applyAlignment="1">
      <alignment horizontal="right"/>
    </xf>
    <xf numFmtId="9" fontId="62" fillId="0" borderId="0" xfId="3" applyFont="1" applyFill="1" applyAlignment="1">
      <alignment horizontal="right"/>
    </xf>
    <xf numFmtId="0" fontId="16" fillId="0" borderId="0" xfId="17" applyAlignment="1"/>
    <xf numFmtId="0" fontId="16" fillId="0" borderId="0" xfId="17" applyAlignment="1">
      <alignment horizontal="center"/>
    </xf>
    <xf numFmtId="0" fontId="61" fillId="17" borderId="0" xfId="14" applyFont="1" applyFill="1" applyAlignment="1">
      <alignment horizontal="right"/>
    </xf>
    <xf numFmtId="0" fontId="61" fillId="0" borderId="0" xfId="14" applyFont="1" applyAlignment="1">
      <alignment horizontal="right"/>
    </xf>
    <xf numFmtId="1" fontId="61" fillId="17" borderId="0" xfId="14" applyNumberFormat="1" applyFont="1" applyFill="1" applyAlignment="1">
      <alignment horizontal="right"/>
    </xf>
    <xf numFmtId="3" fontId="61" fillId="17" borderId="0" xfId="14" applyNumberFormat="1" applyFont="1" applyFill="1" applyAlignment="1">
      <alignment horizontal="right"/>
    </xf>
    <xf numFmtId="1" fontId="62" fillId="17" borderId="0" xfId="14" applyNumberFormat="1" applyFont="1" applyFill="1" applyAlignment="1">
      <alignment horizontal="right"/>
    </xf>
    <xf numFmtId="9" fontId="62" fillId="17" borderId="0" xfId="14" applyNumberFormat="1" applyFont="1" applyFill="1" applyAlignment="1">
      <alignment horizontal="right"/>
    </xf>
    <xf numFmtId="3" fontId="5" fillId="0" borderId="0" xfId="16" applyNumberFormat="1" applyFont="1" applyAlignment="1">
      <alignment horizontal="right"/>
    </xf>
    <xf numFmtId="3" fontId="5" fillId="0" borderId="0" xfId="18" applyNumberFormat="1" applyFont="1" applyAlignment="1">
      <alignment horizontal="right"/>
    </xf>
    <xf numFmtId="3" fontId="0" fillId="0" borderId="0" xfId="0" applyNumberFormat="1" applyAlignment="1"/>
    <xf numFmtId="9" fontId="0" fillId="0" borderId="0" xfId="3" applyFont="1" applyAlignment="1"/>
    <xf numFmtId="0" fontId="34" fillId="6" borderId="0" xfId="0" applyFont="1" applyFill="1" applyAlignment="1"/>
    <xf numFmtId="164" fontId="34" fillId="6" borderId="0" xfId="0" applyNumberFormat="1" applyFont="1" applyFill="1" applyAlignment="1"/>
    <xf numFmtId="1" fontId="34" fillId="6" borderId="0" xfId="0" applyNumberFormat="1" applyFont="1" applyFill="1" applyAlignment="1"/>
    <xf numFmtId="1" fontId="33" fillId="6" borderId="0" xfId="3" applyNumberFormat="1" applyFont="1" applyFill="1" applyAlignment="1">
      <alignment horizontal="right"/>
    </xf>
    <xf numFmtId="170" fontId="33" fillId="6" borderId="0" xfId="3" applyNumberFormat="1" applyFont="1" applyFill="1" applyAlignment="1">
      <alignment horizontal="right"/>
    </xf>
    <xf numFmtId="0" fontId="63" fillId="6" borderId="0" xfId="0" applyFont="1" applyFill="1" applyAlignment="1">
      <alignment horizontal="left"/>
    </xf>
    <xf numFmtId="3" fontId="33" fillId="6" borderId="0" xfId="0" applyNumberFormat="1" applyFont="1" applyFill="1" applyAlignment="1">
      <alignment horizontal="right"/>
    </xf>
    <xf numFmtId="0" fontId="0" fillId="0" borderId="0" xfId="0" applyAlignment="1">
      <alignment horizontal="right"/>
    </xf>
    <xf numFmtId="3" fontId="5" fillId="16" borderId="0" xfId="0" applyNumberFormat="1" applyFont="1" applyFill="1" applyAlignment="1"/>
    <xf numFmtId="3" fontId="40" fillId="16" borderId="0" xfId="0" applyNumberFormat="1" applyFont="1" applyFill="1" applyAlignment="1"/>
    <xf numFmtId="3" fontId="5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left" indent="1"/>
    </xf>
    <xf numFmtId="170" fontId="16" fillId="0" borderId="0" xfId="0" applyNumberFormat="1" applyFont="1" applyAlignment="1">
      <alignment horizontal="center"/>
    </xf>
    <xf numFmtId="170" fontId="0" fillId="0" borderId="0" xfId="0" applyNumberFormat="1" applyAlignment="1"/>
    <xf numFmtId="170" fontId="16" fillId="0" borderId="0" xfId="0" applyNumberFormat="1" applyFont="1" applyAlignment="1">
      <alignment horizontal="left" indent="2"/>
    </xf>
    <xf numFmtId="168" fontId="44" fillId="0" borderId="0" xfId="1" applyNumberFormat="1" applyFont="1" applyFill="1" applyBorder="1" applyAlignment="1"/>
    <xf numFmtId="170" fontId="16" fillId="0" borderId="0" xfId="3" applyNumberFormat="1" applyFont="1" applyFill="1" applyAlignment="1"/>
    <xf numFmtId="3" fontId="5" fillId="0" borderId="0" xfId="0" applyNumberFormat="1" applyFont="1" applyAlignment="1">
      <alignment horizontal="left"/>
    </xf>
    <xf numFmtId="3" fontId="5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left" indent="2"/>
    </xf>
    <xf numFmtId="167" fontId="5" fillId="16" borderId="0" xfId="0" applyNumberFormat="1" applyFont="1" applyFill="1" applyAlignment="1"/>
    <xf numFmtId="170" fontId="42" fillId="0" borderId="0" xfId="3" applyNumberFormat="1" applyFont="1" applyFill="1" applyAlignment="1"/>
    <xf numFmtId="3" fontId="16" fillId="0" borderId="0" xfId="0" applyNumberFormat="1" applyFont="1" applyAlignment="1">
      <alignment horizontal="center"/>
    </xf>
    <xf numFmtId="3" fontId="16" fillId="0" borderId="0" xfId="0" applyNumberFormat="1" applyFont="1" applyAlignment="1">
      <alignment horizontal="left" indent="2"/>
    </xf>
    <xf numFmtId="170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8" fontId="42" fillId="0" borderId="0" xfId="1" applyNumberFormat="1" applyFont="1" applyFill="1" applyAlignment="1"/>
    <xf numFmtId="168" fontId="26" fillId="0" borderId="0" xfId="1" applyNumberFormat="1" applyFont="1" applyFill="1" applyAlignment="1"/>
    <xf numFmtId="9" fontId="26" fillId="0" borderId="0" xfId="3" applyFont="1" applyFill="1" applyAlignment="1"/>
    <xf numFmtId="168" fontId="16" fillId="0" borderId="0" xfId="1" applyNumberFormat="1" applyFont="1" applyFill="1" applyAlignment="1"/>
    <xf numFmtId="9" fontId="42" fillId="0" borderId="0" xfId="3" applyFont="1" applyFill="1" applyAlignment="1"/>
    <xf numFmtId="3" fontId="16" fillId="0" borderId="0" xfId="0" applyNumberFormat="1" applyFont="1" applyAlignment="1">
      <alignment horizontal="right"/>
    </xf>
    <xf numFmtId="168" fontId="5" fillId="0" borderId="0" xfId="1" applyNumberFormat="1" applyFont="1" applyFill="1" applyAlignment="1"/>
    <xf numFmtId="9" fontId="33" fillId="6" borderId="0" xfId="3" applyFont="1" applyFill="1" applyAlignment="1">
      <alignment horizontal="right"/>
    </xf>
    <xf numFmtId="170" fontId="16" fillId="0" borderId="0" xfId="0" quotePrefix="1" applyNumberFormat="1" applyFont="1" applyAlignment="1"/>
    <xf numFmtId="168" fontId="44" fillId="0" borderId="0" xfId="1" applyNumberFormat="1" applyFont="1" applyFill="1" applyAlignment="1"/>
    <xf numFmtId="165" fontId="42" fillId="0" borderId="0" xfId="0" applyNumberFormat="1" applyFont="1" applyAlignment="1">
      <alignment horizontal="right"/>
    </xf>
    <xf numFmtId="167" fontId="33" fillId="6" borderId="0" xfId="0" applyNumberFormat="1" applyFont="1" applyFill="1" applyAlignment="1">
      <alignment horizontal="right"/>
    </xf>
    <xf numFmtId="0" fontId="5" fillId="6" borderId="0" xfId="0" applyFont="1" applyFill="1" applyAlignment="1">
      <alignment horizontal="right"/>
    </xf>
    <xf numFmtId="0" fontId="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43" fontId="16" fillId="0" borderId="0" xfId="0" applyNumberFormat="1" applyFont="1" applyAlignment="1"/>
    <xf numFmtId="0" fontId="33" fillId="0" borderId="0" xfId="0" applyFont="1" applyAlignment="1">
      <alignment horizontal="left"/>
    </xf>
    <xf numFmtId="0" fontId="33" fillId="18" borderId="0" xfId="0" applyFont="1" applyFill="1" applyAlignment="1">
      <alignment horizontal="right"/>
    </xf>
    <xf numFmtId="0" fontId="33" fillId="0" borderId="0" xfId="0" applyFont="1" applyAlignment="1">
      <alignment horizontal="right"/>
    </xf>
    <xf numFmtId="0" fontId="33" fillId="18" borderId="0" xfId="0" applyFont="1" applyFill="1" applyAlignment="1">
      <alignment horizontal="left"/>
    </xf>
    <xf numFmtId="43" fontId="16" fillId="0" borderId="0" xfId="1" applyFont="1" applyBorder="1" applyAlignment="1"/>
    <xf numFmtId="170" fontId="5" fillId="0" borderId="0" xfId="0" applyNumberFormat="1" applyFont="1" applyAlignment="1">
      <alignment horizontal="center"/>
    </xf>
    <xf numFmtId="164" fontId="34" fillId="18" borderId="0" xfId="0" applyNumberFormat="1" applyFont="1" applyFill="1" applyAlignment="1">
      <alignment horizontal="right"/>
    </xf>
    <xf numFmtId="164" fontId="42" fillId="18" borderId="0" xfId="0" applyNumberFormat="1" applyFont="1" applyFill="1" applyAlignment="1">
      <alignment horizontal="right"/>
    </xf>
    <xf numFmtId="164" fontId="16" fillId="18" borderId="0" xfId="0" applyNumberFormat="1" applyFont="1" applyFill="1" applyAlignment="1">
      <alignment horizontal="right"/>
    </xf>
    <xf numFmtId="0" fontId="40" fillId="18" borderId="0" xfId="0" applyFont="1" applyFill="1" applyAlignment="1">
      <alignment horizontal="right"/>
    </xf>
    <xf numFmtId="0" fontId="5" fillId="4" borderId="0" xfId="0" applyFont="1" applyFill="1" applyAlignment="1"/>
    <xf numFmtId="0" fontId="40" fillId="4" borderId="0" xfId="0" applyFont="1" applyFill="1" applyAlignment="1"/>
    <xf numFmtId="1" fontId="40" fillId="4" borderId="0" xfId="0" applyNumberFormat="1" applyFont="1" applyFill="1" applyAlignment="1"/>
    <xf numFmtId="0" fontId="5" fillId="4" borderId="0" xfId="0" applyFont="1" applyFill="1" applyAlignment="1">
      <alignment horizontal="right"/>
    </xf>
    <xf numFmtId="3" fontId="40" fillId="0" borderId="0" xfId="0" applyNumberFormat="1" applyFont="1" applyAlignment="1">
      <alignment horizontal="right"/>
    </xf>
    <xf numFmtId="170" fontId="16" fillId="0" borderId="0" xfId="3" applyNumberFormat="1" applyFont="1" applyBorder="1" applyAlignment="1"/>
    <xf numFmtId="170" fontId="16" fillId="0" borderId="0" xfId="3" applyNumberFormat="1" applyFont="1" applyFill="1" applyBorder="1" applyAlignment="1"/>
    <xf numFmtId="170" fontId="16" fillId="0" borderId="0" xfId="8" applyNumberFormat="1" applyFont="1" applyFill="1" applyBorder="1" applyAlignment="1"/>
    <xf numFmtId="170" fontId="16" fillId="0" borderId="0" xfId="3" applyNumberFormat="1" applyFont="1" applyBorder="1" applyAlignment="1">
      <alignment horizontal="right"/>
    </xf>
    <xf numFmtId="170" fontId="5" fillId="0" borderId="0" xfId="3" applyNumberFormat="1" applyFont="1" applyFill="1" applyBorder="1" applyAlignment="1">
      <alignment horizontal="right"/>
    </xf>
    <xf numFmtId="170" fontId="16" fillId="0" borderId="0" xfId="3" applyNumberFormat="1" applyFont="1" applyFill="1" applyBorder="1" applyAlignment="1">
      <alignment horizontal="right"/>
    </xf>
    <xf numFmtId="170" fontId="42" fillId="0" borderId="0" xfId="3" applyNumberFormat="1" applyFont="1" applyBorder="1" applyAlignment="1">
      <alignment horizontal="right"/>
    </xf>
    <xf numFmtId="3" fontId="33" fillId="6" borderId="0" xfId="0" applyNumberFormat="1" applyFont="1" applyFill="1" applyAlignment="1"/>
    <xf numFmtId="3" fontId="5" fillId="4" borderId="0" xfId="0" applyNumberFormat="1" applyFont="1" applyFill="1" applyAlignment="1"/>
    <xf numFmtId="0" fontId="40" fillId="4" borderId="0" xfId="0" applyFont="1" applyFill="1" applyAlignment="1">
      <alignment horizontal="right"/>
    </xf>
    <xf numFmtId="9" fontId="16" fillId="0" borderId="0" xfId="3" applyFont="1" applyBorder="1" applyAlignment="1">
      <alignment horizontal="right"/>
    </xf>
    <xf numFmtId="9" fontId="16" fillId="0" borderId="0" xfId="3" applyFont="1" applyFill="1" applyBorder="1" applyAlignment="1">
      <alignment horizontal="right"/>
    </xf>
    <xf numFmtId="9" fontId="42" fillId="0" borderId="0" xfId="3" applyFont="1" applyBorder="1" applyAlignment="1">
      <alignment horizontal="right"/>
    </xf>
    <xf numFmtId="0" fontId="16" fillId="9" borderId="0" xfId="0" applyFont="1" applyFill="1" applyAlignment="1"/>
    <xf numFmtId="0" fontId="42" fillId="9" borderId="0" xfId="0" applyFont="1" applyFill="1" applyAlignment="1"/>
    <xf numFmtId="1" fontId="34" fillId="9" borderId="0" xfId="0" applyNumberFormat="1" applyFont="1" applyFill="1" applyAlignment="1"/>
    <xf numFmtId="1" fontId="16" fillId="9" borderId="0" xfId="0" applyNumberFormat="1" applyFont="1" applyFill="1" applyAlignment="1"/>
    <xf numFmtId="0" fontId="34" fillId="9" borderId="0" xfId="0" applyFont="1" applyFill="1" applyAlignment="1">
      <alignment horizontal="right"/>
    </xf>
    <xf numFmtId="0" fontId="42" fillId="0" borderId="0" xfId="0" applyFont="1" applyAlignment="1"/>
    <xf numFmtId="0" fontId="16" fillId="4" borderId="0" xfId="0" applyFont="1" applyFill="1" applyAlignment="1">
      <alignment horizontal="left" indent="1"/>
    </xf>
    <xf numFmtId="164" fontId="16" fillId="4" borderId="0" xfId="0" applyNumberFormat="1" applyFont="1" applyFill="1" applyAlignment="1"/>
    <xf numFmtId="164" fontId="42" fillId="4" borderId="0" xfId="0" applyNumberFormat="1" applyFont="1" applyFill="1" applyAlignment="1"/>
    <xf numFmtId="164" fontId="16" fillId="4" borderId="0" xfId="0" applyNumberFormat="1" applyFont="1" applyFill="1" applyAlignment="1">
      <alignment horizontal="right"/>
    </xf>
    <xf numFmtId="164" fontId="42" fillId="4" borderId="0" xfId="0" applyNumberFormat="1" applyFont="1" applyFill="1" applyAlignment="1">
      <alignment horizontal="right"/>
    </xf>
    <xf numFmtId="3" fontId="17" fillId="0" borderId="0" xfId="0" applyNumberFormat="1" applyFont="1" applyAlignment="1">
      <alignment horizontal="left"/>
    </xf>
    <xf numFmtId="3" fontId="20" fillId="0" borderId="0" xfId="0" applyNumberFormat="1" applyFont="1" applyAlignment="1"/>
    <xf numFmtId="170" fontId="22" fillId="0" borderId="0" xfId="0" applyNumberFormat="1" applyFont="1" applyAlignment="1"/>
    <xf numFmtId="170" fontId="17" fillId="0" borderId="0" xfId="0" applyNumberFormat="1" applyFont="1" applyAlignment="1">
      <alignment horizontal="left" indent="1"/>
    </xf>
    <xf numFmtId="4" fontId="15" fillId="0" borderId="0" xfId="0" applyNumberFormat="1" applyFont="1" applyAlignment="1"/>
    <xf numFmtId="3" fontId="17" fillId="0" borderId="0" xfId="0" applyNumberFormat="1" applyFont="1" applyAlignment="1">
      <alignment horizontal="left" indent="1"/>
    </xf>
    <xf numFmtId="170" fontId="21" fillId="0" borderId="0" xfId="3" applyNumberFormat="1" applyFont="1" applyFill="1" applyAlignment="1"/>
    <xf numFmtId="170" fontId="24" fillId="0" borderId="0" xfId="0" applyNumberFormat="1" applyFont="1" applyAlignment="1">
      <alignment horizontal="left" indent="1"/>
    </xf>
    <xf numFmtId="3" fontId="24" fillId="0" borderId="0" xfId="0" applyNumberFormat="1" applyFont="1" applyAlignment="1"/>
    <xf numFmtId="170" fontId="24" fillId="0" borderId="0" xfId="0" applyNumberFormat="1" applyFont="1" applyAlignment="1"/>
    <xf numFmtId="170" fontId="24" fillId="0" borderId="0" xfId="0" applyNumberFormat="1" applyFont="1" applyAlignment="1">
      <alignment horizontal="left" indent="2"/>
    </xf>
    <xf numFmtId="170" fontId="21" fillId="0" borderId="0" xfId="3" applyNumberFormat="1" applyFont="1" applyFill="1" applyBorder="1" applyAlignment="1"/>
    <xf numFmtId="171" fontId="17" fillId="0" borderId="0" xfId="0" applyNumberFormat="1" applyFont="1" applyAlignment="1"/>
    <xf numFmtId="170" fontId="17" fillId="0" borderId="0" xfId="0" applyNumberFormat="1" applyFont="1" applyAlignment="1">
      <alignment horizontal="left"/>
    </xf>
    <xf numFmtId="3" fontId="23" fillId="0" borderId="0" xfId="0" applyNumberFormat="1" applyFont="1" applyAlignment="1"/>
    <xf numFmtId="171" fontId="15" fillId="0" borderId="0" xfId="0" applyNumberFormat="1" applyFont="1" applyAlignment="1"/>
    <xf numFmtId="4" fontId="23" fillId="0" borderId="0" xfId="0" applyNumberFormat="1" applyFont="1" applyAlignment="1"/>
    <xf numFmtId="172" fontId="17" fillId="0" borderId="0" xfId="0" applyNumberFormat="1" applyFont="1" applyAlignment="1">
      <alignment horizontal="left"/>
    </xf>
    <xf numFmtId="172" fontId="17" fillId="0" borderId="0" xfId="0" applyNumberFormat="1" applyFont="1" applyAlignment="1"/>
    <xf numFmtId="172" fontId="20" fillId="0" borderId="0" xfId="0" applyNumberFormat="1" applyFont="1" applyAlignment="1"/>
    <xf numFmtId="172" fontId="21" fillId="0" borderId="0" xfId="0" applyNumberFormat="1" applyFont="1" applyAlignment="1"/>
    <xf numFmtId="172" fontId="15" fillId="0" borderId="0" xfId="0" applyNumberFormat="1" applyFont="1" applyAlignment="1"/>
    <xf numFmtId="172" fontId="17" fillId="0" borderId="0" xfId="0" applyNumberFormat="1" applyFont="1" applyAlignment="1">
      <alignment horizontal="right"/>
    </xf>
    <xf numFmtId="172" fontId="21" fillId="0" borderId="0" xfId="0" applyNumberFormat="1" applyFont="1" applyAlignment="1">
      <alignment horizontal="right"/>
    </xf>
    <xf numFmtId="165" fontId="17" fillId="0" borderId="0" xfId="0" applyNumberFormat="1" applyFont="1" applyAlignment="1"/>
    <xf numFmtId="9" fontId="23" fillId="0" borderId="0" xfId="3" applyFont="1" applyFill="1" applyAlignment="1"/>
    <xf numFmtId="168" fontId="15" fillId="0" borderId="0" xfId="1" applyNumberFormat="1" applyFont="1" applyFill="1" applyAlignment="1"/>
    <xf numFmtId="43" fontId="15" fillId="0" borderId="0" xfId="1" applyFont="1" applyFill="1" applyAlignment="1"/>
    <xf numFmtId="9" fontId="15" fillId="0" borderId="0" xfId="3" applyFont="1" applyFill="1" applyBorder="1" applyAlignment="1"/>
    <xf numFmtId="43" fontId="17" fillId="0" borderId="0" xfId="1" applyFont="1" applyFill="1" applyBorder="1" applyAlignment="1"/>
    <xf numFmtId="167" fontId="15" fillId="0" borderId="0" xfId="3" applyNumberFormat="1" applyFont="1" applyFill="1" applyAlignment="1"/>
    <xf numFmtId="2" fontId="15" fillId="0" borderId="0" xfId="3" applyNumberFormat="1" applyFont="1" applyFill="1" applyBorder="1" applyAlignment="1"/>
    <xf numFmtId="167" fontId="17" fillId="0" borderId="0" xfId="3" applyNumberFormat="1" applyFont="1" applyFill="1" applyAlignment="1"/>
    <xf numFmtId="10" fontId="17" fillId="0" borderId="0" xfId="3" applyNumberFormat="1" applyFont="1" applyFill="1" applyBorder="1" applyAlignment="1"/>
    <xf numFmtId="165" fontId="15" fillId="0" borderId="0" xfId="3" applyNumberFormat="1" applyFont="1" applyFill="1" applyAlignment="1"/>
    <xf numFmtId="165" fontId="15" fillId="0" borderId="0" xfId="3" applyNumberFormat="1" applyFont="1" applyFill="1" applyBorder="1" applyAlignment="1"/>
    <xf numFmtId="3" fontId="15" fillId="0" borderId="0" xfId="3" applyNumberFormat="1" applyFont="1" applyFill="1" applyAlignment="1"/>
    <xf numFmtId="164" fontId="15" fillId="0" borderId="0" xfId="3" applyNumberFormat="1" applyFont="1" applyFill="1" applyAlignment="1"/>
    <xf numFmtId="10" fontId="15" fillId="0" borderId="0" xfId="3" applyNumberFormat="1" applyFont="1" applyFill="1" applyBorder="1" applyAlignment="1"/>
    <xf numFmtId="170" fontId="25" fillId="0" borderId="0" xfId="3" applyNumberFormat="1" applyFont="1" applyFill="1" applyAlignment="1"/>
    <xf numFmtId="170" fontId="23" fillId="0" borderId="0" xfId="8" applyNumberFormat="1" applyFont="1" applyFill="1" applyAlignment="1"/>
    <xf numFmtId="170" fontId="18" fillId="0" borderId="0" xfId="0" applyNumberFormat="1" applyFont="1" applyAlignment="1">
      <alignment horizontal="center"/>
    </xf>
    <xf numFmtId="166" fontId="31" fillId="0" borderId="0" xfId="0" applyNumberFormat="1" applyFont="1" applyAlignment="1"/>
    <xf numFmtId="0" fontId="35" fillId="0" borderId="0" xfId="7" applyFont="1" applyAlignment="1">
      <alignment horizontal="left"/>
    </xf>
    <xf numFmtId="173" fontId="36" fillId="0" borderId="0" xfId="7" applyNumberFormat="1" applyFont="1" applyAlignment="1">
      <alignment horizontal="right"/>
    </xf>
    <xf numFmtId="0" fontId="36" fillId="0" borderId="0" xfId="7" applyFont="1" applyAlignment="1">
      <alignment horizontal="right"/>
    </xf>
    <xf numFmtId="173" fontId="16" fillId="0" borderId="0" xfId="7" applyNumberFormat="1" applyAlignment="1">
      <alignment horizontal="right"/>
    </xf>
    <xf numFmtId="173" fontId="36" fillId="0" borderId="0" xfId="10" applyNumberFormat="1" applyFont="1" applyFill="1" applyBorder="1" applyAlignment="1">
      <protection locked="0"/>
    </xf>
    <xf numFmtId="173" fontId="36" fillId="0" borderId="0" xfId="7" applyNumberFormat="1" applyFont="1" applyAlignment="1"/>
    <xf numFmtId="173" fontId="35" fillId="0" borderId="0" xfId="7" applyNumberFormat="1" applyFont="1" applyAlignment="1">
      <alignment horizontal="right"/>
    </xf>
    <xf numFmtId="9" fontId="35" fillId="0" borderId="0" xfId="7" applyNumberFormat="1" applyFont="1" applyAlignment="1">
      <alignment horizontal="right"/>
    </xf>
    <xf numFmtId="173" fontId="35" fillId="0" borderId="0" xfId="7" applyNumberFormat="1" applyFont="1" applyAlignment="1"/>
    <xf numFmtId="10" fontId="36" fillId="0" borderId="0" xfId="7" applyNumberFormat="1" applyFont="1" applyAlignment="1"/>
    <xf numFmtId="4" fontId="35" fillId="0" borderId="0" xfId="7" applyNumberFormat="1" applyFont="1" applyAlignment="1"/>
    <xf numFmtId="170" fontId="35" fillId="0" borderId="0" xfId="7" applyNumberFormat="1" applyFont="1" applyAlignment="1"/>
    <xf numFmtId="172" fontId="38" fillId="0" borderId="0" xfId="7" applyNumberFormat="1" applyFont="1" applyAlignment="1">
      <alignment horizontal="right"/>
    </xf>
    <xf numFmtId="170" fontId="38" fillId="0" borderId="0" xfId="7" applyNumberFormat="1" applyFont="1" applyAlignment="1">
      <alignment horizontal="right"/>
    </xf>
    <xf numFmtId="10" fontId="38" fillId="0" borderId="0" xfId="7" applyNumberFormat="1" applyFont="1" applyAlignment="1">
      <alignment horizontal="right"/>
    </xf>
    <xf numFmtId="179" fontId="38" fillId="0" borderId="0" xfId="7" applyNumberFormat="1" applyFont="1" applyAlignment="1">
      <alignment horizontal="right"/>
    </xf>
    <xf numFmtId="0" fontId="36" fillId="0" borderId="0" xfId="7" applyFont="1" applyAlignment="1"/>
    <xf numFmtId="172" fontId="39" fillId="0" borderId="0" xfId="7" applyNumberFormat="1" applyFont="1" applyAlignment="1">
      <alignment horizontal="right"/>
    </xf>
    <xf numFmtId="164" fontId="5" fillId="0" borderId="0" xfId="7" applyNumberFormat="1" applyFont="1" applyAlignment="1">
      <alignment horizontal="right"/>
    </xf>
    <xf numFmtId="167" fontId="16" fillId="0" borderId="0" xfId="7" applyNumberFormat="1" applyAlignment="1">
      <alignment horizontal="right"/>
    </xf>
    <xf numFmtId="167" fontId="5" fillId="0" borderId="0" xfId="7" applyNumberFormat="1" applyFont="1" applyAlignment="1">
      <alignment horizontal="right"/>
    </xf>
    <xf numFmtId="167" fontId="40" fillId="0" borderId="0" xfId="7" applyNumberFormat="1" applyFont="1" applyAlignment="1">
      <alignment horizontal="right"/>
    </xf>
    <xf numFmtId="164" fontId="16" fillId="0" borderId="0" xfId="7" applyNumberFormat="1" applyAlignment="1">
      <alignment horizontal="right"/>
    </xf>
    <xf numFmtId="0" fontId="5" fillId="0" borderId="0" xfId="7" quotePrefix="1" applyFont="1" applyAlignment="1">
      <alignment horizontal="right"/>
    </xf>
    <xf numFmtId="180" fontId="41" fillId="0" borderId="0" xfId="7" applyNumberFormat="1" applyFont="1" applyAlignment="1">
      <alignment horizontal="left"/>
    </xf>
    <xf numFmtId="164" fontId="16" fillId="0" borderId="0" xfId="7" quotePrefix="1" applyNumberFormat="1" applyAlignment="1">
      <alignment horizontal="right"/>
    </xf>
    <xf numFmtId="180" fontId="41" fillId="0" borderId="0" xfId="7" applyNumberFormat="1" applyFont="1" applyAlignment="1">
      <alignment horizontal="left" indent="1"/>
    </xf>
    <xf numFmtId="165" fontId="41" fillId="0" borderId="0" xfId="7" applyNumberFormat="1" applyFont="1" applyAlignment="1"/>
    <xf numFmtId="167" fontId="42" fillId="0" borderId="0" xfId="7" applyNumberFormat="1" applyFont="1" applyAlignment="1">
      <alignment horizontal="right"/>
    </xf>
    <xf numFmtId="167" fontId="42" fillId="0" borderId="0" xfId="1" applyNumberFormat="1" applyFont="1" applyFill="1" applyAlignment="1">
      <alignment horizontal="right"/>
    </xf>
    <xf numFmtId="165" fontId="5" fillId="0" borderId="0" xfId="7" applyNumberFormat="1" applyFont="1" applyAlignment="1"/>
    <xf numFmtId="181" fontId="5" fillId="0" borderId="0" xfId="1" applyNumberFormat="1" applyFont="1" applyFill="1" applyAlignment="1">
      <alignment horizontal="right"/>
    </xf>
    <xf numFmtId="164" fontId="5" fillId="0" borderId="0" xfId="1" applyNumberFormat="1" applyFont="1" applyFill="1" applyAlignment="1">
      <alignment horizontal="right"/>
    </xf>
    <xf numFmtId="182" fontId="5" fillId="0" borderId="2" xfId="7" applyNumberFormat="1" applyFont="1" applyBorder="1" applyAlignment="1">
      <alignment horizontal="center" vertical="center"/>
    </xf>
    <xf numFmtId="182" fontId="5" fillId="0" borderId="0" xfId="7" applyNumberFormat="1" applyFont="1" applyAlignment="1">
      <alignment horizontal="center" vertical="center"/>
    </xf>
    <xf numFmtId="7" fontId="16" fillId="0" borderId="0" xfId="7" applyNumberFormat="1" applyAlignment="1">
      <alignment horizontal="right"/>
    </xf>
    <xf numFmtId="8" fontId="16" fillId="0" borderId="0" xfId="1" applyNumberFormat="1" applyFont="1" applyFill="1" applyAlignment="1">
      <alignment horizontal="right"/>
    </xf>
    <xf numFmtId="182" fontId="16" fillId="0" borderId="0" xfId="1" applyNumberFormat="1" applyFont="1" applyFill="1" applyAlignment="1">
      <alignment horizontal="right"/>
    </xf>
    <xf numFmtId="172" fontId="41" fillId="0" borderId="0" xfId="7" applyNumberFormat="1" applyFont="1" applyAlignment="1">
      <alignment horizontal="right"/>
    </xf>
    <xf numFmtId="0" fontId="41" fillId="0" borderId="0" xfId="7" applyFont="1" applyAlignment="1">
      <alignment horizontal="right"/>
    </xf>
    <xf numFmtId="183" fontId="45" fillId="0" borderId="0" xfId="7" applyNumberFormat="1" applyFont="1" applyAlignment="1">
      <alignment horizontal="right"/>
    </xf>
    <xf numFmtId="182" fontId="5" fillId="0" borderId="0" xfId="7" applyNumberFormat="1" applyFont="1" applyAlignment="1">
      <alignment horizontal="right"/>
    </xf>
    <xf numFmtId="183" fontId="41" fillId="0" borderId="0" xfId="7" applyNumberFormat="1" applyFont="1" applyAlignment="1">
      <alignment horizontal="right"/>
    </xf>
    <xf numFmtId="0" fontId="35" fillId="0" borderId="0" xfId="7" applyFont="1" applyAlignment="1"/>
    <xf numFmtId="175" fontId="5" fillId="0" borderId="0" xfId="7" applyNumberFormat="1" applyFont="1" applyAlignment="1">
      <alignment horizontal="right"/>
    </xf>
    <xf numFmtId="182" fontId="16" fillId="0" borderId="0" xfId="7" applyNumberFormat="1" applyAlignment="1"/>
    <xf numFmtId="183" fontId="16" fillId="0" borderId="0" xfId="7" applyNumberFormat="1" applyAlignment="1">
      <alignment horizontal="right"/>
    </xf>
    <xf numFmtId="182" fontId="40" fillId="0" borderId="0" xfId="7" applyNumberFormat="1" applyFont="1" applyAlignment="1"/>
    <xf numFmtId="164" fontId="16" fillId="0" borderId="0" xfId="7" applyNumberFormat="1" applyAlignment="1"/>
    <xf numFmtId="7" fontId="16" fillId="0" borderId="0" xfId="7" applyNumberFormat="1" applyAlignment="1"/>
    <xf numFmtId="3" fontId="16" fillId="0" borderId="0" xfId="7" applyNumberFormat="1" applyAlignment="1"/>
    <xf numFmtId="166" fontId="16" fillId="0" borderId="0" xfId="7" applyNumberFormat="1" applyAlignment="1"/>
    <xf numFmtId="173" fontId="5" fillId="0" borderId="0" xfId="7" applyNumberFormat="1" applyFont="1" applyAlignment="1"/>
    <xf numFmtId="3" fontId="5" fillId="0" borderId="0" xfId="7" applyNumberFormat="1" applyFont="1" applyAlignment="1"/>
    <xf numFmtId="0" fontId="46" fillId="0" borderId="0" xfId="7" applyFont="1" applyAlignment="1">
      <alignment horizontal="left"/>
    </xf>
    <xf numFmtId="173" fontId="46" fillId="0" borderId="0" xfId="7" applyNumberFormat="1" applyFont="1" applyAlignment="1">
      <alignment horizontal="right"/>
    </xf>
    <xf numFmtId="3" fontId="46" fillId="0" borderId="0" xfId="7" applyNumberFormat="1" applyFont="1" applyAlignment="1"/>
    <xf numFmtId="3" fontId="40" fillId="0" borderId="0" xfId="7" applyNumberFormat="1" applyFont="1" applyAlignment="1"/>
    <xf numFmtId="0" fontId="46" fillId="0" borderId="0" xfId="7" applyFont="1" applyAlignment="1"/>
    <xf numFmtId="3" fontId="0" fillId="0" borderId="0" xfId="0" applyNumberFormat="1" applyAlignment="1">
      <alignment horizontal="left"/>
    </xf>
    <xf numFmtId="3" fontId="0" fillId="0" borderId="0" xfId="1" applyNumberFormat="1" applyFont="1" applyFill="1" applyAlignment="1">
      <alignment horizontal="right" vertical="center"/>
    </xf>
    <xf numFmtId="173" fontId="5" fillId="0" borderId="0" xfId="7" applyNumberFormat="1" applyFont="1" applyAlignment="1">
      <alignment horizontal="right"/>
    </xf>
    <xf numFmtId="3" fontId="47" fillId="0" borderId="0" xfId="7" applyNumberFormat="1" applyFont="1" applyAlignment="1">
      <alignment horizontal="right"/>
    </xf>
    <xf numFmtId="173" fontId="48" fillId="0" borderId="0" xfId="7" applyNumberFormat="1" applyFont="1" applyAlignment="1">
      <alignment horizontal="right"/>
    </xf>
    <xf numFmtId="173" fontId="48" fillId="0" borderId="0" xfId="7" applyNumberFormat="1" applyFont="1" applyAlignment="1"/>
    <xf numFmtId="3" fontId="48" fillId="0" borderId="0" xfId="7" applyNumberFormat="1" applyFont="1" applyAlignment="1">
      <alignment horizontal="right"/>
    </xf>
    <xf numFmtId="3" fontId="48" fillId="0" borderId="0" xfId="7" applyNumberFormat="1" applyFont="1" applyAlignment="1"/>
    <xf numFmtId="0" fontId="49" fillId="0" borderId="0" xfId="7" applyFont="1" applyAlignment="1">
      <alignment horizontal="left"/>
    </xf>
    <xf numFmtId="0" fontId="49" fillId="0" borderId="0" xfId="7" applyFont="1" applyAlignment="1">
      <alignment horizontal="right"/>
    </xf>
    <xf numFmtId="9" fontId="49" fillId="0" borderId="0" xfId="7" applyNumberFormat="1" applyFont="1" applyAlignment="1"/>
    <xf numFmtId="3" fontId="5" fillId="0" borderId="0" xfId="7" applyNumberFormat="1" applyFont="1" applyAlignment="1">
      <alignment horizontal="right"/>
    </xf>
    <xf numFmtId="185" fontId="16" fillId="0" borderId="0" xfId="7" applyNumberFormat="1" applyAlignment="1">
      <alignment horizontal="right"/>
    </xf>
    <xf numFmtId="178" fontId="16" fillId="0" borderId="0" xfId="7" applyNumberFormat="1" applyAlignment="1">
      <alignment horizontal="right"/>
    </xf>
    <xf numFmtId="1" fontId="5" fillId="0" borderId="0" xfId="7" applyNumberFormat="1" applyFont="1" applyAlignment="1">
      <alignment horizontal="right"/>
    </xf>
    <xf numFmtId="1" fontId="42" fillId="0" borderId="0" xfId="7" applyNumberFormat="1" applyFont="1" applyAlignment="1"/>
    <xf numFmtId="178" fontId="48" fillId="0" borderId="0" xfId="7" applyNumberFormat="1" applyFont="1" applyAlignment="1">
      <alignment horizontal="right"/>
    </xf>
    <xf numFmtId="175" fontId="48" fillId="0" borderId="0" xfId="7" applyNumberFormat="1" applyFont="1" applyAlignment="1">
      <alignment horizontal="right"/>
    </xf>
    <xf numFmtId="1" fontId="48" fillId="0" borderId="0" xfId="7" applyNumberFormat="1" applyFont="1" applyAlignment="1">
      <alignment horizontal="right"/>
    </xf>
    <xf numFmtId="1" fontId="48" fillId="0" borderId="0" xfId="7" applyNumberFormat="1" applyFont="1" applyAlignment="1"/>
    <xf numFmtId="178" fontId="5" fillId="0" borderId="0" xfId="7" applyNumberFormat="1" applyFont="1" applyAlignment="1">
      <alignment horizontal="right"/>
    </xf>
    <xf numFmtId="186" fontId="16" fillId="0" borderId="0" xfId="7" applyNumberFormat="1" applyAlignment="1"/>
    <xf numFmtId="187" fontId="16" fillId="0" borderId="0" xfId="7" applyNumberFormat="1" applyAlignment="1"/>
    <xf numFmtId="2" fontId="5" fillId="0" borderId="0" xfId="7" applyNumberFormat="1" applyFont="1" applyAlignment="1"/>
    <xf numFmtId="1" fontId="5" fillId="0" borderId="0" xfId="7" applyNumberFormat="1" applyFont="1" applyAlignment="1"/>
    <xf numFmtId="3" fontId="16" fillId="0" borderId="0" xfId="0" applyNumberFormat="1" applyFont="1" applyAlignment="1">
      <alignment horizontal="left"/>
    </xf>
    <xf numFmtId="3" fontId="42" fillId="0" borderId="0" xfId="0" applyNumberFormat="1" applyFont="1" applyAlignment="1"/>
    <xf numFmtId="3" fontId="61" fillId="0" borderId="0" xfId="0" applyNumberFormat="1" applyFont="1" applyAlignment="1"/>
    <xf numFmtId="170" fontId="62" fillId="0" borderId="0" xfId="0" applyNumberFormat="1" applyFont="1" applyAlignment="1">
      <alignment horizontal="left" indent="1"/>
    </xf>
    <xf numFmtId="10" fontId="16" fillId="0" borderId="0" xfId="0" applyNumberFormat="1" applyFont="1" applyAlignment="1"/>
    <xf numFmtId="9" fontId="44" fillId="0" borderId="0" xfId="3" applyFont="1" applyFill="1" applyAlignment="1"/>
    <xf numFmtId="9" fontId="16" fillId="0" borderId="0" xfId="0" applyNumberFormat="1" applyFont="1" applyAlignment="1"/>
    <xf numFmtId="170" fontId="5" fillId="0" borderId="0" xfId="0" applyNumberFormat="1" applyFont="1" applyAlignment="1">
      <alignment horizontal="left"/>
    </xf>
    <xf numFmtId="3" fontId="62" fillId="0" borderId="0" xfId="14" applyNumberFormat="1" applyFont="1" applyAlignment="1">
      <alignment horizontal="center"/>
    </xf>
    <xf numFmtId="0" fontId="62" fillId="0" borderId="0" xfId="14" applyFont="1" applyAlignment="1">
      <alignment horizontal="center"/>
    </xf>
    <xf numFmtId="9" fontId="16" fillId="0" borderId="0" xfId="15" applyFont="1" applyFill="1" applyAlignment="1">
      <alignment horizontal="right"/>
    </xf>
    <xf numFmtId="3" fontId="16" fillId="0" borderId="0" xfId="16" applyNumberFormat="1" applyFont="1" applyFill="1" applyAlignment="1">
      <alignment horizontal="right"/>
    </xf>
    <xf numFmtId="3" fontId="61" fillId="0" borderId="0" xfId="14" applyNumberFormat="1" applyFont="1" applyAlignment="1">
      <alignment horizontal="center"/>
    </xf>
    <xf numFmtId="170" fontId="62" fillId="0" borderId="0" xfId="14" applyNumberFormat="1" applyFont="1" applyAlignment="1">
      <alignment horizontal="right"/>
    </xf>
    <xf numFmtId="170" fontId="26" fillId="0" borderId="0" xfId="0" applyNumberFormat="1" applyFont="1" applyAlignment="1"/>
    <xf numFmtId="9" fontId="0" fillId="0" borderId="0" xfId="3" applyFont="1" applyFill="1" applyAlignment="1"/>
    <xf numFmtId="10" fontId="5" fillId="0" borderId="0" xfId="0" applyNumberFormat="1" applyFont="1" applyAlignment="1"/>
    <xf numFmtId="165" fontId="5" fillId="0" borderId="0" xfId="0" applyNumberFormat="1" applyFont="1" applyAlignment="1"/>
    <xf numFmtId="170" fontId="5" fillId="0" borderId="0" xfId="0" applyNumberFormat="1" applyFont="1" applyAlignment="1">
      <alignment horizontal="right"/>
    </xf>
    <xf numFmtId="167" fontId="44" fillId="0" borderId="0" xfId="0" applyNumberFormat="1" applyFont="1" applyAlignment="1"/>
    <xf numFmtId="170" fontId="42" fillId="0" borderId="0" xfId="8" applyNumberFormat="1" applyFont="1" applyFill="1" applyBorder="1" applyAlignment="1"/>
    <xf numFmtId="170" fontId="42" fillId="0" borderId="0" xfId="0" applyNumberFormat="1" applyFont="1" applyAlignment="1">
      <alignment horizontal="right"/>
    </xf>
    <xf numFmtId="43" fontId="16" fillId="0" borderId="0" xfId="1" applyFont="1" applyFill="1" applyBorder="1" applyAlignment="1"/>
    <xf numFmtId="170" fontId="15" fillId="0" borderId="0" xfId="0" applyNumberFormat="1" applyFont="1" applyFill="1" applyAlignment="1">
      <alignment horizontal="left" indent="1"/>
    </xf>
    <xf numFmtId="170" fontId="15" fillId="0" borderId="0" xfId="0" applyNumberFormat="1" applyFont="1" applyFill="1" applyAlignment="1"/>
    <xf numFmtId="170" fontId="23" fillId="0" borderId="0" xfId="0" applyNumberFormat="1" applyFont="1" applyFill="1" applyAlignment="1"/>
    <xf numFmtId="170" fontId="17" fillId="0" borderId="0" xfId="0" applyNumberFormat="1" applyFont="1" applyFill="1" applyAlignment="1"/>
    <xf numFmtId="170" fontId="25" fillId="0" borderId="0" xfId="0" applyNumberFormat="1" applyFont="1" applyFill="1" applyAlignment="1"/>
    <xf numFmtId="170" fontId="21" fillId="0" borderId="0" xfId="0" applyNumberFormat="1" applyFont="1" applyFill="1" applyAlignment="1"/>
    <xf numFmtId="0" fontId="17" fillId="0" borderId="0" xfId="0" applyFont="1" applyFill="1" applyAlignment="1"/>
    <xf numFmtId="3" fontId="17" fillId="0" borderId="0" xfId="0" applyNumberFormat="1" applyFont="1" applyFill="1" applyAlignment="1"/>
    <xf numFmtId="0" fontId="15" fillId="0" borderId="0" xfId="0" applyFont="1" applyFill="1" applyAlignment="1"/>
    <xf numFmtId="1" fontId="17" fillId="0" borderId="0" xfId="0" applyNumberFormat="1" applyFont="1" applyFill="1" applyAlignment="1"/>
    <xf numFmtId="167" fontId="17" fillId="0" borderId="0" xfId="0" applyNumberFormat="1" applyFont="1" applyFill="1" applyAlignment="1"/>
    <xf numFmtId="170" fontId="23" fillId="0" borderId="0" xfId="0" applyNumberFormat="1" applyFont="1" applyFill="1" applyAlignment="1">
      <alignment horizontal="left" indent="1"/>
    </xf>
    <xf numFmtId="170" fontId="28" fillId="0" borderId="0" xfId="0" applyNumberFormat="1" applyFont="1" applyFill="1" applyAlignment="1"/>
    <xf numFmtId="170" fontId="21" fillId="0" borderId="0" xfId="0" applyNumberFormat="1" applyFont="1" applyFill="1" applyAlignment="1">
      <alignment horizontal="left" indent="1"/>
    </xf>
    <xf numFmtId="170" fontId="29" fillId="0" borderId="0" xfId="0" applyNumberFormat="1" applyFont="1" applyFill="1" applyAlignment="1"/>
    <xf numFmtId="170" fontId="16" fillId="0" borderId="0" xfId="0" applyNumberFormat="1" applyFont="1" applyFill="1" applyAlignment="1">
      <alignment horizontal="left" indent="1"/>
    </xf>
    <xf numFmtId="170" fontId="42" fillId="0" borderId="0" xfId="3" applyNumberFormat="1" applyFont="1" applyFill="1" applyBorder="1" applyAlignment="1"/>
    <xf numFmtId="170" fontId="40" fillId="0" borderId="0" xfId="0" applyNumberFormat="1" applyFont="1" applyFill="1" applyAlignment="1">
      <alignment horizontal="right"/>
    </xf>
    <xf numFmtId="170" fontId="16" fillId="0" borderId="0" xfId="0" applyNumberFormat="1" applyFont="1" applyFill="1" applyAlignment="1"/>
    <xf numFmtId="3" fontId="16" fillId="0" borderId="0" xfId="0" applyNumberFormat="1" applyFont="1" applyFill="1" applyAlignment="1"/>
    <xf numFmtId="0" fontId="16" fillId="0" borderId="0" xfId="0" applyFont="1" applyFill="1" applyAlignment="1">
      <alignment horizontal="left" indent="1"/>
    </xf>
    <xf numFmtId="0" fontId="16" fillId="0" borderId="0" xfId="0" applyFont="1" applyFill="1" applyAlignment="1"/>
    <xf numFmtId="164" fontId="16" fillId="0" borderId="0" xfId="0" applyNumberFormat="1" applyFont="1" applyFill="1" applyAlignment="1"/>
    <xf numFmtId="0" fontId="16" fillId="0" borderId="0" xfId="0" applyFont="1" applyFill="1" applyAlignment="1">
      <alignment horizontal="right"/>
    </xf>
    <xf numFmtId="170" fontId="42" fillId="0" borderId="0" xfId="0" applyNumberFormat="1" applyFont="1" applyFill="1" applyAlignment="1"/>
    <xf numFmtId="170" fontId="16" fillId="0" borderId="0" xfId="0" applyNumberFormat="1" applyFont="1" applyFill="1" applyAlignment="1">
      <alignment horizontal="right"/>
    </xf>
    <xf numFmtId="170" fontId="40" fillId="0" borderId="0" xfId="3" applyNumberFormat="1" applyFont="1" applyFill="1" applyBorder="1" applyAlignment="1">
      <alignment horizontal="right"/>
    </xf>
    <xf numFmtId="0" fontId="5" fillId="0" borderId="0" xfId="0" applyFont="1" applyFill="1" applyAlignment="1"/>
    <xf numFmtId="3" fontId="5" fillId="0" borderId="0" xfId="0" applyNumberFormat="1" applyFont="1" applyFill="1" applyAlignment="1">
      <alignment horizontal="right"/>
    </xf>
  </cellXfs>
  <cellStyles count="20">
    <cellStyle name="******************************************" xfId="7" xr:uid="{BF22ACD0-41F3-43DF-BDFD-3AF89F3D1FD4}"/>
    <cellStyle name="Comma" xfId="1" builtinId="3"/>
    <cellStyle name="Comma 11" xfId="13" xr:uid="{BD0EDB30-8416-420D-B27E-A34195A77F63}"/>
    <cellStyle name="Comma 17" xfId="16" xr:uid="{452E42CF-2D26-4C3C-B76C-24D91D9C94E5}"/>
    <cellStyle name="Currency" xfId="2" builtinId="4"/>
    <cellStyle name="Currency 9" xfId="18" xr:uid="{10CCB4DC-D243-43C8-86C1-F5675B3074F1}"/>
    <cellStyle name="Hyperlink" xfId="4" builtinId="8"/>
    <cellStyle name="Hyperlink 2" xfId="6" xr:uid="{F7B5C06E-6398-4788-98C7-A5343BD71F80}"/>
    <cellStyle name="IncomeStatement" xfId="10" xr:uid="{1FEFA616-2744-4BD5-A0ED-239136B0DFB6}"/>
    <cellStyle name="Margins" xfId="11" xr:uid="{2AC29A29-87D2-40D1-BD27-8AB9303EB34F}"/>
    <cellStyle name="Normal" xfId="0" builtinId="0"/>
    <cellStyle name="Normal 2" xfId="19" xr:uid="{BBB10D7C-449D-4054-8918-831F7C717279}"/>
    <cellStyle name="Normal 27" xfId="17" xr:uid="{BAC94E14-BE17-41C5-8621-08AE5632A3F0}"/>
    <cellStyle name="Normal 31" xfId="14" xr:uid="{6130E3F9-5DBE-4E71-A1C1-4B37E9C2C7A8}"/>
    <cellStyle name="Normal_AMAT" xfId="9" xr:uid="{380CC27C-959C-4879-8E04-FBE3D80AF0F4}"/>
    <cellStyle name="Normal_Request Template" xfId="5" xr:uid="{DB8536CC-A11A-4CDB-8F6F-652C2804034E}"/>
    <cellStyle name="Percent" xfId="3" builtinId="5"/>
    <cellStyle name="Percent 10 3" xfId="12" xr:uid="{FCB7352E-D561-478C-BE3F-A3A45D73EB9B}"/>
    <cellStyle name="Percent 2 5" xfId="8" xr:uid="{5B76B789-9340-44A7-98A0-44758C2353FF}"/>
    <cellStyle name="Percent 27" xfId="15" xr:uid="{AE50AEEB-9637-4645-AF6A-2DBE2067DB7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Datacenter!#REF!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Datacenter!#REF!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3B79-4A9D-A00D-7F2CF088303A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Datacenter!#REF!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Datacenter!#REF!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3B79-4A9D-A00D-7F2CF088303A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Datacenter!#REF!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Datacenter!#REF!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3B79-4A9D-A00D-7F2CF088303A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Datacenter!#REF!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Datacenter!#REF!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3B79-4A9D-A00D-7F2CF088303A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Datacenter!#REF!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Datacenter!#REF!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3B79-4A9D-A00D-7F2CF088303A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Datacenter!#REF!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Datacenter!#REF!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3B79-4A9D-A00D-7F2CF0883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39517583"/>
        <c:axId val="639520463"/>
      </c:barChart>
      <c:catAx>
        <c:axId val="639517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9520463"/>
        <c:crosses val="autoZero"/>
        <c:auto val="1"/>
        <c:lblAlgn val="ctr"/>
        <c:lblOffset val="100"/>
        <c:noMultiLvlLbl val="0"/>
      </c:catAx>
      <c:valAx>
        <c:axId val="639520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95175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6</xdr:row>
      <xdr:rowOff>38100</xdr:rowOff>
    </xdr:from>
    <xdr:to>
      <xdr:col>2</xdr:col>
      <xdr:colOff>361950</xdr:colOff>
      <xdr:row>12</xdr:row>
      <xdr:rowOff>38100</xdr:rowOff>
    </xdr:to>
    <xdr:pic>
      <xdr:nvPicPr>
        <xdr:cNvPr id="2" name="Picture 1" descr="Logo_solid_1_5in">
          <a:extLst>
            <a:ext uri="{FF2B5EF4-FFF2-40B4-BE49-F238E27FC236}">
              <a16:creationId xmlns:a16="http://schemas.microsoft.com/office/drawing/2014/main" id="{BA1F8313-92D9-4439-8BAD-624D6E6CB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1543050"/>
          <a:ext cx="152400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5</xdr:row>
      <xdr:rowOff>28575</xdr:rowOff>
    </xdr:from>
    <xdr:to>
      <xdr:col>2</xdr:col>
      <xdr:colOff>361950</xdr:colOff>
      <xdr:row>11</xdr:row>
      <xdr:rowOff>28575</xdr:rowOff>
    </xdr:to>
    <xdr:pic>
      <xdr:nvPicPr>
        <xdr:cNvPr id="3" name="Picture 2" descr="Logo_solid_1_5in">
          <a:extLst>
            <a:ext uri="{FF2B5EF4-FFF2-40B4-BE49-F238E27FC236}">
              <a16:creationId xmlns:a16="http://schemas.microsoft.com/office/drawing/2014/main" id="{B120A80A-EDF0-46D6-82F2-57F17ECB68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1371600"/>
          <a:ext cx="152400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5</xdr:row>
      <xdr:rowOff>28575</xdr:rowOff>
    </xdr:from>
    <xdr:to>
      <xdr:col>2</xdr:col>
      <xdr:colOff>361950</xdr:colOff>
      <xdr:row>11</xdr:row>
      <xdr:rowOff>28575</xdr:rowOff>
    </xdr:to>
    <xdr:pic>
      <xdr:nvPicPr>
        <xdr:cNvPr id="4" name="Picture 3" descr="Logo_solid_1_5in">
          <a:extLst>
            <a:ext uri="{FF2B5EF4-FFF2-40B4-BE49-F238E27FC236}">
              <a16:creationId xmlns:a16="http://schemas.microsoft.com/office/drawing/2014/main" id="{8C6E2DB0-0FA1-4543-8E4B-76DE9440B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1371600"/>
          <a:ext cx="152400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129207</xdr:colOff>
      <xdr:row>31</xdr:row>
      <xdr:rowOff>56321</xdr:rowOff>
    </xdr:from>
    <xdr:to>
      <xdr:col>37</xdr:col>
      <xdr:colOff>186359</xdr:colOff>
      <xdr:row>56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620AF56-FB83-4068-9B0D-ADBF7A1F6B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Equity">
      <a:dk1>
        <a:sysClr val="windowText" lastClr="000000"/>
      </a:dk1>
      <a:lt1>
        <a:sysClr val="window" lastClr="FFFFFF"/>
      </a:lt1>
      <a:dk2>
        <a:srgbClr val="AEBAD5"/>
      </a:dk2>
      <a:lt2>
        <a:srgbClr val="DFE4EE"/>
      </a:lt2>
      <a:accent1>
        <a:srgbClr val="5E76AA"/>
      </a:accent1>
      <a:accent2>
        <a:srgbClr val="CFD6E6"/>
      </a:accent2>
      <a:accent3>
        <a:srgbClr val="9EADCC"/>
      </a:accent3>
      <a:accent4>
        <a:srgbClr val="EFF1F6"/>
      </a:accent4>
      <a:accent5>
        <a:srgbClr val="BFC8DD"/>
      </a:accent5>
      <a:accent6>
        <a:srgbClr val="8E9FC4"/>
      </a:accent6>
      <a:hlink>
        <a:srgbClr val="0070C6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mailto:lal.kablan@gs.com" TargetMode="External"/><Relationship Id="rId7" Type="http://schemas.openxmlformats.org/officeDocument/2006/relationships/customProperty" Target="../customProperty1.bin"/><Relationship Id="rId2" Type="http://schemas.openxmlformats.org/officeDocument/2006/relationships/hyperlink" Target="mailto:anmol.makkar@gs.com" TargetMode="External"/><Relationship Id="rId1" Type="http://schemas.openxmlformats.org/officeDocument/2006/relationships/hyperlink" Target="mailto:jim.schneider@gs.com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khalil.fenina@gs.com" TargetMode="External"/><Relationship Id="rId4" Type="http://schemas.openxmlformats.org/officeDocument/2006/relationships/hyperlink" Target="mailto:luya.you@gs.com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Relationship Id="rId4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8CEAD-E292-46CC-8EE6-9F42AFFA379D}">
  <sheetPr>
    <tabColor theme="1"/>
    <pageSetUpPr autoPageBreaks="0"/>
  </sheetPr>
  <dimension ref="A1:AA31"/>
  <sheetViews>
    <sheetView tabSelected="1" workbookViewId="0"/>
  </sheetViews>
  <sheetFormatPr defaultColWidth="10.28515625" defaultRowHeight="12.75"/>
  <cols>
    <col min="1" max="3" width="10.28515625" style="10"/>
    <col min="4" max="4" width="3.85546875" style="10" customWidth="1"/>
    <col min="5" max="5" width="3.28515625" style="10" customWidth="1"/>
    <col min="6" max="6" width="14.42578125" style="10" customWidth="1"/>
    <col min="7" max="7" width="10.28515625" style="10"/>
    <col min="8" max="8" width="9.7109375" style="10" customWidth="1"/>
    <col min="9" max="9" width="1.28515625" style="10" customWidth="1"/>
    <col min="10" max="11" width="10.28515625" style="10"/>
    <col min="12" max="12" width="7.42578125" style="10" customWidth="1"/>
    <col min="13" max="13" width="10.28515625" style="10"/>
    <col min="14" max="14" width="14.42578125" style="10" customWidth="1"/>
    <col min="15" max="15" width="10.28515625" style="10"/>
    <col min="16" max="16" width="26.140625" style="10" customWidth="1"/>
    <col min="17" max="16384" width="10.28515625" style="10"/>
  </cols>
  <sheetData>
    <row r="1" spans="1:16" s="4" customFormat="1" ht="33.7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1"/>
      <c r="P1" s="3"/>
    </row>
    <row r="2" spans="1:16" s="4" customFormat="1" ht="33.7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5"/>
      <c r="O2" s="1"/>
      <c r="P2" s="3"/>
    </row>
    <row r="3" spans="1:16" s="4" customFormat="1"/>
    <row r="4" spans="1:16" s="4" customFormat="1"/>
    <row r="5" spans="1:16" s="6" customFormat="1"/>
    <row r="6" spans="1:16" s="6" customFormat="1"/>
    <row r="7" spans="1:16" s="6" customFormat="1"/>
    <row r="8" spans="1:16" s="6" customFormat="1" ht="30">
      <c r="E8" s="7" t="s">
        <v>0</v>
      </c>
    </row>
    <row r="9" spans="1:16" s="6" customFormat="1" ht="26.25">
      <c r="E9" s="8" t="s">
        <v>1</v>
      </c>
      <c r="F9" s="8"/>
      <c r="G9" s="8"/>
      <c r="H9" s="8"/>
      <c r="I9" s="8"/>
      <c r="J9" s="8"/>
      <c r="K9" s="8"/>
      <c r="L9" s="8"/>
      <c r="M9" s="9"/>
    </row>
    <row r="10" spans="1:16" s="6" customFormat="1">
      <c r="E10" s="6" t="s">
        <v>2</v>
      </c>
    </row>
    <row r="11" spans="1:16" s="6" customFormat="1"/>
    <row r="12" spans="1:16" s="6" customFormat="1"/>
    <row r="13" spans="1:16" s="6" customFormat="1"/>
    <row r="15" spans="1:16" ht="20.25">
      <c r="F15" s="11"/>
    </row>
    <row r="16" spans="1:16" ht="15.75">
      <c r="F16" s="12" t="s">
        <v>3</v>
      </c>
    </row>
    <row r="17" spans="6:27">
      <c r="F17" s="13" t="s">
        <v>4</v>
      </c>
    </row>
    <row r="18" spans="6:27">
      <c r="F18" s="14" t="s">
        <v>5</v>
      </c>
    </row>
    <row r="19" spans="6:27" ht="15">
      <c r="F19" s="14"/>
      <c r="AA19" s="15"/>
    </row>
    <row r="20" spans="6:27" ht="15.75">
      <c r="F20" s="12" t="s">
        <v>6</v>
      </c>
    </row>
    <row r="21" spans="6:27" ht="14.25">
      <c r="F21" s="16" t="s">
        <v>7</v>
      </c>
    </row>
    <row r="22" spans="6:27">
      <c r="F22" s="14" t="s">
        <v>8</v>
      </c>
    </row>
    <row r="23" spans="6:27">
      <c r="F23" s="14"/>
    </row>
    <row r="24" spans="6:27" ht="15.75">
      <c r="F24" s="12" t="s">
        <v>9</v>
      </c>
    </row>
    <row r="25" spans="6:27">
      <c r="F25" s="13" t="s">
        <v>10</v>
      </c>
    </row>
    <row r="27" spans="6:27" ht="15.75">
      <c r="F27" s="12" t="s">
        <v>11</v>
      </c>
    </row>
    <row r="28" spans="6:27">
      <c r="F28" s="13" t="s">
        <v>12</v>
      </c>
    </row>
    <row r="30" spans="6:27" ht="15.75">
      <c r="F30" s="12" t="s">
        <v>13</v>
      </c>
    </row>
    <row r="31" spans="6:27">
      <c r="F31" s="13" t="s">
        <v>14</v>
      </c>
    </row>
  </sheetData>
  <hyperlinks>
    <hyperlink ref="F17" r:id="rId1" xr:uid="{68913121-9318-49CF-A723-28C112B02C6E}"/>
    <hyperlink ref="F21" r:id="rId2" xr:uid="{EB2C6D58-FB7C-40E5-ACE5-5BA45CC5BF5D}"/>
    <hyperlink ref="F25" r:id="rId3" xr:uid="{1964905F-2CE7-4E5D-B93A-D0598DD744CB}"/>
    <hyperlink ref="F28" r:id="rId4" xr:uid="{720A69E5-619E-4F51-BA06-EEBD39CEAFFB}"/>
    <hyperlink ref="F31" r:id="rId5" xr:uid="{0736BCF7-08AA-4EE0-A948-538BEEE81DBF}"/>
  </hyperlinks>
  <pageMargins left="0.7" right="0.7" top="0.75" bottom="0.75" header="0.3" footer="0.3"/>
  <pageSetup paperSize="0" orientation="portrait" r:id="rId6"/>
  <customProperties>
    <customPr name="Qube.Worksheet.Visibility" r:id="rId7"/>
  </customProperties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8D1C7-1453-49E1-A94B-0388ADF0B030}">
  <sheetPr>
    <tabColor rgb="FF0000FF"/>
    <pageSetUpPr autoPageBreaks="0" fitToPage="1"/>
  </sheetPr>
  <dimension ref="A1:EZ310"/>
  <sheetViews>
    <sheetView zoomScaleNormal="100" workbookViewId="0">
      <pane xSplit="1" ySplit="4" topLeftCell="CU5" activePane="bottomRight" state="frozen"/>
      <selection activeCell="F32" sqref="F32"/>
      <selection pane="topRight" activeCell="F32" sqref="F32"/>
      <selection pane="bottomLeft" activeCell="F32" sqref="F32"/>
      <selection pane="bottomRight"/>
    </sheetView>
  </sheetViews>
  <sheetFormatPr defaultColWidth="9.140625" defaultRowHeight="11.25" outlineLevelRow="3" outlineLevelCol="1"/>
  <cols>
    <col min="1" max="1" width="15.7109375" style="27" customWidth="1"/>
    <col min="2" max="4" width="6.5703125" style="27" hidden="1" customWidth="1" outlineLevel="1"/>
    <col min="5" max="5" width="7.28515625" style="27" hidden="1" customWidth="1" outlineLevel="1"/>
    <col min="6" max="7" width="6.5703125" style="27" hidden="1" customWidth="1" outlineLevel="1"/>
    <col min="8" max="8" width="7.28515625" style="27" hidden="1" customWidth="1" outlineLevel="1"/>
    <col min="9" max="14" width="6.5703125" style="27" hidden="1" customWidth="1" outlineLevel="1"/>
    <col min="15" max="15" width="7.28515625" style="27" hidden="1" customWidth="1" outlineLevel="1"/>
    <col min="16" max="16" width="6.5703125" style="27" hidden="1" customWidth="1" outlineLevel="1"/>
    <col min="17" max="20" width="6.7109375" style="27" hidden="1" customWidth="1" outlineLevel="1"/>
    <col min="21" max="23" width="6.5703125" style="27" hidden="1" customWidth="1" outlineLevel="1"/>
    <col min="24" max="27" width="6.7109375" style="27" hidden="1" customWidth="1" outlineLevel="1"/>
    <col min="28" max="29" width="6.5703125" style="27" hidden="1" customWidth="1" outlineLevel="1"/>
    <col min="30" max="30" width="7.42578125" style="27" hidden="1" customWidth="1" outlineLevel="1"/>
    <col min="31" max="32" width="6.5703125" style="27" hidden="1" customWidth="1" outlineLevel="1"/>
    <col min="33" max="33" width="7.28515625" style="27" hidden="1" customWidth="1" outlineLevel="1"/>
    <col min="34" max="34" width="7.42578125" style="27" hidden="1" customWidth="1" outlineLevel="1"/>
    <col min="35" max="37" width="6.5703125" style="27" hidden="1" customWidth="1" outlineLevel="1"/>
    <col min="38" max="38" width="7.42578125" style="27" hidden="1" customWidth="1" outlineLevel="1"/>
    <col min="39" max="40" width="6.5703125" style="27" hidden="1" customWidth="1" outlineLevel="1"/>
    <col min="41" max="41" width="7.5703125" style="27" hidden="1" customWidth="1" outlineLevel="1"/>
    <col min="42" max="42" width="7.42578125" style="27" hidden="1" customWidth="1" outlineLevel="1"/>
    <col min="43" max="45" width="6.5703125" style="27" hidden="1" customWidth="1" outlineLevel="1"/>
    <col min="46" max="46" width="7.42578125" style="27" hidden="1" customWidth="1" outlineLevel="1"/>
    <col min="47" max="49" width="6.5703125" style="27" hidden="1" customWidth="1" outlineLevel="1"/>
    <col min="50" max="50" width="7.42578125" style="27" hidden="1" customWidth="1" outlineLevel="1"/>
    <col min="51" max="53" width="6.5703125" style="27" hidden="1" customWidth="1" outlineLevel="1"/>
    <col min="54" max="54" width="6.28515625" style="27" hidden="1" customWidth="1" outlineLevel="1"/>
    <col min="55" max="57" width="6.5703125" style="27" hidden="1" customWidth="1" outlineLevel="1"/>
    <col min="58" max="58" width="6.28515625" style="27" hidden="1" customWidth="1" outlineLevel="1"/>
    <col min="59" max="59" width="6.5703125" style="27" hidden="1" customWidth="1" outlineLevel="1"/>
    <col min="60" max="65" width="6.7109375" style="27" hidden="1" customWidth="1" outlineLevel="1"/>
    <col min="66" max="66" width="7.42578125" style="27" hidden="1" customWidth="1" outlineLevel="1"/>
    <col min="67" max="69" width="6.7109375" style="27" hidden="1" customWidth="1" outlineLevel="1"/>
    <col min="70" max="70" width="6.7109375" style="27" bestFit="1" customWidth="1" collapsed="1"/>
    <col min="71" max="79" width="6.7109375" style="27" bestFit="1" customWidth="1"/>
    <col min="80" max="81" width="6.5703125" style="27" bestFit="1" customWidth="1"/>
    <col min="82" max="82" width="6.28515625" style="27" bestFit="1" customWidth="1"/>
    <col min="83" max="83" width="6.5703125" style="27" customWidth="1"/>
    <col min="84" max="85" width="6.5703125" style="27" bestFit="1" customWidth="1"/>
    <col min="86" max="86" width="6.28515625" style="27" bestFit="1" customWidth="1"/>
    <col min="87" max="89" width="6.5703125" style="27" bestFit="1" customWidth="1"/>
    <col min="90" max="90" width="6.28515625" style="27" bestFit="1" customWidth="1"/>
    <col min="91" max="91" width="6.5703125" style="27" bestFit="1" customWidth="1"/>
    <col min="92" max="92" width="6.7109375" style="27" bestFit="1" customWidth="1"/>
    <col min="93" max="93" width="6.5703125" style="27" customWidth="1"/>
    <col min="94" max="94" width="6.28515625" style="27" bestFit="1" customWidth="1"/>
    <col min="95" max="97" width="6.5703125" style="27" bestFit="1" customWidth="1"/>
    <col min="98" max="98" width="6.85546875" style="27" customWidth="1"/>
    <col min="99" max="99" width="6.85546875" style="27" bestFit="1" customWidth="1"/>
    <col min="100" max="100" width="7.42578125" style="27" bestFit="1" customWidth="1"/>
    <col min="101" max="101" width="7.28515625" style="27" bestFit="1" customWidth="1"/>
    <col min="102" max="102" width="9.140625" style="27" bestFit="1" customWidth="1"/>
    <col min="103" max="103" width="8" style="27" bestFit="1" customWidth="1"/>
    <col min="104" max="105" width="7.28515625" style="27" bestFit="1" customWidth="1"/>
    <col min="106" max="121" width="6.85546875" style="27" customWidth="1"/>
    <col min="122" max="122" width="1.7109375" style="27" hidden="1" customWidth="1" outlineLevel="1"/>
    <col min="123" max="123" width="1.7109375" style="27" customWidth="1" collapsed="1"/>
    <col min="124" max="124" width="5.42578125" style="27" hidden="1" customWidth="1" outlineLevel="1"/>
    <col min="125" max="125" width="6.28515625" style="27" hidden="1" customWidth="1" outlineLevel="1"/>
    <col min="126" max="127" width="6.85546875" style="27" hidden="1" customWidth="1" outlineLevel="1"/>
    <col min="128" max="128" width="7.140625" style="27" hidden="1" customWidth="1" outlineLevel="1"/>
    <col min="129" max="129" width="7" style="27" hidden="1" customWidth="1" outlineLevel="1"/>
    <col min="130" max="132" width="7.85546875" style="27" hidden="1" customWidth="1" outlineLevel="1"/>
    <col min="133" max="134" width="6.85546875" style="27" hidden="1" customWidth="1" outlineLevel="1"/>
    <col min="135" max="135" width="6" style="27" hidden="1" customWidth="1" outlineLevel="1"/>
    <col min="136" max="136" width="6.5703125" style="27" hidden="1" customWidth="1" outlineLevel="1"/>
    <col min="137" max="138" width="6.28515625" style="27" hidden="1" customWidth="1" outlineLevel="1" collapsed="1"/>
    <col min="139" max="140" width="6.28515625" style="27" hidden="1" customWidth="1" outlineLevel="1"/>
    <col min="141" max="141" width="5.5703125" style="27" hidden="1" customWidth="1" outlineLevel="1"/>
    <col min="142" max="142" width="6.28515625" style="27" hidden="1" customWidth="1" outlineLevel="1"/>
    <col min="143" max="144" width="6" style="27" hidden="1" customWidth="1" outlineLevel="1"/>
    <col min="145" max="145" width="6.140625" style="27" hidden="1" customWidth="1" outlineLevel="1"/>
    <col min="146" max="146" width="6.42578125" style="27" hidden="1" customWidth="1" outlineLevel="1"/>
    <col min="147" max="147" width="6.7109375" style="27" bestFit="1" customWidth="1" collapsed="1"/>
    <col min="148" max="153" width="6.7109375" style="27" bestFit="1" customWidth="1"/>
    <col min="154" max="154" width="1" style="27" customWidth="1"/>
    <col min="155" max="155" width="1.28515625" style="27" customWidth="1"/>
    <col min="156" max="16384" width="9.140625" style="27"/>
  </cols>
  <sheetData>
    <row r="1" spans="1:156" s="17" customFormat="1" ht="11.25" customHeight="1"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9"/>
      <c r="Z1" s="18"/>
      <c r="AA1" s="18"/>
      <c r="AB1" s="18"/>
      <c r="AC1" s="18"/>
      <c r="AD1" s="18"/>
      <c r="AE1" s="18"/>
      <c r="AF1" s="18"/>
      <c r="AG1" s="18"/>
      <c r="AH1" s="18"/>
      <c r="AI1" s="20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21"/>
      <c r="AX1" s="18"/>
      <c r="AY1" s="21"/>
      <c r="AZ1" s="22"/>
      <c r="BA1" s="21"/>
      <c r="BB1" s="18"/>
      <c r="BC1" s="21"/>
      <c r="BD1" s="22"/>
      <c r="BE1" s="21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3"/>
      <c r="BT1" s="24"/>
      <c r="BU1" s="24"/>
      <c r="BV1" s="21" t="str">
        <f>"FY"&amp;BZ3</f>
        <v>FY1Q20</v>
      </c>
      <c r="BW1" s="21" t="str">
        <f>"FY"&amp;CA3</f>
        <v>FY2Q20</v>
      </c>
      <c r="BX1" s="21" t="str">
        <f>"FY"&amp;CB3</f>
        <v>FY3Q20</v>
      </c>
      <c r="BY1" s="21" t="str">
        <f>"FY"&amp;CC3</f>
        <v>FY4Q20</v>
      </c>
      <c r="BZ1" s="21" t="str">
        <f>"FY"&amp;CD3</f>
        <v>FY1Q21</v>
      </c>
      <c r="CA1" s="21" t="s">
        <v>15</v>
      </c>
      <c r="CB1" s="21" t="s">
        <v>16</v>
      </c>
      <c r="CC1" s="21" t="s">
        <v>17</v>
      </c>
      <c r="CD1" s="21" t="s">
        <v>18</v>
      </c>
      <c r="CE1" s="21" t="s">
        <v>19</v>
      </c>
      <c r="CF1" s="21" t="s">
        <v>20</v>
      </c>
      <c r="CG1" s="21" t="s">
        <v>21</v>
      </c>
      <c r="CH1" s="21" t="s">
        <v>22</v>
      </c>
      <c r="CI1" s="21" t="s">
        <v>23</v>
      </c>
      <c r="CJ1" s="21" t="s">
        <v>24</v>
      </c>
      <c r="CK1" s="21" t="s">
        <v>25</v>
      </c>
      <c r="CL1" s="21" t="s">
        <v>26</v>
      </c>
      <c r="CM1" s="21" t="s">
        <v>27</v>
      </c>
      <c r="CN1" s="21" t="s">
        <v>28</v>
      </c>
      <c r="CO1" s="21" t="s">
        <v>29</v>
      </c>
      <c r="CP1" s="21" t="s">
        <v>30</v>
      </c>
      <c r="CQ1" s="21" t="s">
        <v>31</v>
      </c>
      <c r="CR1" s="21" t="s">
        <v>32</v>
      </c>
      <c r="CS1" s="21" t="s">
        <v>33</v>
      </c>
      <c r="CT1" s="21" t="s">
        <v>34</v>
      </c>
      <c r="CU1" s="21" t="s">
        <v>35</v>
      </c>
      <c r="CV1" s="21" t="s">
        <v>36</v>
      </c>
      <c r="CW1" s="21" t="s">
        <v>37</v>
      </c>
      <c r="CX1" s="21" t="s">
        <v>38</v>
      </c>
      <c r="CY1" s="21" t="s">
        <v>39</v>
      </c>
      <c r="CZ1" s="21" t="s">
        <v>40</v>
      </c>
      <c r="DA1" s="21" t="s">
        <v>41</v>
      </c>
      <c r="DB1" s="21" t="s">
        <v>42</v>
      </c>
      <c r="DC1" s="21" t="s">
        <v>43</v>
      </c>
      <c r="DD1" s="21" t="s">
        <v>44</v>
      </c>
      <c r="DE1" s="21" t="s">
        <v>45</v>
      </c>
      <c r="DF1" s="21" t="s">
        <v>46</v>
      </c>
      <c r="DG1" s="21" t="s">
        <v>47</v>
      </c>
      <c r="DH1" s="21" t="s">
        <v>48</v>
      </c>
      <c r="DI1" s="21" t="s">
        <v>49</v>
      </c>
      <c r="DJ1" s="21" t="s">
        <v>50</v>
      </c>
      <c r="DK1" s="21" t="s">
        <v>51</v>
      </c>
      <c r="DL1" s="21" t="s">
        <v>52</v>
      </c>
      <c r="DM1" s="21" t="s">
        <v>53</v>
      </c>
      <c r="DN1" s="21" t="s">
        <v>54</v>
      </c>
      <c r="DO1" s="21" t="s">
        <v>55</v>
      </c>
      <c r="DP1" s="21" t="s">
        <v>56</v>
      </c>
      <c r="DQ1" s="21" t="s">
        <v>57</v>
      </c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5"/>
      <c r="EG1" s="25" t="s">
        <v>58</v>
      </c>
      <c r="EH1" s="25" t="s">
        <v>59</v>
      </c>
      <c r="EI1" s="25" t="s">
        <v>60</v>
      </c>
      <c r="EJ1" s="26" t="s">
        <v>61</v>
      </c>
      <c r="EK1" s="25" t="s">
        <v>62</v>
      </c>
      <c r="EL1" s="25" t="s">
        <v>63</v>
      </c>
      <c r="EM1" s="25" t="s">
        <v>64</v>
      </c>
      <c r="EN1" s="25" t="s">
        <v>65</v>
      </c>
      <c r="EO1" s="25" t="s">
        <v>66</v>
      </c>
      <c r="EP1" s="25" t="s">
        <v>67</v>
      </c>
      <c r="EQ1" s="25" t="s">
        <v>68</v>
      </c>
      <c r="ER1" s="25" t="s">
        <v>69</v>
      </c>
      <c r="ES1" s="25" t="s">
        <v>70</v>
      </c>
      <c r="ET1" s="25" t="s">
        <v>71</v>
      </c>
      <c r="EU1" s="25" t="s">
        <v>72</v>
      </c>
      <c r="EV1" s="25" t="s">
        <v>73</v>
      </c>
      <c r="EW1" s="25" t="s">
        <v>74</v>
      </c>
    </row>
    <row r="2" spans="1:156" ht="11.25" customHeight="1"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21">
        <f>SUM(AB5:AE5)</f>
        <v>4364.3910000000005</v>
      </c>
      <c r="AF2" s="21">
        <f t="shared" ref="AF2:AL2" si="0">SUM(AC5:AF5)</f>
        <v>4146.4489999999996</v>
      </c>
      <c r="AG2" s="21">
        <f t="shared" si="0"/>
        <v>3424.8589999999999</v>
      </c>
      <c r="AH2" s="21">
        <f t="shared" si="0"/>
        <v>2935.7020000000002</v>
      </c>
      <c r="AI2" s="21">
        <f t="shared" si="0"/>
        <v>2819.5460000000003</v>
      </c>
      <c r="AJ2" s="21">
        <f t="shared" si="0"/>
        <v>2825.0970000000002</v>
      </c>
      <c r="AK2" s="21">
        <f t="shared" si="0"/>
        <v>3326.4449999999997</v>
      </c>
      <c r="AL2" s="21">
        <f t="shared" si="0"/>
        <v>3664.027</v>
      </c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21"/>
      <c r="AX2" s="18"/>
      <c r="AY2" s="21"/>
      <c r="AZ2" s="22"/>
      <c r="BA2" s="21"/>
      <c r="BB2" s="18"/>
      <c r="BC2" s="21"/>
      <c r="BD2" s="22"/>
      <c r="BE2" s="21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3"/>
      <c r="BT2" s="24"/>
      <c r="BU2" s="24"/>
      <c r="BV2" s="24"/>
      <c r="BW2" s="28"/>
      <c r="BX2" s="28"/>
      <c r="BY2" s="29"/>
      <c r="BZ2" s="30" t="s">
        <v>75</v>
      </c>
      <c r="CA2" s="29"/>
      <c r="CC2" s="21"/>
      <c r="CD2" s="31"/>
      <c r="CE2" s="32"/>
      <c r="CF2" s="32"/>
      <c r="CG2" s="31"/>
      <c r="CH2" s="31"/>
      <c r="CI2" s="33"/>
      <c r="CJ2" s="34"/>
      <c r="CK2" s="34"/>
      <c r="CM2" s="35"/>
      <c r="CO2" s="36"/>
      <c r="CP2" s="37"/>
      <c r="CQ2" s="37"/>
      <c r="CR2" s="37"/>
      <c r="CS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</row>
    <row r="3" spans="1:156">
      <c r="A3" s="39"/>
      <c r="B3" s="39" t="s">
        <v>76</v>
      </c>
      <c r="C3" s="39" t="s">
        <v>77</v>
      </c>
      <c r="D3" s="39" t="s">
        <v>78</v>
      </c>
      <c r="E3" s="39" t="s">
        <v>79</v>
      </c>
      <c r="F3" s="39" t="s">
        <v>80</v>
      </c>
      <c r="G3" s="39" t="s">
        <v>81</v>
      </c>
      <c r="H3" s="39" t="s">
        <v>82</v>
      </c>
      <c r="I3" s="39" t="s">
        <v>83</v>
      </c>
      <c r="J3" s="39" t="s">
        <v>84</v>
      </c>
      <c r="K3" s="39" t="s">
        <v>85</v>
      </c>
      <c r="L3" s="39" t="s">
        <v>86</v>
      </c>
      <c r="M3" s="39" t="s">
        <v>87</v>
      </c>
      <c r="N3" s="39" t="s">
        <v>88</v>
      </c>
      <c r="O3" s="39" t="s">
        <v>89</v>
      </c>
      <c r="P3" s="39" t="s">
        <v>90</v>
      </c>
      <c r="Q3" s="39" t="s">
        <v>91</v>
      </c>
      <c r="R3" s="39" t="s">
        <v>92</v>
      </c>
      <c r="S3" s="39" t="s">
        <v>93</v>
      </c>
      <c r="T3" s="39" t="s">
        <v>94</v>
      </c>
      <c r="U3" s="39" t="s">
        <v>95</v>
      </c>
      <c r="V3" s="39" t="s">
        <v>96</v>
      </c>
      <c r="W3" s="39" t="s">
        <v>97</v>
      </c>
      <c r="X3" s="39" t="s">
        <v>98</v>
      </c>
      <c r="Y3" s="39" t="s">
        <v>99</v>
      </c>
      <c r="Z3" s="39" t="s">
        <v>100</v>
      </c>
      <c r="AA3" s="39" t="s">
        <v>101</v>
      </c>
      <c r="AB3" s="39" t="s">
        <v>102</v>
      </c>
      <c r="AC3" s="40" t="s">
        <v>103</v>
      </c>
      <c r="AD3" s="39" t="s">
        <v>104</v>
      </c>
      <c r="AE3" s="39" t="s">
        <v>105</v>
      </c>
      <c r="AF3" s="39" t="s">
        <v>106</v>
      </c>
      <c r="AG3" s="39" t="s">
        <v>107</v>
      </c>
      <c r="AH3" s="39" t="s">
        <v>108</v>
      </c>
      <c r="AI3" s="39" t="s">
        <v>109</v>
      </c>
      <c r="AJ3" s="39" t="s">
        <v>110</v>
      </c>
      <c r="AK3" s="39" t="s">
        <v>111</v>
      </c>
      <c r="AL3" s="39" t="s">
        <v>112</v>
      </c>
      <c r="AM3" s="39" t="s">
        <v>113</v>
      </c>
      <c r="AN3" s="39" t="s">
        <v>114</v>
      </c>
      <c r="AO3" s="39" t="s">
        <v>115</v>
      </c>
      <c r="AP3" s="39" t="s">
        <v>116</v>
      </c>
      <c r="AQ3" s="39" t="s">
        <v>117</v>
      </c>
      <c r="AR3" s="39" t="s">
        <v>118</v>
      </c>
      <c r="AS3" s="39" t="s">
        <v>119</v>
      </c>
      <c r="AT3" s="39" t="s">
        <v>120</v>
      </c>
      <c r="AU3" s="39" t="s">
        <v>121</v>
      </c>
      <c r="AV3" s="39" t="s">
        <v>122</v>
      </c>
      <c r="AW3" s="39" t="s">
        <v>123</v>
      </c>
      <c r="AX3" s="39" t="s">
        <v>124</v>
      </c>
      <c r="AY3" s="39" t="s">
        <v>125</v>
      </c>
      <c r="AZ3" s="39" t="s">
        <v>126</v>
      </c>
      <c r="BA3" s="39" t="s">
        <v>127</v>
      </c>
      <c r="BB3" s="39" t="s">
        <v>128</v>
      </c>
      <c r="BC3" s="39" t="s">
        <v>129</v>
      </c>
      <c r="BD3" s="39" t="s">
        <v>130</v>
      </c>
      <c r="BE3" s="39" t="s">
        <v>131</v>
      </c>
      <c r="BF3" s="39" t="s">
        <v>132</v>
      </c>
      <c r="BG3" s="39" t="s">
        <v>133</v>
      </c>
      <c r="BH3" s="39" t="s">
        <v>134</v>
      </c>
      <c r="BI3" s="39" t="s">
        <v>135</v>
      </c>
      <c r="BJ3" s="39" t="s">
        <v>136</v>
      </c>
      <c r="BK3" s="39" t="s">
        <v>137</v>
      </c>
      <c r="BL3" s="39" t="s">
        <v>138</v>
      </c>
      <c r="BM3" s="39" t="s">
        <v>139</v>
      </c>
      <c r="BN3" s="39" t="s">
        <v>140</v>
      </c>
      <c r="BO3" s="39" t="s">
        <v>141</v>
      </c>
      <c r="BP3" s="39" t="s">
        <v>142</v>
      </c>
      <c r="BQ3" s="39" t="s">
        <v>143</v>
      </c>
      <c r="BR3" s="39" t="s">
        <v>144</v>
      </c>
      <c r="BS3" s="39" t="s">
        <v>145</v>
      </c>
      <c r="BT3" s="39" t="s">
        <v>146</v>
      </c>
      <c r="BU3" s="39" t="s">
        <v>147</v>
      </c>
      <c r="BV3" s="39" t="s">
        <v>148</v>
      </c>
      <c r="BW3" s="39" t="s">
        <v>149</v>
      </c>
      <c r="BX3" s="39" t="s">
        <v>150</v>
      </c>
      <c r="BY3" s="39" t="s">
        <v>151</v>
      </c>
      <c r="BZ3" s="39" t="s">
        <v>152</v>
      </c>
      <c r="CA3" s="39" t="s">
        <v>153</v>
      </c>
      <c r="CB3" s="39" t="s">
        <v>154</v>
      </c>
      <c r="CC3" s="39" t="s">
        <v>155</v>
      </c>
      <c r="CD3" s="39" t="s">
        <v>156</v>
      </c>
      <c r="CE3" s="39" t="s">
        <v>157</v>
      </c>
      <c r="CF3" s="39" t="s">
        <v>158</v>
      </c>
      <c r="CG3" s="39" t="s">
        <v>159</v>
      </c>
      <c r="CH3" s="39" t="s">
        <v>160</v>
      </c>
      <c r="CI3" s="39" t="s">
        <v>161</v>
      </c>
      <c r="CJ3" s="39" t="s">
        <v>162</v>
      </c>
      <c r="CK3" s="39" t="s">
        <v>163</v>
      </c>
      <c r="CL3" s="39" t="s">
        <v>164</v>
      </c>
      <c r="CM3" s="39" t="s">
        <v>165</v>
      </c>
      <c r="CN3" s="39" t="s">
        <v>166</v>
      </c>
      <c r="CO3" s="39" t="s">
        <v>167</v>
      </c>
      <c r="CP3" s="39" t="s">
        <v>168</v>
      </c>
      <c r="CQ3" s="39" t="s">
        <v>169</v>
      </c>
      <c r="CR3" s="39" t="s">
        <v>170</v>
      </c>
      <c r="CS3" s="39" t="s">
        <v>171</v>
      </c>
      <c r="CT3" s="39" t="s">
        <v>172</v>
      </c>
      <c r="CU3" s="39" t="s">
        <v>173</v>
      </c>
      <c r="CV3" s="39" t="s">
        <v>174</v>
      </c>
      <c r="CW3" s="39" t="s">
        <v>175</v>
      </c>
      <c r="CX3" s="39" t="s">
        <v>176</v>
      </c>
      <c r="CY3" s="39" t="s">
        <v>177</v>
      </c>
      <c r="CZ3" s="39" t="s">
        <v>178</v>
      </c>
      <c r="DA3" s="39" t="s">
        <v>179</v>
      </c>
      <c r="DB3" s="39" t="s">
        <v>180</v>
      </c>
      <c r="DC3" s="39" t="s">
        <v>181</v>
      </c>
      <c r="DD3" s="39" t="s">
        <v>182</v>
      </c>
      <c r="DE3" s="39" t="s">
        <v>183</v>
      </c>
      <c r="DF3" s="39" t="s">
        <v>184</v>
      </c>
      <c r="DG3" s="39" t="s">
        <v>185</v>
      </c>
      <c r="DH3" s="39" t="s">
        <v>186</v>
      </c>
      <c r="DI3" s="39" t="s">
        <v>187</v>
      </c>
      <c r="DJ3" s="39" t="s">
        <v>188</v>
      </c>
      <c r="DK3" s="39" t="s">
        <v>189</v>
      </c>
      <c r="DL3" s="39" t="s">
        <v>190</v>
      </c>
      <c r="DM3" s="39" t="s">
        <v>191</v>
      </c>
      <c r="DN3" s="39" t="s">
        <v>192</v>
      </c>
      <c r="DO3" s="39" t="s">
        <v>193</v>
      </c>
      <c r="DP3" s="39" t="s">
        <v>194</v>
      </c>
      <c r="DQ3" s="39" t="s">
        <v>195</v>
      </c>
      <c r="DT3" s="42"/>
      <c r="DU3" s="42"/>
      <c r="DV3" s="42"/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2"/>
      <c r="EM3" s="42"/>
      <c r="EN3" s="42"/>
      <c r="EO3" s="42"/>
      <c r="EP3" s="42"/>
      <c r="EQ3" s="42"/>
      <c r="ER3" s="42"/>
      <c r="ES3" s="42"/>
      <c r="ET3" s="41"/>
      <c r="EU3" s="42" t="s">
        <v>196</v>
      </c>
      <c r="EV3" s="41"/>
      <c r="EW3" s="41"/>
    </row>
    <row r="4" spans="1:156">
      <c r="A4" s="43" t="s">
        <v>197</v>
      </c>
      <c r="B4" s="44">
        <v>37010</v>
      </c>
      <c r="C4" s="44">
        <v>37101</v>
      </c>
      <c r="D4" s="44">
        <v>37192</v>
      </c>
      <c r="E4" s="44">
        <v>37283</v>
      </c>
      <c r="F4" s="44">
        <v>37374</v>
      </c>
      <c r="G4" s="44">
        <v>37465</v>
      </c>
      <c r="H4" s="44">
        <v>37556</v>
      </c>
      <c r="I4" s="44">
        <v>37647</v>
      </c>
      <c r="J4" s="44">
        <v>37741</v>
      </c>
      <c r="K4" s="45">
        <v>37833</v>
      </c>
      <c r="L4" s="45">
        <v>37925</v>
      </c>
      <c r="M4" s="45">
        <v>38017</v>
      </c>
      <c r="N4" s="45">
        <v>38102</v>
      </c>
      <c r="O4" s="45">
        <v>38199</v>
      </c>
      <c r="P4" s="45">
        <v>38291</v>
      </c>
      <c r="Q4" s="45">
        <v>38383</v>
      </c>
      <c r="R4" s="45">
        <v>38443</v>
      </c>
      <c r="S4" s="45">
        <v>38564</v>
      </c>
      <c r="T4" s="45">
        <v>38656</v>
      </c>
      <c r="U4" s="45">
        <v>38748</v>
      </c>
      <c r="V4" s="45">
        <v>38837</v>
      </c>
      <c r="W4" s="45">
        <v>38928</v>
      </c>
      <c r="X4" s="45">
        <v>39019</v>
      </c>
      <c r="Y4" s="46">
        <v>39113</v>
      </c>
      <c r="Z4" s="44">
        <v>39201</v>
      </c>
      <c r="AA4" s="45">
        <v>39294</v>
      </c>
      <c r="AB4" s="45">
        <v>39386</v>
      </c>
      <c r="AC4" s="45">
        <v>39478</v>
      </c>
      <c r="AD4" s="44" t="s">
        <v>198</v>
      </c>
      <c r="AE4" s="45">
        <v>39660</v>
      </c>
      <c r="AF4" s="45">
        <v>39752</v>
      </c>
      <c r="AG4" s="45">
        <v>39844</v>
      </c>
      <c r="AH4" s="44" t="s">
        <v>199</v>
      </c>
      <c r="AI4" s="45">
        <v>40025</v>
      </c>
      <c r="AJ4" s="45">
        <v>40117</v>
      </c>
      <c r="AK4" s="45">
        <v>40209</v>
      </c>
      <c r="AL4" s="44" t="s">
        <v>200</v>
      </c>
      <c r="AM4" s="45">
        <v>40390</v>
      </c>
      <c r="AN4" s="45">
        <v>40482</v>
      </c>
      <c r="AO4" s="45">
        <v>40574</v>
      </c>
      <c r="AP4" s="44" t="s">
        <v>201</v>
      </c>
      <c r="AQ4" s="45">
        <v>40755</v>
      </c>
      <c r="AR4" s="45">
        <v>40847</v>
      </c>
      <c r="AS4" s="45">
        <v>40939</v>
      </c>
      <c r="AT4" s="44" t="s">
        <v>202</v>
      </c>
      <c r="AU4" s="45">
        <v>41121</v>
      </c>
      <c r="AV4" s="45">
        <v>41213</v>
      </c>
      <c r="AW4" s="45">
        <v>41305</v>
      </c>
      <c r="AX4" s="44" t="s">
        <v>203</v>
      </c>
      <c r="AY4" s="45">
        <v>41486</v>
      </c>
      <c r="AZ4" s="45">
        <v>41578</v>
      </c>
      <c r="BA4" s="45">
        <v>41670</v>
      </c>
      <c r="BB4" s="44" t="s">
        <v>204</v>
      </c>
      <c r="BC4" s="45">
        <v>41851</v>
      </c>
      <c r="BD4" s="45">
        <v>41943</v>
      </c>
      <c r="BE4" s="45">
        <v>42035</v>
      </c>
      <c r="BF4" s="44" t="s">
        <v>205</v>
      </c>
      <c r="BG4" s="45">
        <v>42216</v>
      </c>
      <c r="BH4" s="45">
        <v>42308</v>
      </c>
      <c r="BI4" s="45">
        <v>42400</v>
      </c>
      <c r="BJ4" s="44" t="s">
        <v>206</v>
      </c>
      <c r="BK4" s="45">
        <v>42582</v>
      </c>
      <c r="BL4" s="45">
        <v>42674</v>
      </c>
      <c r="BM4" s="45">
        <v>42766</v>
      </c>
      <c r="BN4" s="44" t="s">
        <v>207</v>
      </c>
      <c r="BO4" s="45">
        <v>42947</v>
      </c>
      <c r="BP4" s="45">
        <v>43039</v>
      </c>
      <c r="BQ4" s="45">
        <v>43131</v>
      </c>
      <c r="BR4" s="44" t="s">
        <v>208</v>
      </c>
      <c r="BS4" s="45">
        <v>43312</v>
      </c>
      <c r="BT4" s="45">
        <v>43404</v>
      </c>
      <c r="BU4" s="45">
        <v>43496</v>
      </c>
      <c r="BV4" s="44" t="s">
        <v>209</v>
      </c>
      <c r="BW4" s="45">
        <v>43677</v>
      </c>
      <c r="BX4" s="45">
        <v>43769</v>
      </c>
      <c r="BY4" s="45">
        <v>43861</v>
      </c>
      <c r="BZ4" s="44" t="s">
        <v>210</v>
      </c>
      <c r="CA4" s="45">
        <v>44043</v>
      </c>
      <c r="CB4" s="45">
        <v>44135</v>
      </c>
      <c r="CC4" s="45">
        <v>44227</v>
      </c>
      <c r="CD4" s="44" t="s">
        <v>211</v>
      </c>
      <c r="CE4" s="45">
        <v>44408</v>
      </c>
      <c r="CF4" s="45">
        <v>44500</v>
      </c>
      <c r="CG4" s="45">
        <v>44592</v>
      </c>
      <c r="CH4" s="44" t="s">
        <v>212</v>
      </c>
      <c r="CI4" s="45">
        <v>44773</v>
      </c>
      <c r="CJ4" s="45">
        <v>44865</v>
      </c>
      <c r="CK4" s="45">
        <v>44957</v>
      </c>
      <c r="CL4" s="44" t="s">
        <v>213</v>
      </c>
      <c r="CM4" s="45">
        <v>45138</v>
      </c>
      <c r="CN4" s="45">
        <v>45230</v>
      </c>
      <c r="CO4" s="45">
        <v>45322</v>
      </c>
      <c r="CP4" s="44" t="s">
        <v>214</v>
      </c>
      <c r="CQ4" s="45">
        <v>45504</v>
      </c>
      <c r="CR4" s="45">
        <v>45596</v>
      </c>
      <c r="CS4" s="45">
        <v>45688</v>
      </c>
      <c r="CT4" s="44" t="s">
        <v>215</v>
      </c>
      <c r="CU4" s="45">
        <v>45869</v>
      </c>
      <c r="CV4" s="45">
        <v>45961</v>
      </c>
      <c r="CW4" s="45">
        <v>46053</v>
      </c>
      <c r="CX4" s="45" t="s">
        <v>216</v>
      </c>
      <c r="CY4" s="45">
        <v>46234</v>
      </c>
      <c r="CZ4" s="45">
        <v>46326</v>
      </c>
      <c r="DA4" s="45">
        <v>46418</v>
      </c>
      <c r="DB4" s="44" t="s">
        <v>216</v>
      </c>
      <c r="DC4" s="45">
        <v>46234</v>
      </c>
      <c r="DD4" s="45">
        <v>46326</v>
      </c>
      <c r="DE4" s="45">
        <v>46418</v>
      </c>
      <c r="DF4" s="44" t="s">
        <v>216</v>
      </c>
      <c r="DG4" s="45">
        <v>46234</v>
      </c>
      <c r="DH4" s="45">
        <v>46326</v>
      </c>
      <c r="DI4" s="45">
        <v>46418</v>
      </c>
      <c r="DJ4" s="44" t="s">
        <v>216</v>
      </c>
      <c r="DK4" s="45">
        <v>46234</v>
      </c>
      <c r="DL4" s="45">
        <v>46326</v>
      </c>
      <c r="DM4" s="45">
        <v>46418</v>
      </c>
      <c r="DN4" s="44" t="s">
        <v>216</v>
      </c>
      <c r="DO4" s="45">
        <v>46234</v>
      </c>
      <c r="DP4" s="45">
        <v>46326</v>
      </c>
      <c r="DQ4" s="45">
        <v>46418</v>
      </c>
      <c r="DT4" s="47">
        <v>2001</v>
      </c>
      <c r="DU4" s="47">
        <v>2002</v>
      </c>
      <c r="DV4" s="47">
        <v>2003</v>
      </c>
      <c r="DW4" s="47">
        <v>2004</v>
      </c>
      <c r="DX4" s="47">
        <v>2005</v>
      </c>
      <c r="DY4" s="47">
        <v>2006</v>
      </c>
      <c r="DZ4" s="47">
        <v>2007</v>
      </c>
      <c r="EA4" s="47">
        <v>2008</v>
      </c>
      <c r="EB4" s="47">
        <v>2009</v>
      </c>
      <c r="EC4" s="47">
        <v>2010</v>
      </c>
      <c r="ED4" s="47">
        <v>2011</v>
      </c>
      <c r="EE4" s="47">
        <v>2012</v>
      </c>
      <c r="EF4" s="47">
        <v>2013</v>
      </c>
      <c r="EG4" s="47">
        <v>2014</v>
      </c>
      <c r="EH4" s="47">
        <v>2015</v>
      </c>
      <c r="EI4" s="47">
        <v>2016</v>
      </c>
      <c r="EJ4" s="47">
        <v>2017</v>
      </c>
      <c r="EK4" s="47">
        <v>2018</v>
      </c>
      <c r="EL4" s="47">
        <v>2019</v>
      </c>
      <c r="EM4" s="47">
        <v>2020</v>
      </c>
      <c r="EN4" s="47">
        <v>2021</v>
      </c>
      <c r="EO4" s="47">
        <v>2022</v>
      </c>
      <c r="EP4" s="47">
        <v>2023</v>
      </c>
      <c r="EQ4" s="47">
        <v>2024</v>
      </c>
      <c r="ER4" s="47">
        <v>2025</v>
      </c>
      <c r="ES4" s="47" t="s">
        <v>217</v>
      </c>
      <c r="ET4" s="47" t="s">
        <v>218</v>
      </c>
      <c r="EU4" s="47" t="s">
        <v>219</v>
      </c>
      <c r="EV4" s="47" t="s">
        <v>220</v>
      </c>
      <c r="EW4" s="47" t="s">
        <v>221</v>
      </c>
    </row>
    <row r="5" spans="1:156" s="49" customFormat="1" ht="11.25" customHeight="1">
      <c r="A5" s="619" t="s">
        <v>222</v>
      </c>
      <c r="B5" s="35">
        <f>NVDA!V7</f>
        <v>240.93199999999999</v>
      </c>
      <c r="C5" s="35">
        <f>NVDA!W7</f>
        <v>259.875</v>
      </c>
      <c r="D5" s="35">
        <f>NVDA!X7</f>
        <v>364.976</v>
      </c>
      <c r="E5" s="35">
        <f>NVDA!Y7</f>
        <v>503.68799999999999</v>
      </c>
      <c r="F5" s="35">
        <f>NVDA!AA7</f>
        <v>582.90499999999997</v>
      </c>
      <c r="G5" s="35">
        <f>NVDA!AB7</f>
        <v>427.28500000000003</v>
      </c>
      <c r="H5" s="35">
        <f>NVDA!AC7</f>
        <v>430.30399999999997</v>
      </c>
      <c r="I5" s="35">
        <f>NVDA!AD7</f>
        <v>428.58799999999997</v>
      </c>
      <c r="J5" s="35">
        <f>NVDA!AF7</f>
        <v>404.983</v>
      </c>
      <c r="K5" s="35">
        <f>NVDA!AG7</f>
        <v>459.774</v>
      </c>
      <c r="L5" s="35">
        <f>NVDA!AH7</f>
        <v>486.06900000000002</v>
      </c>
      <c r="M5" s="35">
        <f>NVDA!AI7</f>
        <v>472.11900000000003</v>
      </c>
      <c r="N5" s="35">
        <f>NVDA!AK7</f>
        <v>471.90499999999997</v>
      </c>
      <c r="O5" s="35">
        <f>NVDA!AL7</f>
        <v>456.06099999999998</v>
      </c>
      <c r="P5" s="35">
        <f>NVDA!AM7</f>
        <v>515.59100000000001</v>
      </c>
      <c r="Q5" s="35">
        <f>NVDA!AN7</f>
        <v>566.476</v>
      </c>
      <c r="R5" s="35">
        <f>NVDA!AP7</f>
        <v>583.846</v>
      </c>
      <c r="S5" s="35">
        <f>NVDA!AQ7</f>
        <v>574.81200000000001</v>
      </c>
      <c r="T5" s="35">
        <f>NVDA!AR7</f>
        <v>583.41499999999996</v>
      </c>
      <c r="U5" s="35">
        <f>NVDA!AS7</f>
        <v>633.61400000000003</v>
      </c>
      <c r="V5" s="35">
        <f>NVDA!AU7</f>
        <v>681.80700000000002</v>
      </c>
      <c r="W5" s="35">
        <f>NVDA!AV7</f>
        <v>687.51900000000001</v>
      </c>
      <c r="X5" s="35">
        <f>NVDA!AW7</f>
        <v>820.572</v>
      </c>
      <c r="Y5" s="35">
        <f>NVDA!AX7</f>
        <v>878.87300000000005</v>
      </c>
      <c r="Z5" s="35">
        <f>NVDA!AZ7</f>
        <v>844.28</v>
      </c>
      <c r="AA5" s="35">
        <f>NVDA!BA7</f>
        <v>935.25300000000004</v>
      </c>
      <c r="AB5" s="35">
        <f>NVDA!BB7</f>
        <v>1115.597</v>
      </c>
      <c r="AC5" s="35">
        <f>NVDA!BC7</f>
        <v>1202.73</v>
      </c>
      <c r="AD5" s="35">
        <f>NVDA!BE7</f>
        <v>1153.3879999999999</v>
      </c>
      <c r="AE5" s="35">
        <f>NVDA!BF7</f>
        <v>892.67600000000004</v>
      </c>
      <c r="AF5" s="35">
        <f>NVDA!BG7</f>
        <v>897.65499999999997</v>
      </c>
      <c r="AG5" s="35">
        <f>NVDA!BH7</f>
        <v>481.14</v>
      </c>
      <c r="AH5" s="35">
        <f>NVDA!BJ7</f>
        <v>664.23099999999999</v>
      </c>
      <c r="AI5" s="35">
        <f>NVDA!BK7</f>
        <v>776.52</v>
      </c>
      <c r="AJ5" s="35">
        <f>NVDA!BL7</f>
        <v>903.20600000000002</v>
      </c>
      <c r="AK5" s="35">
        <f>NVDA!BM7</f>
        <v>982.48800000000006</v>
      </c>
      <c r="AL5" s="35">
        <f>NVDA!BO7</f>
        <v>1001.813</v>
      </c>
      <c r="AM5" s="35">
        <f>NVDA!BP7</f>
        <v>811.20799999999997</v>
      </c>
      <c r="AN5" s="35">
        <f>NVDA!BQ7</f>
        <v>843.91200000000003</v>
      </c>
      <c r="AO5" s="35">
        <f>NVDA!BR7</f>
        <v>886.37599999999998</v>
      </c>
      <c r="AP5" s="35">
        <f>NVDA!BT7</f>
        <v>962.03899999999999</v>
      </c>
      <c r="AQ5" s="35">
        <f>NVDA!BU7</f>
        <v>1016.5170000000001</v>
      </c>
      <c r="AR5" s="35">
        <f>NVDA!BV7</f>
        <v>1066.18</v>
      </c>
      <c r="AS5" s="35">
        <f>NVDA!BW7</f>
        <v>953.19399999999996</v>
      </c>
      <c r="AT5" s="35">
        <f>NVDA!BY7</f>
        <v>924.87699999999995</v>
      </c>
      <c r="AU5" s="35">
        <f>NVDA!BZ7</f>
        <v>1044.27</v>
      </c>
      <c r="AV5" s="35">
        <f>NVDA!CA7</f>
        <v>1204.1099999999999</v>
      </c>
      <c r="AW5" s="35">
        <f>NVDA!CB7</f>
        <v>1106.902</v>
      </c>
      <c r="AX5" s="35">
        <f>NVDA!CD7</f>
        <v>954.73900000000003</v>
      </c>
      <c r="AY5" s="35">
        <f>NVDA!CE7</f>
        <v>977.23800000000006</v>
      </c>
      <c r="AZ5" s="35">
        <f>NVDA!CF7</f>
        <v>1053.9670000000001</v>
      </c>
      <c r="BA5" s="35">
        <f>NVDA!CG7</f>
        <v>1144.2180000000001</v>
      </c>
      <c r="BB5" s="35">
        <f>NVDA!CI7</f>
        <v>1102.787</v>
      </c>
      <c r="BC5" s="35">
        <f>NVDA!CJ7</f>
        <v>1102.8240000000001</v>
      </c>
      <c r="BD5" s="35">
        <f>NVDA!CK7</f>
        <v>1225.3820000000001</v>
      </c>
      <c r="BE5" s="35">
        <f>NVDA!CL7</f>
        <v>1250.5139999999999</v>
      </c>
      <c r="BF5" s="35">
        <f>NVDA!CN7</f>
        <v>1151</v>
      </c>
      <c r="BG5" s="35">
        <f>NVDA!CO7</f>
        <v>1153</v>
      </c>
      <c r="BH5" s="35">
        <f>NVDA!CP7</f>
        <v>1305</v>
      </c>
      <c r="BI5" s="35">
        <f>NVDA!CQ7</f>
        <v>1401</v>
      </c>
      <c r="BJ5" s="35">
        <f>NVDA!CS7</f>
        <v>1305</v>
      </c>
      <c r="BK5" s="620">
        <f>NVDA!CT7</f>
        <v>1428</v>
      </c>
      <c r="BL5" s="35">
        <f>NVDA!CU7</f>
        <v>2004</v>
      </c>
      <c r="BM5" s="35">
        <f>NVDA!CV7</f>
        <v>2173</v>
      </c>
      <c r="BN5" s="35">
        <f>NVDA!CX7</f>
        <v>1937</v>
      </c>
      <c r="BO5" s="35">
        <f>NVDA!CY7</f>
        <v>2230</v>
      </c>
      <c r="BP5" s="35">
        <f>NVDA!CZ7</f>
        <v>2636</v>
      </c>
      <c r="BQ5" s="35">
        <f>NVDA!DA7</f>
        <v>2911</v>
      </c>
      <c r="BR5" s="35">
        <f>NVDA!DC7</f>
        <v>3207</v>
      </c>
      <c r="BS5" s="35">
        <f>NVDA!DD7</f>
        <v>3123</v>
      </c>
      <c r="BT5" s="35">
        <f>NVDA!DE7</f>
        <v>3181</v>
      </c>
      <c r="BU5" s="35">
        <f>NVDA!DF7</f>
        <v>2205</v>
      </c>
      <c r="BV5" s="35">
        <f>NVDA!DH7</f>
        <v>2220</v>
      </c>
      <c r="BW5" s="35">
        <f>NVDA!DI7</f>
        <v>2579</v>
      </c>
      <c r="BX5" s="35">
        <f>NVDA!DJ7</f>
        <v>3014</v>
      </c>
      <c r="BY5" s="35">
        <f>NVDA!DK7</f>
        <v>3105</v>
      </c>
      <c r="BZ5" s="35">
        <f>NVDA!DM7</f>
        <v>3080</v>
      </c>
      <c r="CA5" s="35">
        <f>NVDA!DN7</f>
        <v>3866</v>
      </c>
      <c r="CB5" s="35">
        <f>NVDA!DO7</f>
        <v>4726</v>
      </c>
      <c r="CC5" s="35">
        <f>NVDA!DP7</f>
        <v>5003</v>
      </c>
      <c r="CD5" s="35">
        <f>NVDA!DR7</f>
        <v>5661</v>
      </c>
      <c r="CE5" s="35">
        <f>NVDA!DS7</f>
        <v>6507</v>
      </c>
      <c r="CF5" s="35">
        <f>NVDA!DT7</f>
        <v>7103</v>
      </c>
      <c r="CG5" s="35">
        <f>NVDA!DU7</f>
        <v>7643</v>
      </c>
      <c r="CH5" s="35">
        <f>NVDA!DW7</f>
        <v>8288</v>
      </c>
      <c r="CI5" s="35">
        <f>NVDA!DX7</f>
        <v>6704</v>
      </c>
      <c r="CJ5" s="35">
        <f>NVDA!DY7</f>
        <v>5931</v>
      </c>
      <c r="CK5" s="35">
        <f>NVDA!DZ7</f>
        <v>6051</v>
      </c>
      <c r="CL5" s="35">
        <f>NVDA!EB7</f>
        <v>7192</v>
      </c>
      <c r="CM5" s="35">
        <f>NVDA!EC7</f>
        <v>13507</v>
      </c>
      <c r="CN5" s="35">
        <f>NVDA!ED7</f>
        <v>18120</v>
      </c>
      <c r="CO5" s="35">
        <f>NVDA!EE7</f>
        <v>22103</v>
      </c>
      <c r="CP5" s="35">
        <f>NVDA!EG7</f>
        <v>26044</v>
      </c>
      <c r="CQ5" s="35">
        <f>NVDA!EH7</f>
        <v>30040</v>
      </c>
      <c r="CR5" s="35">
        <f>NVDA!EI7</f>
        <v>35082</v>
      </c>
      <c r="CS5" s="35">
        <f>NVDA!EJ7</f>
        <v>39331</v>
      </c>
      <c r="CT5" s="35">
        <f>NVDA!EL7</f>
        <v>44062</v>
      </c>
      <c r="CU5" s="35">
        <f>NVDA!EM7</f>
        <v>46743</v>
      </c>
      <c r="CV5" s="35">
        <f>NVDA!EN7</f>
        <v>57006</v>
      </c>
      <c r="CW5" s="35">
        <f>NVDA!EO7</f>
        <v>68127</v>
      </c>
      <c r="CX5" s="35">
        <f>NVDA!EQ7</f>
        <v>81615</v>
      </c>
      <c r="CY5" s="48">
        <f>CY119</f>
        <v>93049.695490204525</v>
      </c>
      <c r="CZ5" s="48">
        <f>CZ119</f>
        <v>110657.39095874946</v>
      </c>
      <c r="DA5" s="48">
        <f>DA119</f>
        <v>125531.96101679027</v>
      </c>
      <c r="DB5" s="48">
        <f t="shared" ref="DB5:DQ5" si="1">DB119</f>
        <v>137051.70908200651</v>
      </c>
      <c r="DC5" s="48">
        <f t="shared" si="1"/>
        <v>150458.66198219327</v>
      </c>
      <c r="DD5" s="48">
        <f t="shared" si="1"/>
        <v>168193.16456000754</v>
      </c>
      <c r="DE5" s="48">
        <f t="shared" si="1"/>
        <v>179416.30495241054</v>
      </c>
      <c r="DF5" s="48">
        <f t="shared" si="1"/>
        <v>184068.19608337298</v>
      </c>
      <c r="DG5" s="48">
        <f t="shared" si="1"/>
        <v>189743.54436478182</v>
      </c>
      <c r="DH5" s="48">
        <f t="shared" si="1"/>
        <v>203037.54684201549</v>
      </c>
      <c r="DI5" s="48">
        <f t="shared" si="1"/>
        <v>213173.61696678013</v>
      </c>
      <c r="DJ5" s="48">
        <f t="shared" si="1"/>
        <v>214693.75352959812</v>
      </c>
      <c r="DK5" s="48">
        <f t="shared" si="1"/>
        <v>217155.38940562791</v>
      </c>
      <c r="DL5" s="48">
        <f t="shared" si="1"/>
        <v>224007.64071852161</v>
      </c>
      <c r="DM5" s="48">
        <f t="shared" si="1"/>
        <v>228757.07306025701</v>
      </c>
      <c r="DN5" s="48">
        <f t="shared" si="1"/>
        <v>232581.4708820176</v>
      </c>
      <c r="DO5" s="48">
        <f t="shared" si="1"/>
        <v>239721.66388916987</v>
      </c>
      <c r="DP5" s="48">
        <f t="shared" si="1"/>
        <v>254182.09054237412</v>
      </c>
      <c r="DQ5" s="48">
        <f t="shared" si="1"/>
        <v>264442.47541311057</v>
      </c>
      <c r="DT5" s="35">
        <f>SUM(B5:E5)</f>
        <v>1369.471</v>
      </c>
      <c r="DU5" s="35">
        <f>SUM(F5:I5)</f>
        <v>1869.0820000000001</v>
      </c>
      <c r="DV5" s="35">
        <f>SUM(J5:M5)</f>
        <v>1822.9450000000002</v>
      </c>
      <c r="DW5" s="35">
        <f>SUM(N5:Q5)</f>
        <v>2010.0329999999999</v>
      </c>
      <c r="DX5" s="35">
        <f>SUM(R5:U5)</f>
        <v>2375.6869999999999</v>
      </c>
      <c r="DY5" s="35">
        <f>SUM(V5:Y5)</f>
        <v>3068.7710000000002</v>
      </c>
      <c r="DZ5" s="35">
        <f>SUM(Z5:AC5)</f>
        <v>4097.8600000000006</v>
      </c>
      <c r="EA5" s="35">
        <f>SUM(AD5:AG5)</f>
        <v>3424.8589999999999</v>
      </c>
      <c r="EB5" s="35">
        <f>SUM(AH5:AK5)</f>
        <v>3326.4449999999997</v>
      </c>
      <c r="EC5" s="35">
        <f>SUM(AL5:AO5)</f>
        <v>3543.3090000000002</v>
      </c>
      <c r="ED5" s="35">
        <f>SUM(AP5:AS5)</f>
        <v>3997.93</v>
      </c>
      <c r="EE5" s="35">
        <f>SUM(AT5:AW5)</f>
        <v>4280.1589999999997</v>
      </c>
      <c r="EF5" s="35">
        <f>SUM(AX5:BA5)</f>
        <v>4130.1620000000003</v>
      </c>
      <c r="EG5" s="35">
        <f>SUM(BB5:BE5)</f>
        <v>4681.5069999999996</v>
      </c>
      <c r="EH5" s="35">
        <f>SUM(BF5:BI5)</f>
        <v>5010</v>
      </c>
      <c r="EI5" s="35">
        <f>SUM(BJ5:BM5)</f>
        <v>6910</v>
      </c>
      <c r="EJ5" s="35">
        <f>SUM(BN5:BQ5)</f>
        <v>9714</v>
      </c>
      <c r="EK5" s="35">
        <f>SUM(BR5:BU5)</f>
        <v>11716</v>
      </c>
      <c r="EL5" s="35">
        <f>BV5+BW5+BX5+BY5</f>
        <v>10918</v>
      </c>
      <c r="EM5" s="35">
        <f>CC5+CB5+CA5+BZ5</f>
        <v>16675</v>
      </c>
      <c r="EN5" s="35">
        <f>+CD5+CE5+CF5+CG5</f>
        <v>26914</v>
      </c>
      <c r="EO5" s="35">
        <f>SUM(CH5:CK5)</f>
        <v>26974</v>
      </c>
      <c r="EP5" s="35">
        <f>SUM(CL5:CO5)</f>
        <v>60922</v>
      </c>
      <c r="EQ5" s="35">
        <f>SUM(CP5:CS5)</f>
        <v>130497</v>
      </c>
      <c r="ER5" s="35">
        <f>SUM(CT5:CW5)</f>
        <v>215938</v>
      </c>
      <c r="ES5" s="48">
        <f>SUM(CX5:DA5)</f>
        <v>410854.0474657442</v>
      </c>
      <c r="ET5" s="48">
        <f>SUM(DB5:DE5)</f>
        <v>635119.84057661786</v>
      </c>
      <c r="EU5" s="48">
        <f>SUM(DF5:DI5)</f>
        <v>790022.90425695048</v>
      </c>
      <c r="EV5" s="48">
        <f>SUM(DJ5:DM5)</f>
        <v>884613.85671400465</v>
      </c>
      <c r="EW5" s="48">
        <f>SUM(DN5:DQ5)</f>
        <v>990927.70072667208</v>
      </c>
      <c r="EX5" s="50"/>
    </row>
    <row r="6" spans="1:156" s="52" customFormat="1" ht="11.25" customHeight="1">
      <c r="A6" s="51" t="s">
        <v>223</v>
      </c>
      <c r="C6" s="52">
        <f t="shared" ref="C6:BN6" si="2">C5/B5-1</f>
        <v>7.8623844072186477E-2</v>
      </c>
      <c r="D6" s="52">
        <f t="shared" si="2"/>
        <v>0.40442905242905236</v>
      </c>
      <c r="E6" s="52">
        <f t="shared" si="2"/>
        <v>0.38005786681864007</v>
      </c>
      <c r="F6" s="52">
        <f t="shared" si="2"/>
        <v>0.15727394736424127</v>
      </c>
      <c r="G6" s="52">
        <f t="shared" si="2"/>
        <v>-0.26697317744743987</v>
      </c>
      <c r="H6" s="52">
        <f t="shared" si="2"/>
        <v>7.0655417344394067E-3</v>
      </c>
      <c r="I6" s="52">
        <f t="shared" si="2"/>
        <v>-3.987878337175621E-3</v>
      </c>
      <c r="J6" s="52">
        <f t="shared" si="2"/>
        <v>-5.5076203720122785E-2</v>
      </c>
      <c r="K6" s="52">
        <f t="shared" si="2"/>
        <v>0.13529209868068537</v>
      </c>
      <c r="L6" s="52">
        <f t="shared" si="2"/>
        <v>5.7191141734852291E-2</v>
      </c>
      <c r="M6" s="52">
        <f t="shared" si="2"/>
        <v>-2.8699629065009225E-2</v>
      </c>
      <c r="N6" s="52">
        <f t="shared" si="2"/>
        <v>-4.5327555129126562E-4</v>
      </c>
      <c r="O6" s="52">
        <f t="shared" si="2"/>
        <v>-3.3574554200527684E-2</v>
      </c>
      <c r="P6" s="52">
        <f t="shared" si="2"/>
        <v>0.13053078425912323</v>
      </c>
      <c r="Q6" s="52">
        <f t="shared" si="2"/>
        <v>9.8692568334202813E-2</v>
      </c>
      <c r="R6" s="52">
        <f t="shared" si="2"/>
        <v>3.0663258461082199E-2</v>
      </c>
      <c r="S6" s="52">
        <f t="shared" si="2"/>
        <v>-1.5473258359224862E-2</v>
      </c>
      <c r="T6" s="52">
        <f t="shared" si="2"/>
        <v>1.4966632568561566E-2</v>
      </c>
      <c r="U6" s="52">
        <f t="shared" si="2"/>
        <v>8.6043382497879017E-2</v>
      </c>
      <c r="V6" s="52">
        <f t="shared" si="2"/>
        <v>7.60605037136175E-2</v>
      </c>
      <c r="W6" s="52">
        <f t="shared" si="2"/>
        <v>8.3777373948932254E-3</v>
      </c>
      <c r="X6" s="52">
        <f t="shared" si="2"/>
        <v>0.19352628800076799</v>
      </c>
      <c r="Y6" s="52">
        <f t="shared" si="2"/>
        <v>7.1049219325056256E-2</v>
      </c>
      <c r="Z6" s="52">
        <f t="shared" si="2"/>
        <v>-3.9360635723250215E-2</v>
      </c>
      <c r="AA6" s="52">
        <f t="shared" si="2"/>
        <v>0.10775216752736072</v>
      </c>
      <c r="AB6" s="52">
        <f t="shared" si="2"/>
        <v>0.19282910613491744</v>
      </c>
      <c r="AC6" s="52">
        <f t="shared" si="2"/>
        <v>7.8104369230107329E-2</v>
      </c>
      <c r="AD6" s="52">
        <f t="shared" si="2"/>
        <v>-4.1025001455023191E-2</v>
      </c>
      <c r="AE6" s="52">
        <f t="shared" si="2"/>
        <v>-0.2260401530100884</v>
      </c>
      <c r="AF6" s="52">
        <f t="shared" si="2"/>
        <v>5.5776115858383601E-3</v>
      </c>
      <c r="AG6" s="52">
        <f t="shared" si="2"/>
        <v>-0.46400343116230625</v>
      </c>
      <c r="AH6" s="52">
        <f t="shared" si="2"/>
        <v>0.38053581078272436</v>
      </c>
      <c r="AI6" s="52">
        <f t="shared" si="2"/>
        <v>0.16905112829723401</v>
      </c>
      <c r="AJ6" s="52">
        <f t="shared" si="2"/>
        <v>0.16314583011384132</v>
      </c>
      <c r="AK6" s="52">
        <f t="shared" si="2"/>
        <v>8.7778424855459392E-2</v>
      </c>
      <c r="AL6" s="52">
        <f t="shared" si="2"/>
        <v>1.9669451433503404E-2</v>
      </c>
      <c r="AM6" s="52">
        <f t="shared" si="2"/>
        <v>-0.19026005851391425</v>
      </c>
      <c r="AN6" s="52">
        <f t="shared" si="2"/>
        <v>4.0315184268399751E-2</v>
      </c>
      <c r="AO6" s="52">
        <f t="shared" si="2"/>
        <v>5.0318042639516891E-2</v>
      </c>
      <c r="AP6" s="52">
        <f t="shared" si="2"/>
        <v>8.5362193922218221E-2</v>
      </c>
      <c r="AQ6" s="52">
        <f t="shared" si="2"/>
        <v>5.6627641914724913E-2</v>
      </c>
      <c r="AR6" s="52">
        <f t="shared" si="2"/>
        <v>4.8856044709532753E-2</v>
      </c>
      <c r="AS6" s="52">
        <f t="shared" si="2"/>
        <v>-0.10597272505580679</v>
      </c>
      <c r="AT6" s="52">
        <f t="shared" si="2"/>
        <v>-2.9707488716882446E-2</v>
      </c>
      <c r="AU6" s="52">
        <f t="shared" si="2"/>
        <v>0.12909067908489447</v>
      </c>
      <c r="AV6" s="52">
        <f t="shared" si="2"/>
        <v>0.153063862794105</v>
      </c>
      <c r="AW6" s="52">
        <f t="shared" si="2"/>
        <v>-8.0730165848635016E-2</v>
      </c>
      <c r="AX6" s="52">
        <f t="shared" si="2"/>
        <v>-0.13746745421003848</v>
      </c>
      <c r="AY6" s="52">
        <f t="shared" si="2"/>
        <v>2.3565602745881264E-2</v>
      </c>
      <c r="AZ6" s="52">
        <f t="shared" si="2"/>
        <v>7.8516185412356165E-2</v>
      </c>
      <c r="BA6" s="52">
        <f t="shared" si="2"/>
        <v>8.5629815734268755E-2</v>
      </c>
      <c r="BB6" s="52">
        <f t="shared" si="2"/>
        <v>-3.6209009122387559E-2</v>
      </c>
      <c r="BC6" s="52">
        <f t="shared" si="2"/>
        <v>3.3551356698913182E-5</v>
      </c>
      <c r="BD6" s="52">
        <f t="shared" si="2"/>
        <v>0.1111310598971369</v>
      </c>
      <c r="BE6" s="52">
        <f t="shared" si="2"/>
        <v>2.0509522744744046E-2</v>
      </c>
      <c r="BF6" s="52">
        <f t="shared" si="2"/>
        <v>-7.95784773301218E-2</v>
      </c>
      <c r="BG6" s="52">
        <f t="shared" si="2"/>
        <v>1.7376194613378804E-3</v>
      </c>
      <c r="BH6" s="52">
        <f t="shared" si="2"/>
        <v>0.13183000867302685</v>
      </c>
      <c r="BI6" s="52">
        <f t="shared" si="2"/>
        <v>7.3563218390804597E-2</v>
      </c>
      <c r="BJ6" s="52">
        <f t="shared" si="2"/>
        <v>-6.8522483940042789E-2</v>
      </c>
      <c r="BK6" s="621">
        <f t="shared" si="2"/>
        <v>9.4252873563218431E-2</v>
      </c>
      <c r="BL6" s="621">
        <f t="shared" si="2"/>
        <v>0.40336134453781503</v>
      </c>
      <c r="BM6" s="52">
        <f t="shared" si="2"/>
        <v>8.4331337325349365E-2</v>
      </c>
      <c r="BN6" s="52">
        <f t="shared" si="2"/>
        <v>-0.1086056143580304</v>
      </c>
      <c r="BO6" s="52">
        <f t="shared" ref="BO6:DQ6" si="3">BO5/BN5-1</f>
        <v>0.15126484254001027</v>
      </c>
      <c r="BP6" s="52">
        <f t="shared" si="3"/>
        <v>0.1820627802690582</v>
      </c>
      <c r="BQ6" s="52">
        <f t="shared" si="3"/>
        <v>0.10432473444613044</v>
      </c>
      <c r="BR6" s="52">
        <f t="shared" si="3"/>
        <v>0.1016832703538304</v>
      </c>
      <c r="BS6" s="52">
        <f t="shared" si="3"/>
        <v>-2.6192703461178635E-2</v>
      </c>
      <c r="BT6" s="52">
        <f t="shared" si="3"/>
        <v>1.8571886007044514E-2</v>
      </c>
      <c r="BU6" s="52">
        <f t="shared" si="3"/>
        <v>-0.30682175416535684</v>
      </c>
      <c r="BV6" s="52">
        <f t="shared" si="3"/>
        <v>6.8027210884353817E-3</v>
      </c>
      <c r="BW6" s="52">
        <f t="shared" si="3"/>
        <v>0.16171171171171173</v>
      </c>
      <c r="BX6" s="52">
        <f t="shared" si="3"/>
        <v>0.16867002714230317</v>
      </c>
      <c r="BY6" s="52">
        <f t="shared" si="3"/>
        <v>3.0192435301924281E-2</v>
      </c>
      <c r="BZ6" s="52">
        <f t="shared" si="3"/>
        <v>-8.0515297906602612E-3</v>
      </c>
      <c r="CA6" s="52">
        <f t="shared" si="3"/>
        <v>0.2551948051948052</v>
      </c>
      <c r="CB6" s="52">
        <f t="shared" si="3"/>
        <v>0.22245214692188298</v>
      </c>
      <c r="CC6" s="52">
        <f t="shared" si="3"/>
        <v>5.8611933982225972E-2</v>
      </c>
      <c r="CD6" s="52">
        <f t="shared" si="3"/>
        <v>0.13152108734759138</v>
      </c>
      <c r="CE6" s="52">
        <f t="shared" si="3"/>
        <v>0.14944356120826718</v>
      </c>
      <c r="CF6" s="52">
        <f t="shared" si="3"/>
        <v>9.1593668357153879E-2</v>
      </c>
      <c r="CG6" s="52">
        <f t="shared" si="3"/>
        <v>7.6024215120371608E-2</v>
      </c>
      <c r="CH6" s="52">
        <f t="shared" si="3"/>
        <v>8.4390945963626951E-2</v>
      </c>
      <c r="CI6" s="52">
        <f t="shared" si="3"/>
        <v>-0.19111969111969107</v>
      </c>
      <c r="CJ6" s="52">
        <f t="shared" si="3"/>
        <v>-0.11530429594272074</v>
      </c>
      <c r="CK6" s="52">
        <f t="shared" si="3"/>
        <v>2.0232675771370667E-2</v>
      </c>
      <c r="CL6" s="52">
        <f t="shared" si="3"/>
        <v>0.1885638737398776</v>
      </c>
      <c r="CM6" s="52">
        <f t="shared" si="3"/>
        <v>0.87805895439377091</v>
      </c>
      <c r="CN6" s="52">
        <f t="shared" si="3"/>
        <v>0.34152661582882948</v>
      </c>
      <c r="CO6" s="52">
        <f t="shared" si="3"/>
        <v>0.21981236203090515</v>
      </c>
      <c r="CP6" s="52">
        <f t="shared" si="3"/>
        <v>0.17830158801972584</v>
      </c>
      <c r="CQ6" s="52">
        <f t="shared" si="3"/>
        <v>0.1534326524343419</v>
      </c>
      <c r="CR6" s="52">
        <f t="shared" si="3"/>
        <v>0.16784287616511318</v>
      </c>
      <c r="CS6" s="52">
        <f t="shared" si="3"/>
        <v>0.12111624194743742</v>
      </c>
      <c r="CT6" s="52">
        <f t="shared" si="3"/>
        <v>0.12028679667437903</v>
      </c>
      <c r="CU6" s="52">
        <f t="shared" si="3"/>
        <v>6.0846080522899637E-2</v>
      </c>
      <c r="CV6" s="52">
        <f t="shared" si="3"/>
        <v>0.21956228740132211</v>
      </c>
      <c r="CW6" s="52">
        <f t="shared" si="3"/>
        <v>0.1950847279233765</v>
      </c>
      <c r="CX6" s="52">
        <f t="shared" si="3"/>
        <v>0.1979831784754944</v>
      </c>
      <c r="CY6" s="53">
        <f t="shared" si="3"/>
        <v>0.14010531752992139</v>
      </c>
      <c r="CZ6" s="53">
        <f t="shared" si="3"/>
        <v>0.18922894240313259</v>
      </c>
      <c r="DA6" s="53">
        <f t="shared" si="3"/>
        <v>0.13442003221986054</v>
      </c>
      <c r="DB6" s="53">
        <f t="shared" si="3"/>
        <v>9.1767450869945755E-2</v>
      </c>
      <c r="DC6" s="53">
        <f t="shared" si="3"/>
        <v>9.7824047507240941E-2</v>
      </c>
      <c r="DD6" s="53">
        <f t="shared" si="3"/>
        <v>0.11786960181736261</v>
      </c>
      <c r="DE6" s="53">
        <f t="shared" si="3"/>
        <v>6.6727684337010151E-2</v>
      </c>
      <c r="DF6" s="53">
        <f t="shared" si="3"/>
        <v>2.5927917377388532E-2</v>
      </c>
      <c r="DG6" s="53">
        <f t="shared" si="3"/>
        <v>3.0832856529099617E-2</v>
      </c>
      <c r="DH6" s="53">
        <f t="shared" si="3"/>
        <v>7.0063002784832351E-2</v>
      </c>
      <c r="DI6" s="53">
        <f t="shared" si="3"/>
        <v>4.9922146334104189E-2</v>
      </c>
      <c r="DJ6" s="53">
        <f t="shared" si="3"/>
        <v>7.1309788915148165E-3</v>
      </c>
      <c r="DK6" s="53">
        <f t="shared" si="3"/>
        <v>1.146580110301354E-2</v>
      </c>
      <c r="DL6" s="53">
        <f t="shared" si="3"/>
        <v>3.1554599366144576E-2</v>
      </c>
      <c r="DM6" s="53">
        <f t="shared" si="3"/>
        <v>2.1202099743121483E-2</v>
      </c>
      <c r="DN6" s="53">
        <f t="shared" si="3"/>
        <v>1.6718162068602771E-2</v>
      </c>
      <c r="DO6" s="53">
        <f t="shared" si="3"/>
        <v>3.0699749984702374E-2</v>
      </c>
      <c r="DP6" s="53">
        <f t="shared" si="3"/>
        <v>6.032173487620085E-2</v>
      </c>
      <c r="DQ6" s="53">
        <f t="shared" si="3"/>
        <v>4.036627776899171E-2</v>
      </c>
      <c r="DT6" s="54" t="s">
        <v>224</v>
      </c>
      <c r="DU6" s="54" t="s">
        <v>224</v>
      </c>
      <c r="DV6" s="54" t="s">
        <v>224</v>
      </c>
      <c r="DW6" s="54" t="s">
        <v>224</v>
      </c>
      <c r="DX6" s="54" t="s">
        <v>224</v>
      </c>
      <c r="DY6" s="54" t="s">
        <v>224</v>
      </c>
      <c r="DZ6" s="54" t="s">
        <v>224</v>
      </c>
      <c r="EA6" s="54" t="s">
        <v>224</v>
      </c>
      <c r="EB6" s="54" t="s">
        <v>224</v>
      </c>
      <c r="EC6" s="54" t="s">
        <v>224</v>
      </c>
      <c r="ED6" s="54" t="s">
        <v>224</v>
      </c>
      <c r="EE6" s="54" t="s">
        <v>224</v>
      </c>
      <c r="EF6" s="54" t="s">
        <v>224</v>
      </c>
      <c r="EG6" s="54" t="s">
        <v>224</v>
      </c>
      <c r="EH6" s="54" t="s">
        <v>224</v>
      </c>
      <c r="EI6" s="54" t="s">
        <v>224</v>
      </c>
      <c r="EJ6" s="54" t="s">
        <v>224</v>
      </c>
      <c r="EK6" s="54" t="s">
        <v>224</v>
      </c>
      <c r="EL6" s="54" t="s">
        <v>224</v>
      </c>
      <c r="EM6" s="54" t="s">
        <v>224</v>
      </c>
      <c r="EN6" s="54" t="s">
        <v>224</v>
      </c>
      <c r="EO6" s="54" t="s">
        <v>224</v>
      </c>
      <c r="EP6" s="54" t="s">
        <v>224</v>
      </c>
      <c r="EQ6" s="54" t="s">
        <v>224</v>
      </c>
      <c r="ER6" s="54" t="s">
        <v>224</v>
      </c>
      <c r="ES6" s="55" t="s">
        <v>224</v>
      </c>
      <c r="ET6" s="55" t="s">
        <v>224</v>
      </c>
      <c r="EU6" s="55" t="s">
        <v>224</v>
      </c>
      <c r="EV6" s="55" t="s">
        <v>224</v>
      </c>
      <c r="EW6" s="55" t="s">
        <v>224</v>
      </c>
    </row>
    <row r="7" spans="1:156" s="52" customFormat="1" ht="11.25" customHeight="1">
      <c r="A7" s="51" t="s">
        <v>225</v>
      </c>
      <c r="F7" s="52">
        <f t="shared" ref="F7:BQ7" si="4">F5/B5-1</f>
        <v>1.41937559145319</v>
      </c>
      <c r="G7" s="52">
        <f t="shared" si="4"/>
        <v>0.64419432419432421</v>
      </c>
      <c r="H7" s="52">
        <f t="shared" si="4"/>
        <v>0.17899259129367406</v>
      </c>
      <c r="I7" s="52">
        <f t="shared" si="4"/>
        <v>-0.14910023665443695</v>
      </c>
      <c r="J7" s="52">
        <f t="shared" si="4"/>
        <v>-0.30523327128777411</v>
      </c>
      <c r="K7" s="52">
        <f t="shared" si="4"/>
        <v>7.6035901096457748E-2</v>
      </c>
      <c r="L7" s="52">
        <f t="shared" si="4"/>
        <v>0.12959442626608175</v>
      </c>
      <c r="M7" s="52">
        <f t="shared" si="4"/>
        <v>0.10156840602163397</v>
      </c>
      <c r="N7" s="52">
        <f t="shared" si="4"/>
        <v>0.16524644244326292</v>
      </c>
      <c r="O7" s="52">
        <f t="shared" si="4"/>
        <v>-8.075706760277912E-3</v>
      </c>
      <c r="P7" s="52">
        <f t="shared" si="4"/>
        <v>6.0736232921663413E-2</v>
      </c>
      <c r="Q7" s="52">
        <f t="shared" si="4"/>
        <v>0.19985851024847534</v>
      </c>
      <c r="R7" s="52">
        <f t="shared" si="4"/>
        <v>0.2372108793083354</v>
      </c>
      <c r="S7" s="52">
        <f t="shared" si="4"/>
        <v>0.26038402757525869</v>
      </c>
      <c r="T7" s="52">
        <f t="shared" si="4"/>
        <v>0.13154612861745063</v>
      </c>
      <c r="U7" s="52">
        <f t="shared" si="4"/>
        <v>0.11851870158665156</v>
      </c>
      <c r="V7" s="52">
        <f t="shared" si="4"/>
        <v>0.16778568321098364</v>
      </c>
      <c r="W7" s="52">
        <f t="shared" si="4"/>
        <v>0.19607628233231034</v>
      </c>
      <c r="X7" s="52">
        <f t="shared" si="4"/>
        <v>0.40649794743021705</v>
      </c>
      <c r="Y7" s="52">
        <f t="shared" si="4"/>
        <v>0.38707951528848805</v>
      </c>
      <c r="Z7" s="52">
        <f t="shared" si="4"/>
        <v>0.23829764141465248</v>
      </c>
      <c r="AA7" s="52">
        <f t="shared" si="4"/>
        <v>0.36033040541425043</v>
      </c>
      <c r="AB7" s="52">
        <f t="shared" si="4"/>
        <v>0.35953578723134583</v>
      </c>
      <c r="AC7" s="52">
        <f t="shared" si="4"/>
        <v>0.36849123821075391</v>
      </c>
      <c r="AD7" s="52">
        <f t="shared" si="4"/>
        <v>0.36612024446865954</v>
      </c>
      <c r="AE7" s="52">
        <f t="shared" si="4"/>
        <v>-4.5524579979962621E-2</v>
      </c>
      <c r="AF7" s="52">
        <f t="shared" si="4"/>
        <v>-0.19535907679923847</v>
      </c>
      <c r="AG7" s="52">
        <f t="shared" si="4"/>
        <v>-0.59996009079344492</v>
      </c>
      <c r="AH7" s="52">
        <f t="shared" si="4"/>
        <v>-0.42410446441266947</v>
      </c>
      <c r="AI7" s="52">
        <f t="shared" si="4"/>
        <v>-0.13012111897261724</v>
      </c>
      <c r="AJ7" s="52">
        <f t="shared" si="4"/>
        <v>6.1838902473667634E-3</v>
      </c>
      <c r="AK7" s="52">
        <f t="shared" si="4"/>
        <v>1.042000249407657</v>
      </c>
      <c r="AL7" s="52">
        <f t="shared" si="4"/>
        <v>0.5082298176387432</v>
      </c>
      <c r="AM7" s="52">
        <f t="shared" si="4"/>
        <v>4.4671096687786571E-2</v>
      </c>
      <c r="AN7" s="52">
        <f t="shared" si="4"/>
        <v>-6.564836814635866E-2</v>
      </c>
      <c r="AO7" s="52">
        <f t="shared" si="4"/>
        <v>-9.7825113385608842E-2</v>
      </c>
      <c r="AP7" s="52">
        <f t="shared" si="4"/>
        <v>-3.9702020237309732E-2</v>
      </c>
      <c r="AQ7" s="52">
        <f t="shared" si="4"/>
        <v>0.25309045275687625</v>
      </c>
      <c r="AR7" s="52">
        <f t="shared" si="4"/>
        <v>0.26337817213169146</v>
      </c>
      <c r="AS7" s="52">
        <f t="shared" si="4"/>
        <v>7.5383358755200858E-2</v>
      </c>
      <c r="AT7" s="52">
        <f t="shared" si="4"/>
        <v>-3.8628371614872203E-2</v>
      </c>
      <c r="AU7" s="52">
        <f t="shared" si="4"/>
        <v>2.7302052007000199E-2</v>
      </c>
      <c r="AV7" s="52">
        <f t="shared" si="4"/>
        <v>0.12936839933219524</v>
      </c>
      <c r="AW7" s="52">
        <f t="shared" si="4"/>
        <v>0.16125573597819542</v>
      </c>
      <c r="AX7" s="52">
        <f t="shared" si="4"/>
        <v>3.2287536612976675E-2</v>
      </c>
      <c r="AY7" s="52">
        <f t="shared" si="4"/>
        <v>-6.4190295613203441E-2</v>
      </c>
      <c r="AZ7" s="52">
        <f t="shared" si="4"/>
        <v>-0.12469209623705457</v>
      </c>
      <c r="BA7" s="52">
        <f t="shared" si="4"/>
        <v>3.3712108208314717E-2</v>
      </c>
      <c r="BB7" s="52">
        <f t="shared" si="4"/>
        <v>0.15506646319046347</v>
      </c>
      <c r="BC7" s="52">
        <f t="shared" si="4"/>
        <v>0.12851117128069101</v>
      </c>
      <c r="BD7" s="52">
        <f t="shared" si="4"/>
        <v>0.16263791940354855</v>
      </c>
      <c r="BE7" s="52">
        <f t="shared" si="4"/>
        <v>9.2898381252523476E-2</v>
      </c>
      <c r="BF7" s="52">
        <f t="shared" si="4"/>
        <v>4.3719231365621836E-2</v>
      </c>
      <c r="BG7" s="52">
        <f t="shared" si="4"/>
        <v>4.5497740346601034E-2</v>
      </c>
      <c r="BH7" s="52">
        <f t="shared" si="4"/>
        <v>6.4974024426668553E-2</v>
      </c>
      <c r="BI7" s="52">
        <f t="shared" si="4"/>
        <v>0.12033931647306639</v>
      </c>
      <c r="BJ7" s="52">
        <f t="shared" si="4"/>
        <v>0.13379669852302345</v>
      </c>
      <c r="BK7" s="621">
        <f t="shared" si="4"/>
        <v>0.238508239375542</v>
      </c>
      <c r="BL7" s="621">
        <f t="shared" si="4"/>
        <v>0.53563218390804601</v>
      </c>
      <c r="BM7" s="52">
        <f t="shared" si="4"/>
        <v>0.55103497501784449</v>
      </c>
      <c r="BN7" s="52">
        <f t="shared" si="4"/>
        <v>0.48429118773946356</v>
      </c>
      <c r="BO7" s="52">
        <f t="shared" si="4"/>
        <v>0.56162464985994398</v>
      </c>
      <c r="BP7" s="52">
        <f t="shared" si="4"/>
        <v>0.3153692614770458</v>
      </c>
      <c r="BQ7" s="52">
        <f t="shared" si="4"/>
        <v>0.33962264150943389</v>
      </c>
      <c r="BR7" s="52">
        <f t="shared" ref="BR7:DQ7" si="5">BR5/BN5-1</f>
        <v>0.65565307176045429</v>
      </c>
      <c r="BS7" s="52">
        <f t="shared" si="5"/>
        <v>0.40044843049327361</v>
      </c>
      <c r="BT7" s="52">
        <f t="shared" si="5"/>
        <v>0.20675265553869493</v>
      </c>
      <c r="BU7" s="52">
        <f t="shared" si="5"/>
        <v>-0.24252834077636554</v>
      </c>
      <c r="BV7" s="52">
        <f t="shared" si="5"/>
        <v>-0.3077642656688494</v>
      </c>
      <c r="BW7" s="52">
        <f t="shared" si="5"/>
        <v>-0.17419148254883121</v>
      </c>
      <c r="BX7" s="52">
        <f t="shared" si="5"/>
        <v>-5.2499214083621459E-2</v>
      </c>
      <c r="BY7" s="52">
        <f t="shared" si="5"/>
        <v>0.40816326530612246</v>
      </c>
      <c r="BZ7" s="52">
        <f t="shared" si="5"/>
        <v>0.38738738738738743</v>
      </c>
      <c r="CA7" s="52">
        <f t="shared" si="5"/>
        <v>0.49903063202791786</v>
      </c>
      <c r="CB7" s="52">
        <f t="shared" si="5"/>
        <v>0.56801592568015935</v>
      </c>
      <c r="CC7" s="52">
        <f t="shared" si="5"/>
        <v>0.61127214170692423</v>
      </c>
      <c r="CD7" s="52">
        <f t="shared" si="5"/>
        <v>0.83798701298701306</v>
      </c>
      <c r="CE7" s="52">
        <f t="shared" si="5"/>
        <v>0.68313502327987585</v>
      </c>
      <c r="CF7" s="52">
        <f t="shared" si="5"/>
        <v>0.50296233601354201</v>
      </c>
      <c r="CG7" s="52">
        <f t="shared" si="5"/>
        <v>0.52768338996602049</v>
      </c>
      <c r="CH7" s="52">
        <f t="shared" si="5"/>
        <v>0.46405228758169925</v>
      </c>
      <c r="CI7" s="52">
        <f t="shared" si="5"/>
        <v>3.0275088366374714E-2</v>
      </c>
      <c r="CJ7" s="52">
        <f t="shared" si="5"/>
        <v>-0.16500070392791777</v>
      </c>
      <c r="CK7" s="52">
        <f t="shared" si="5"/>
        <v>-0.20829517205285886</v>
      </c>
      <c r="CL7" s="52">
        <f t="shared" si="5"/>
        <v>-0.13223938223938225</v>
      </c>
      <c r="CM7" s="52">
        <f t="shared" si="5"/>
        <v>1.0147673031026252</v>
      </c>
      <c r="CN7" s="52">
        <f t="shared" si="5"/>
        <v>2.0551340414769852</v>
      </c>
      <c r="CO7" s="52">
        <f t="shared" si="5"/>
        <v>2.6527846636919516</v>
      </c>
      <c r="CP7" s="52">
        <f t="shared" si="5"/>
        <v>2.6212458286985538</v>
      </c>
      <c r="CQ7" s="52">
        <f t="shared" si="5"/>
        <v>1.2240319834160065</v>
      </c>
      <c r="CR7" s="52">
        <f t="shared" si="5"/>
        <v>0.93609271523178816</v>
      </c>
      <c r="CS7" s="52">
        <f t="shared" si="5"/>
        <v>0.77944170474596208</v>
      </c>
      <c r="CT7" s="52">
        <f t="shared" si="5"/>
        <v>0.69182921210259551</v>
      </c>
      <c r="CU7" s="52">
        <f t="shared" si="5"/>
        <v>0.5560252996005326</v>
      </c>
      <c r="CV7" s="52">
        <f t="shared" si="5"/>
        <v>0.62493586454592109</v>
      </c>
      <c r="CW7" s="52">
        <f t="shared" si="5"/>
        <v>0.73214512725331171</v>
      </c>
      <c r="CX7" s="52">
        <f t="shared" si="5"/>
        <v>0.85227633788752222</v>
      </c>
      <c r="CY7" s="53">
        <f t="shared" si="5"/>
        <v>0.99066588559152224</v>
      </c>
      <c r="CZ7" s="53">
        <f t="shared" si="5"/>
        <v>0.94115340418112936</v>
      </c>
      <c r="DA7" s="53">
        <f t="shared" si="5"/>
        <v>0.84261689222760827</v>
      </c>
      <c r="DB7" s="53">
        <f t="shared" si="5"/>
        <v>0.67924657332606153</v>
      </c>
      <c r="DC7" s="53">
        <f t="shared" si="5"/>
        <v>0.61697103026019318</v>
      </c>
      <c r="DD7" s="53">
        <f t="shared" si="5"/>
        <v>0.51994514874027797</v>
      </c>
      <c r="DE7" s="53">
        <f t="shared" si="5"/>
        <v>0.42924800583982825</v>
      </c>
      <c r="DF7" s="53">
        <f t="shared" si="5"/>
        <v>0.34305655373647048</v>
      </c>
      <c r="DG7" s="53">
        <f t="shared" si="5"/>
        <v>0.26110083570487896</v>
      </c>
      <c r="DH7" s="53">
        <f t="shared" si="5"/>
        <v>0.20716883693318144</v>
      </c>
      <c r="DI7" s="53">
        <f t="shared" si="5"/>
        <v>0.18815074819049227</v>
      </c>
      <c r="DJ7" s="53">
        <f t="shared" si="5"/>
        <v>0.16638158083731858</v>
      </c>
      <c r="DK7" s="53">
        <f t="shared" si="5"/>
        <v>0.14446786652275678</v>
      </c>
      <c r="DL7" s="53">
        <f t="shared" si="5"/>
        <v>0.10328185206464813</v>
      </c>
      <c r="DM7" s="53">
        <f t="shared" si="5"/>
        <v>7.3102179881412432E-2</v>
      </c>
      <c r="DN7" s="53">
        <f t="shared" si="5"/>
        <v>8.3317362793945637E-2</v>
      </c>
      <c r="DO7" s="53">
        <f t="shared" si="5"/>
        <v>0.10391763494936823</v>
      </c>
      <c r="DP7" s="53">
        <f t="shared" si="5"/>
        <v>0.13470277052633417</v>
      </c>
      <c r="DQ7" s="53">
        <f t="shared" si="5"/>
        <v>0.15599693541914506</v>
      </c>
      <c r="DU7" s="52">
        <f>DU5/DT5-1</f>
        <v>0.3648204306626428</v>
      </c>
      <c r="DV7" s="52">
        <f t="shared" ref="DV7:ET7" si="6">DV5/DU5-1</f>
        <v>-2.4684310265681186E-2</v>
      </c>
      <c r="DW7" s="52">
        <f t="shared" si="6"/>
        <v>0.10262953627235039</v>
      </c>
      <c r="DX7" s="52">
        <f t="shared" si="6"/>
        <v>0.18191442628056365</v>
      </c>
      <c r="DY7" s="52">
        <f t="shared" si="6"/>
        <v>0.29174045234073365</v>
      </c>
      <c r="DZ7" s="52">
        <f t="shared" si="6"/>
        <v>0.33534238951032846</v>
      </c>
      <c r="EA7" s="52">
        <f t="shared" si="6"/>
        <v>-0.16423230661857668</v>
      </c>
      <c r="EB7" s="52">
        <f t="shared" si="6"/>
        <v>-2.8735197565797677E-2</v>
      </c>
      <c r="EC7" s="52">
        <f t="shared" si="6"/>
        <v>6.5193923242380603E-2</v>
      </c>
      <c r="ED7" s="52">
        <f t="shared" si="6"/>
        <v>0.12830407960468571</v>
      </c>
      <c r="EE7" s="52">
        <f t="shared" si="6"/>
        <v>7.0593782282331041E-2</v>
      </c>
      <c r="EF7" s="52">
        <f t="shared" si="6"/>
        <v>-3.5044726142182903E-2</v>
      </c>
      <c r="EG7" s="52">
        <f t="shared" si="6"/>
        <v>0.13349234243112007</v>
      </c>
      <c r="EH7" s="52">
        <f t="shared" si="6"/>
        <v>7.0168217200145211E-2</v>
      </c>
      <c r="EI7" s="52">
        <f t="shared" si="6"/>
        <v>0.37924151696606789</v>
      </c>
      <c r="EJ7" s="52">
        <f t="shared" si="6"/>
        <v>0.40578871201157751</v>
      </c>
      <c r="EK7" s="52">
        <f t="shared" si="6"/>
        <v>0.20609429689108505</v>
      </c>
      <c r="EL7" s="52">
        <f t="shared" si="6"/>
        <v>-6.8111983612154314E-2</v>
      </c>
      <c r="EM7" s="52">
        <f t="shared" si="6"/>
        <v>0.52729437625938824</v>
      </c>
      <c r="EN7" s="52">
        <f t="shared" si="6"/>
        <v>0.61403298350824587</v>
      </c>
      <c r="EO7" s="52">
        <f t="shared" si="6"/>
        <v>2.2293230289069932E-3</v>
      </c>
      <c r="EP7" s="52">
        <f t="shared" si="6"/>
        <v>1.2585452658115224</v>
      </c>
      <c r="EQ7" s="52">
        <f t="shared" si="6"/>
        <v>1.1420340763599355</v>
      </c>
      <c r="ER7" s="52">
        <f t="shared" si="6"/>
        <v>0.65473535790094783</v>
      </c>
      <c r="ES7" s="65">
        <f t="shared" si="6"/>
        <v>0.90264820210312302</v>
      </c>
      <c r="ET7" s="65">
        <f t="shared" si="6"/>
        <v>0.54585270485761073</v>
      </c>
      <c r="EU7" s="65">
        <f>EU5/ET5-1</f>
        <v>0.24389580325454485</v>
      </c>
      <c r="EV7" s="65">
        <f>EV5/EU5-1</f>
        <v>0.11973191150201012</v>
      </c>
      <c r="EW7" s="65">
        <f>EW5/EV5-1</f>
        <v>0.12018107472064909</v>
      </c>
      <c r="EY7" s="51"/>
    </row>
    <row r="8" spans="1:156" s="49" customFormat="1" ht="11.25" customHeight="1">
      <c r="A8" s="619" t="s">
        <v>226</v>
      </c>
      <c r="B8" s="35">
        <f>NVDA!V10</f>
        <v>140.517</v>
      </c>
      <c r="C8" s="35">
        <f>NVDA!W10</f>
        <v>147.01599999999999</v>
      </c>
      <c r="D8" s="35">
        <f>NVDA!X10</f>
        <v>219.59100000000001</v>
      </c>
      <c r="E8" s="35">
        <f>NVDA!Y10</f>
        <v>299.61799999999999</v>
      </c>
      <c r="F8" s="35">
        <f>NVDA!AA10</f>
        <v>362.91</v>
      </c>
      <c r="G8" s="35">
        <f>NVDA!AB10</f>
        <v>292.91399999999999</v>
      </c>
      <c r="H8" s="35">
        <f>NVDA!AC10</f>
        <v>305.94</v>
      </c>
      <c r="I8" s="35">
        <f>NVDA!AD10</f>
        <v>286.291</v>
      </c>
      <c r="J8" s="35">
        <f>NVDA!AF10</f>
        <v>262.45699999999999</v>
      </c>
      <c r="K8" s="35">
        <f>NVDA!AG10</f>
        <v>310.19</v>
      </c>
      <c r="L8" s="35">
        <f>NVDA!AH10</f>
        <v>329.096</v>
      </c>
      <c r="M8" s="35">
        <f>NVDA!AI10</f>
        <v>310.30799999999999</v>
      </c>
      <c r="N8" s="35">
        <f>NVDA!AK10</f>
        <v>299.65700000000004</v>
      </c>
      <c r="O8" s="35">
        <f>NVDA!AL10</f>
        <v>291.89400000000001</v>
      </c>
      <c r="P8" s="35">
        <f>NVDA!AM10</f>
        <v>324.82299999999998</v>
      </c>
      <c r="Q8" s="35">
        <f>NVDA!AN10</f>
        <v>341.57600000000002</v>
      </c>
      <c r="R8" s="35">
        <f>NVDA!AP10</f>
        <v>348.79999999999995</v>
      </c>
      <c r="S8" s="35">
        <f>NVDA!AQ10</f>
        <v>332.50400000000002</v>
      </c>
      <c r="T8" s="35">
        <f>NVDA!AR10</f>
        <v>330.72500000000002</v>
      </c>
      <c r="U8" s="35">
        <f>NVDA!AS10</f>
        <v>354.88599999999997</v>
      </c>
      <c r="V8" s="35">
        <f>NVDA!AU10</f>
        <v>369.10300000000001</v>
      </c>
      <c r="W8" s="35">
        <f>NVDA!AV10</f>
        <v>371.18299999999999</v>
      </c>
      <c r="X8" s="35">
        <f>NVDA!AW10</f>
        <v>445.59899999999999</v>
      </c>
      <c r="Y8" s="35">
        <f>NVDA!AX10</f>
        <v>458.875</v>
      </c>
      <c r="Z8" s="35">
        <f>NVDA!AZ10</f>
        <v>432.80799999999999</v>
      </c>
      <c r="AA8" s="35">
        <f>NVDA!BA10</f>
        <v>479.36900000000003</v>
      </c>
      <c r="AB8" s="35">
        <f>NVDA!BB10</f>
        <v>567.01400000000001</v>
      </c>
      <c r="AC8" s="35">
        <f>NVDA!BC10</f>
        <v>616.197</v>
      </c>
      <c r="AD8" s="35">
        <f>NVDA!BE10</f>
        <v>597.18700000000001</v>
      </c>
      <c r="AE8" s="35">
        <f>NVDA!BF10</f>
        <v>500.80500000000006</v>
      </c>
      <c r="AF8" s="35">
        <f>NVDA!BG10</f>
        <v>529.81200000000001</v>
      </c>
      <c r="AG8" s="35">
        <f>NVDA!BH10</f>
        <v>291.41899999999998</v>
      </c>
      <c r="AH8" s="35">
        <f>NVDA!BJ10</f>
        <v>415.02299999999997</v>
      </c>
      <c r="AI8" s="35">
        <f>NVDA!BK10</f>
        <v>450.80400000000003</v>
      </c>
      <c r="AJ8" s="35">
        <f>NVDA!BL10</f>
        <v>487.53800000000001</v>
      </c>
      <c r="AK8" s="35">
        <f>NVDA!BM10</f>
        <v>495.76700000000005</v>
      </c>
      <c r="AL8" s="35">
        <f>NVDA!BO10</f>
        <v>498.28900000000004</v>
      </c>
      <c r="AM8" s="35">
        <f>NVDA!BP10</f>
        <v>449.15000000000009</v>
      </c>
      <c r="AN8" s="35">
        <f>NVDA!BQ10</f>
        <v>404.97400000000005</v>
      </c>
      <c r="AO8" s="35">
        <f>NVDA!BR10</f>
        <v>413.62400000000002</v>
      </c>
      <c r="AP8" s="35">
        <f>NVDA!BT10</f>
        <v>429.77199999999999</v>
      </c>
      <c r="AQ8" s="35">
        <f>NVDA!BU10</f>
        <v>439.07400000000001</v>
      </c>
      <c r="AR8" s="35">
        <f>NVDA!BV10</f>
        <v>457.06300000000005</v>
      </c>
      <c r="AS8" s="35">
        <f>NVDA!BW10</f>
        <v>403.99899999999997</v>
      </c>
      <c r="AT8" s="35">
        <f>NVDA!BY10</f>
        <v>407.02199999999999</v>
      </c>
      <c r="AU8" s="35">
        <f>NVDA!BZ10</f>
        <v>447.35599999999999</v>
      </c>
      <c r="AV8" s="35">
        <f>NVDA!CA10</f>
        <v>510.30399999999997</v>
      </c>
      <c r="AW8" s="35">
        <f>NVDA!CB10</f>
        <v>462.79999999999995</v>
      </c>
      <c r="AX8" s="35">
        <f>NVDA!CD10</f>
        <v>376.42700000000002</v>
      </c>
      <c r="AY8" s="35">
        <f>NVDA!CE10</f>
        <v>367.56999999999994</v>
      </c>
      <c r="AZ8" s="35">
        <f>NVDA!CF10</f>
        <v>406.82600000000002</v>
      </c>
      <c r="BA8" s="35">
        <f>NVDA!CG10</f>
        <v>476.47</v>
      </c>
      <c r="BB8" s="35">
        <f>NVDA!CI10</f>
        <v>443.50199999999995</v>
      </c>
      <c r="BC8" s="35">
        <f>NVDA!CJ10</f>
        <v>428.24300000000005</v>
      </c>
      <c r="BD8" s="35">
        <f>NVDA!CK10</f>
        <v>493.68399999999997</v>
      </c>
      <c r="BE8" s="35">
        <f>NVDA!CL10</f>
        <v>495.91099999999994</v>
      </c>
      <c r="BF8" s="35">
        <f>NVDA!CN10</f>
        <v>444</v>
      </c>
      <c r="BG8" s="35">
        <f>NVDA!CO10</f>
        <v>450</v>
      </c>
      <c r="BH8" s="35">
        <f>NVDA!CP10</f>
        <v>523</v>
      </c>
      <c r="BI8" s="35">
        <f>NVDA!CQ10</f>
        <v>559</v>
      </c>
      <c r="BJ8" s="35">
        <f>NVDA!CS10</f>
        <v>499</v>
      </c>
      <c r="BK8" s="620">
        <f>NVDA!CT10</f>
        <v>555</v>
      </c>
      <c r="BL8" s="620">
        <f>NVDA!CU10</f>
        <v>773</v>
      </c>
      <c r="BM8" s="35">
        <f>NVDA!CV10</f>
        <v>823</v>
      </c>
      <c r="BN8" s="35">
        <f>NVDA!CX10</f>
        <v>740</v>
      </c>
      <c r="BO8" s="35">
        <f>NVDA!CY10</f>
        <v>879</v>
      </c>
      <c r="BP8" s="35">
        <f>NVDA!CZ10</f>
        <v>1017</v>
      </c>
      <c r="BQ8" s="35">
        <f>NVDA!DA10</f>
        <v>1056</v>
      </c>
      <c r="BR8" s="35">
        <f>NVDA!DC10</f>
        <v>1082</v>
      </c>
      <c r="BS8" s="35">
        <f>NVDA!DD10</f>
        <v>1089</v>
      </c>
      <c r="BT8" s="35">
        <f>NVDA!DE10</f>
        <v>1178</v>
      </c>
      <c r="BU8" s="35">
        <f>NVDA!DF10</f>
        <v>899</v>
      </c>
      <c r="BV8" s="35">
        <f>NVDA!DH10</f>
        <v>823</v>
      </c>
      <c r="BW8" s="35">
        <f>NVDA!DI10</f>
        <v>944</v>
      </c>
      <c r="BX8" s="35">
        <f>NVDA!DJ10</f>
        <v>1006</v>
      </c>
      <c r="BY8" s="35">
        <f>NVDA!DK10</f>
        <v>981</v>
      </c>
      <c r="BZ8" s="35">
        <f>NVDA!DM10</f>
        <v>968</v>
      </c>
      <c r="CA8" s="35">
        <f>NVDA!DN10</f>
        <v>1110</v>
      </c>
      <c r="CB8" s="35">
        <f>NVDA!DO10</f>
        <v>1360</v>
      </c>
      <c r="CC8" s="35">
        <f>NVDA!DP10</f>
        <v>1466</v>
      </c>
      <c r="CD8" s="35">
        <f>NVDA!DR10</f>
        <v>1659</v>
      </c>
      <c r="CE8" s="35">
        <f>NVDA!DS10</f>
        <v>1916</v>
      </c>
      <c r="CF8" s="35">
        <f>NVDA!DT10</f>
        <v>2088</v>
      </c>
      <c r="CG8" s="35">
        <f>NVDA!DU10</f>
        <v>2249</v>
      </c>
      <c r="CH8" s="35">
        <f>NVDA!DW10</f>
        <v>2429</v>
      </c>
      <c r="CI8" s="35">
        <f>NVDA!DX10</f>
        <v>3290</v>
      </c>
      <c r="CJ8" s="35">
        <f>NVDA!DY10</f>
        <v>2228</v>
      </c>
      <c r="CK8" s="35">
        <f>NVDA!DZ10</f>
        <v>1656</v>
      </c>
      <c r="CL8" s="35">
        <f>NVDA!EB10</f>
        <v>2033</v>
      </c>
      <c r="CM8" s="35">
        <f>NVDA!EC10</f>
        <v>3559</v>
      </c>
      <c r="CN8" s="35">
        <f>NVDA!ED10</f>
        <v>4203</v>
      </c>
      <c r="CO8" s="35">
        <f>NVDA!EE10</f>
        <v>4802</v>
      </c>
      <c r="CP8" s="35">
        <f>NVDA!EG10</f>
        <v>5110</v>
      </c>
      <c r="CQ8" s="35">
        <f>NVDA!EH10</f>
        <v>6918</v>
      </c>
      <c r="CR8" s="35">
        <f>NVDA!EI10</f>
        <v>8332</v>
      </c>
      <c r="CS8" s="35">
        <f>NVDA!EJ10</f>
        <v>9947</v>
      </c>
      <c r="CT8" s="35">
        <f>NVDA!EL10</f>
        <v>16657</v>
      </c>
      <c r="CU8" s="35">
        <f>NVDA!EM10</f>
        <v>12173</v>
      </c>
      <c r="CV8" s="35">
        <f>NVDA!EN10</f>
        <v>14357</v>
      </c>
      <c r="CW8" s="35">
        <f>NVDA!EO10</f>
        <v>16176</v>
      </c>
      <c r="CX8" s="35">
        <f>NVDA!EQ10</f>
        <v>19386</v>
      </c>
      <c r="CY8" s="48">
        <f>CY5-CY15</f>
        <v>23287.366465458646</v>
      </c>
      <c r="CZ8" s="48">
        <f>CZ5-CZ15</f>
        <v>27760.049648267901</v>
      </c>
      <c r="DA8" s="48">
        <f>DA5-DA15</f>
        <v>31393.226999085004</v>
      </c>
      <c r="DB8" s="48">
        <f t="shared" ref="DB8:DQ8" si="7">DB5-DB15</f>
        <v>34140.565949143434</v>
      </c>
      <c r="DC8" s="48">
        <f t="shared" si="7"/>
        <v>37431.976810938533</v>
      </c>
      <c r="DD8" s="48">
        <f t="shared" si="7"/>
        <v>41790.289103081246</v>
      </c>
      <c r="DE8" s="48">
        <f t="shared" si="7"/>
        <v>44526.499798908946</v>
      </c>
      <c r="DF8" s="48">
        <f t="shared" si="7"/>
        <v>45589.545234137884</v>
      </c>
      <c r="DG8" s="48">
        <f t="shared" si="7"/>
        <v>47014.961479560909</v>
      </c>
      <c r="DH8" s="48">
        <f t="shared" si="7"/>
        <v>50309.621911055088</v>
      </c>
      <c r="DI8" s="48">
        <f t="shared" si="7"/>
        <v>52811.257704738062</v>
      </c>
      <c r="DJ8" s="48">
        <f t="shared" si="7"/>
        <v>53112.935119494854</v>
      </c>
      <c r="DK8" s="48">
        <f t="shared" si="7"/>
        <v>53765.047287923924</v>
      </c>
      <c r="DL8" s="48">
        <f t="shared" si="7"/>
        <v>55507.475033453258</v>
      </c>
      <c r="DM8" s="48">
        <f t="shared" si="7"/>
        <v>56712.423168054258</v>
      </c>
      <c r="DN8" s="48">
        <f t="shared" si="7"/>
        <v>57568.164056598995</v>
      </c>
      <c r="DO8" s="48">
        <f t="shared" si="7"/>
        <v>59358.520069751976</v>
      </c>
      <c r="DP8" s="48">
        <f t="shared" si="7"/>
        <v>62950.427984831302</v>
      </c>
      <c r="DQ8" s="48">
        <f t="shared" si="7"/>
        <v>65496.311135692114</v>
      </c>
      <c r="DT8" s="35">
        <f>SUM(B8:E8)</f>
        <v>806.74199999999996</v>
      </c>
      <c r="DU8" s="35">
        <f>SUM(F8:I8)</f>
        <v>1248.0550000000001</v>
      </c>
      <c r="DV8" s="35">
        <f>SUM(J8:M8)</f>
        <v>1212.0509999999999</v>
      </c>
      <c r="DW8" s="35">
        <f>SUM(N8:Q8)</f>
        <v>1257.95</v>
      </c>
      <c r="DX8" s="35">
        <f>SUM(R8:U8)</f>
        <v>1366.915</v>
      </c>
      <c r="DY8" s="35">
        <f>SUM(V8:Y8)</f>
        <v>1644.76</v>
      </c>
      <c r="DZ8" s="35">
        <f>SUM(Z8:AC8)</f>
        <v>2095.3879999999999</v>
      </c>
      <c r="EA8" s="35">
        <f>SUM(AD8:AG8)</f>
        <v>1919.223</v>
      </c>
      <c r="EB8" s="35">
        <f>SUM(AH8:AK8)</f>
        <v>1849.1320000000001</v>
      </c>
      <c r="EC8" s="35">
        <f>SUM(AL8:AO8)</f>
        <v>1766.037</v>
      </c>
      <c r="ED8" s="35">
        <f>SUM(AP8:AS8)</f>
        <v>1729.9080000000001</v>
      </c>
      <c r="EE8" s="35">
        <f>SUM(AT8:AW8)</f>
        <v>1827.4819999999997</v>
      </c>
      <c r="EF8" s="35">
        <f>SUM(AX8:BA8)</f>
        <v>1627.2929999999999</v>
      </c>
      <c r="EG8" s="35">
        <f>SUM(BB8:BE8)</f>
        <v>1861.3400000000001</v>
      </c>
      <c r="EH8" s="35">
        <f>SUM(BF8:BI8)</f>
        <v>1976</v>
      </c>
      <c r="EI8" s="35">
        <f>SUM(BJ8:BM8)</f>
        <v>2650</v>
      </c>
      <c r="EJ8" s="35">
        <f>SUM(BN8:BQ8)</f>
        <v>3692</v>
      </c>
      <c r="EK8" s="35">
        <f>SUM(BR8:BU8)</f>
        <v>4248</v>
      </c>
      <c r="EL8" s="35">
        <f>BV8+BW8+BX8+BY8</f>
        <v>3754</v>
      </c>
      <c r="EM8" s="35">
        <f>CC8+CB8+CA8+BZ8</f>
        <v>4904</v>
      </c>
      <c r="EN8" s="35">
        <f>+CD8+CE8+CF8+CG8</f>
        <v>7912</v>
      </c>
      <c r="EO8" s="35">
        <f>SUM(CH8:CK8)</f>
        <v>9603</v>
      </c>
      <c r="EP8" s="35">
        <f>SUM(CL8:CO8)</f>
        <v>14597</v>
      </c>
      <c r="EQ8" s="35">
        <f>SUM(CP8:CS8)</f>
        <v>30307</v>
      </c>
      <c r="ER8" s="35">
        <f>SUM(CT8:CW8)</f>
        <v>59363</v>
      </c>
      <c r="ES8" s="48">
        <f>SUM(CX8:DA8)</f>
        <v>101826.64311281155</v>
      </c>
      <c r="ET8" s="48">
        <f>SUM(DB8:DE8)</f>
        <v>157889.33166207216</v>
      </c>
      <c r="EU8" s="48">
        <f>SUM(DF8:DI8)</f>
        <v>195725.38632949194</v>
      </c>
      <c r="EV8" s="48">
        <f>SUM(DJ8:DM8)</f>
        <v>219097.88060892629</v>
      </c>
      <c r="EW8" s="48">
        <f>SUM(DN8:DQ8)</f>
        <v>245373.42324687439</v>
      </c>
      <c r="EY8" s="622"/>
      <c r="EZ8" s="623"/>
    </row>
    <row r="9" spans="1:156" s="52" customFormat="1" ht="11.25" customHeight="1">
      <c r="A9" s="51" t="s">
        <v>223</v>
      </c>
      <c r="C9" s="52">
        <f t="shared" ref="C9:BN9" si="8">C8/B8-1</f>
        <v>4.6250631596177039E-2</v>
      </c>
      <c r="D9" s="52">
        <f t="shared" si="8"/>
        <v>0.49365375197257455</v>
      </c>
      <c r="E9" s="52">
        <f t="shared" si="8"/>
        <v>0.36443661170084374</v>
      </c>
      <c r="F9" s="52">
        <f t="shared" si="8"/>
        <v>0.21124231521470693</v>
      </c>
      <c r="G9" s="52">
        <f t="shared" si="8"/>
        <v>-0.19287426634702831</v>
      </c>
      <c r="H9" s="52">
        <f t="shared" si="8"/>
        <v>4.4470390626600409E-2</v>
      </c>
      <c r="I9" s="52">
        <f t="shared" si="8"/>
        <v>-6.4225011440151691E-2</v>
      </c>
      <c r="J9" s="52">
        <f t="shared" si="8"/>
        <v>-8.3250957941395254E-2</v>
      </c>
      <c r="K9" s="52">
        <f t="shared" si="8"/>
        <v>0.18186979200402353</v>
      </c>
      <c r="L9" s="52">
        <f t="shared" si="8"/>
        <v>6.0949740481640369E-2</v>
      </c>
      <c r="M9" s="52">
        <f t="shared" si="8"/>
        <v>-5.7089724578846313E-2</v>
      </c>
      <c r="N9" s="52">
        <f t="shared" si="8"/>
        <v>-3.4323961999045971E-2</v>
      </c>
      <c r="O9" s="52">
        <f t="shared" si="8"/>
        <v>-2.5906286187207472E-2</v>
      </c>
      <c r="P9" s="52">
        <f t="shared" si="8"/>
        <v>0.112811500065092</v>
      </c>
      <c r="Q9" s="52">
        <f t="shared" si="8"/>
        <v>5.1575781271646637E-2</v>
      </c>
      <c r="R9" s="52">
        <f t="shared" si="8"/>
        <v>2.1149026863713782E-2</v>
      </c>
      <c r="S9" s="52">
        <f t="shared" si="8"/>
        <v>-4.6720183486238298E-2</v>
      </c>
      <c r="T9" s="52">
        <f t="shared" si="8"/>
        <v>-5.3503115751990515E-3</v>
      </c>
      <c r="U9" s="52">
        <f t="shared" si="8"/>
        <v>7.3054652657041252E-2</v>
      </c>
      <c r="V9" s="52">
        <f t="shared" si="8"/>
        <v>4.0060751903428171E-2</v>
      </c>
      <c r="W9" s="52">
        <f t="shared" si="8"/>
        <v>5.6352833761850185E-3</v>
      </c>
      <c r="X9" s="52">
        <f t="shared" si="8"/>
        <v>0.20048331954857845</v>
      </c>
      <c r="Y9" s="52">
        <f t="shared" si="8"/>
        <v>2.9793603666076418E-2</v>
      </c>
      <c r="Z9" s="52">
        <f t="shared" si="8"/>
        <v>-5.6806319803868188E-2</v>
      </c>
      <c r="AA9" s="52">
        <f t="shared" si="8"/>
        <v>0.1075788802425095</v>
      </c>
      <c r="AB9" s="52">
        <f t="shared" si="8"/>
        <v>0.18283410066149464</v>
      </c>
      <c r="AC9" s="52">
        <f t="shared" si="8"/>
        <v>8.6740362671821059E-2</v>
      </c>
      <c r="AD9" s="52">
        <f t="shared" si="8"/>
        <v>-3.0850523452726986E-2</v>
      </c>
      <c r="AE9" s="52">
        <f t="shared" si="8"/>
        <v>-0.16139333240676701</v>
      </c>
      <c r="AF9" s="52">
        <f t="shared" si="8"/>
        <v>5.7920747596369671E-2</v>
      </c>
      <c r="AG9" s="52">
        <f t="shared" si="8"/>
        <v>-0.44995772085192487</v>
      </c>
      <c r="AH9" s="52">
        <f t="shared" si="8"/>
        <v>0.42414530281141594</v>
      </c>
      <c r="AI9" s="52">
        <f t="shared" si="8"/>
        <v>8.6214498955479835E-2</v>
      </c>
      <c r="AJ9" s="52">
        <f t="shared" si="8"/>
        <v>8.1485523642203628E-2</v>
      </c>
      <c r="AK9" s="52">
        <f t="shared" si="8"/>
        <v>1.6878684328196059E-2</v>
      </c>
      <c r="AL9" s="52">
        <f t="shared" si="8"/>
        <v>5.0870671101546083E-3</v>
      </c>
      <c r="AM9" s="52">
        <f t="shared" si="8"/>
        <v>-9.8615462111344865E-2</v>
      </c>
      <c r="AN9" s="52">
        <f t="shared" si="8"/>
        <v>-9.8354669932094074E-2</v>
      </c>
      <c r="AO9" s="52">
        <f t="shared" si="8"/>
        <v>2.1359395911836332E-2</v>
      </c>
      <c r="AP9" s="52">
        <f t="shared" si="8"/>
        <v>3.904028779761326E-2</v>
      </c>
      <c r="AQ9" s="52">
        <f t="shared" si="8"/>
        <v>2.1644034511322241E-2</v>
      </c>
      <c r="AR9" s="52">
        <f t="shared" si="8"/>
        <v>4.0970314798872254E-2</v>
      </c>
      <c r="AS9" s="52">
        <f t="shared" si="8"/>
        <v>-0.11609778083108913</v>
      </c>
      <c r="AT9" s="52">
        <f t="shared" si="8"/>
        <v>7.4826917888410893E-3</v>
      </c>
      <c r="AU9" s="52">
        <f t="shared" si="8"/>
        <v>9.9095380593678062E-2</v>
      </c>
      <c r="AV9" s="52">
        <f t="shared" si="8"/>
        <v>0.14071120092275491</v>
      </c>
      <c r="AW9" s="52">
        <f t="shared" si="8"/>
        <v>-9.3089609330908707E-2</v>
      </c>
      <c r="AX9" s="52">
        <f t="shared" si="8"/>
        <v>-0.18663137424373366</v>
      </c>
      <c r="AY9" s="52">
        <f t="shared" si="8"/>
        <v>-2.3529130482138894E-2</v>
      </c>
      <c r="AZ9" s="52">
        <f t="shared" si="8"/>
        <v>0.10679870500857014</v>
      </c>
      <c r="BA9" s="52">
        <f t="shared" si="8"/>
        <v>0.17118866542453048</v>
      </c>
      <c r="BB9" s="52">
        <f t="shared" si="8"/>
        <v>-6.9192184187881867E-2</v>
      </c>
      <c r="BC9" s="52">
        <f t="shared" si="8"/>
        <v>-3.4405707302334387E-2</v>
      </c>
      <c r="BD9" s="52">
        <f t="shared" si="8"/>
        <v>0.15281277218775302</v>
      </c>
      <c r="BE9" s="52">
        <f t="shared" si="8"/>
        <v>4.5109827338944974E-3</v>
      </c>
      <c r="BF9" s="52">
        <f t="shared" si="8"/>
        <v>-0.1046780571513839</v>
      </c>
      <c r="BG9" s="52">
        <f t="shared" si="8"/>
        <v>1.3513513513513598E-2</v>
      </c>
      <c r="BH9" s="52">
        <f t="shared" si="8"/>
        <v>0.16222222222222227</v>
      </c>
      <c r="BI9" s="52">
        <f t="shared" si="8"/>
        <v>6.8833652007648238E-2</v>
      </c>
      <c r="BJ9" s="52">
        <f t="shared" si="8"/>
        <v>-0.10733452593917714</v>
      </c>
      <c r="BK9" s="621">
        <f t="shared" si="8"/>
        <v>0.11222444889779548</v>
      </c>
      <c r="BL9" s="621">
        <f t="shared" si="8"/>
        <v>0.39279279279279278</v>
      </c>
      <c r="BM9" s="52">
        <f t="shared" si="8"/>
        <v>6.4683053040103466E-2</v>
      </c>
      <c r="BN9" s="52">
        <f t="shared" si="8"/>
        <v>-0.10085054678007288</v>
      </c>
      <c r="BO9" s="52">
        <f t="shared" ref="BO9:DQ9" si="9">BO8/BN8-1</f>
        <v>0.18783783783783781</v>
      </c>
      <c r="BP9" s="52">
        <f t="shared" si="9"/>
        <v>0.15699658703071662</v>
      </c>
      <c r="BQ9" s="52">
        <f t="shared" si="9"/>
        <v>3.8348082595870192E-2</v>
      </c>
      <c r="BR9" s="52">
        <f t="shared" si="9"/>
        <v>2.4621212121212155E-2</v>
      </c>
      <c r="BS9" s="52">
        <f t="shared" si="9"/>
        <v>6.4695009242143886E-3</v>
      </c>
      <c r="BT9" s="52">
        <f t="shared" si="9"/>
        <v>8.1726354453627081E-2</v>
      </c>
      <c r="BU9" s="52">
        <f t="shared" si="9"/>
        <v>-0.23684210526315785</v>
      </c>
      <c r="BV9" s="52">
        <f t="shared" si="9"/>
        <v>-8.4538375973303714E-2</v>
      </c>
      <c r="BW9" s="52">
        <f t="shared" si="9"/>
        <v>0.14702308626974481</v>
      </c>
      <c r="BX9" s="52">
        <f t="shared" si="9"/>
        <v>6.5677966101694851E-2</v>
      </c>
      <c r="BY9" s="52">
        <f t="shared" si="9"/>
        <v>-2.4850894632206799E-2</v>
      </c>
      <c r="BZ9" s="52">
        <f t="shared" si="9"/>
        <v>-1.3251783893985736E-2</v>
      </c>
      <c r="CA9" s="52">
        <f t="shared" si="9"/>
        <v>0.14669421487603307</v>
      </c>
      <c r="CB9" s="52">
        <f t="shared" si="9"/>
        <v>0.22522522522522515</v>
      </c>
      <c r="CC9" s="52">
        <f t="shared" si="9"/>
        <v>7.794117647058818E-2</v>
      </c>
      <c r="CD9" s="52">
        <f t="shared" si="9"/>
        <v>0.13165075034106422</v>
      </c>
      <c r="CE9" s="52">
        <f t="shared" si="9"/>
        <v>0.15491259795057255</v>
      </c>
      <c r="CF9" s="52">
        <f t="shared" si="9"/>
        <v>8.9770354906054228E-2</v>
      </c>
      <c r="CG9" s="52">
        <f t="shared" si="9"/>
        <v>7.710727969348663E-2</v>
      </c>
      <c r="CH9" s="52">
        <f t="shared" si="9"/>
        <v>8.0035571365051128E-2</v>
      </c>
      <c r="CI9" s="52">
        <f t="shared" si="9"/>
        <v>0.35446685878962536</v>
      </c>
      <c r="CJ9" s="52">
        <f t="shared" si="9"/>
        <v>-0.32279635258358663</v>
      </c>
      <c r="CK9" s="52">
        <f t="shared" si="9"/>
        <v>-0.25673249551166966</v>
      </c>
      <c r="CL9" s="52">
        <f t="shared" si="9"/>
        <v>0.22765700483091789</v>
      </c>
      <c r="CM9" s="52">
        <f t="shared" si="9"/>
        <v>0.75061485489424506</v>
      </c>
      <c r="CN9" s="52">
        <f t="shared" si="9"/>
        <v>0.18094970497330709</v>
      </c>
      <c r="CO9" s="52">
        <f t="shared" si="9"/>
        <v>0.14251724958363066</v>
      </c>
      <c r="CP9" s="52">
        <f t="shared" si="9"/>
        <v>6.4139941690962043E-2</v>
      </c>
      <c r="CQ9" s="52">
        <f t="shared" si="9"/>
        <v>0.35381604696673197</v>
      </c>
      <c r="CR9" s="52">
        <f t="shared" si="9"/>
        <v>0.20439433362243431</v>
      </c>
      <c r="CS9" s="52">
        <f t="shared" si="9"/>
        <v>0.19383101296207395</v>
      </c>
      <c r="CT9" s="52">
        <f t="shared" si="9"/>
        <v>0.67457524881873931</v>
      </c>
      <c r="CU9" s="52">
        <f t="shared" si="9"/>
        <v>-0.26919613375757945</v>
      </c>
      <c r="CV9" s="52">
        <f t="shared" si="9"/>
        <v>0.17941345600920067</v>
      </c>
      <c r="CW9" s="52">
        <f t="shared" si="9"/>
        <v>0.12669777808734417</v>
      </c>
      <c r="CX9" s="52">
        <f t="shared" si="9"/>
        <v>0.19844213649851628</v>
      </c>
      <c r="CY9" s="53">
        <f t="shared" si="9"/>
        <v>0.20124659369950715</v>
      </c>
      <c r="CZ9" s="53">
        <f t="shared" si="9"/>
        <v>0.19206479141569877</v>
      </c>
      <c r="DA9" s="53">
        <f t="shared" si="9"/>
        <v>0.1308779125704409</v>
      </c>
      <c r="DB9" s="53">
        <f t="shared" si="9"/>
        <v>8.7513747794659924E-2</v>
      </c>
      <c r="DC9" s="53">
        <f t="shared" si="9"/>
        <v>9.6407624486895216E-2</v>
      </c>
      <c r="DD9" s="53">
        <f t="shared" si="9"/>
        <v>0.11643286471766312</v>
      </c>
      <c r="DE9" s="53">
        <f t="shared" si="9"/>
        <v>6.5474797005554919E-2</v>
      </c>
      <c r="DF9" s="53">
        <f t="shared" si="9"/>
        <v>2.387444420805318E-2</v>
      </c>
      <c r="DG9" s="53">
        <f t="shared" si="9"/>
        <v>3.1266296649865577E-2</v>
      </c>
      <c r="DH9" s="53">
        <f t="shared" si="9"/>
        <v>7.0076850598431051E-2</v>
      </c>
      <c r="DI9" s="53">
        <f t="shared" si="9"/>
        <v>4.9724798133162995E-2</v>
      </c>
      <c r="DJ9" s="53">
        <f t="shared" si="9"/>
        <v>5.7123694429592753E-3</v>
      </c>
      <c r="DK9" s="53">
        <f t="shared" si="9"/>
        <v>1.2277840924474148E-2</v>
      </c>
      <c r="DL9" s="53">
        <f t="shared" si="9"/>
        <v>3.240818772460563E-2</v>
      </c>
      <c r="DM9" s="53">
        <f t="shared" si="9"/>
        <v>2.1707853471533367E-2</v>
      </c>
      <c r="DN9" s="53">
        <f t="shared" si="9"/>
        <v>1.5089125816559523E-2</v>
      </c>
      <c r="DO9" s="53">
        <f t="shared" si="9"/>
        <v>3.1099758738054595E-2</v>
      </c>
      <c r="DP9" s="53">
        <f t="shared" si="9"/>
        <v>6.0512086737649184E-2</v>
      </c>
      <c r="DQ9" s="53">
        <f t="shared" si="9"/>
        <v>4.044266627502946E-2</v>
      </c>
      <c r="DT9" s="54" t="s">
        <v>224</v>
      </c>
      <c r="DU9" s="54" t="s">
        <v>224</v>
      </c>
      <c r="DV9" s="54" t="s">
        <v>224</v>
      </c>
      <c r="DW9" s="54" t="s">
        <v>224</v>
      </c>
      <c r="DX9" s="54" t="s">
        <v>224</v>
      </c>
      <c r="DY9" s="54" t="s">
        <v>224</v>
      </c>
      <c r="DZ9" s="54" t="s">
        <v>224</v>
      </c>
      <c r="EA9" s="54" t="s">
        <v>224</v>
      </c>
      <c r="EB9" s="54" t="s">
        <v>224</v>
      </c>
      <c r="EC9" s="54" t="s">
        <v>224</v>
      </c>
      <c r="ED9" s="54" t="s">
        <v>224</v>
      </c>
      <c r="EE9" s="54" t="s">
        <v>224</v>
      </c>
      <c r="EF9" s="54" t="s">
        <v>224</v>
      </c>
      <c r="EG9" s="54" t="s">
        <v>224</v>
      </c>
      <c r="EH9" s="54" t="s">
        <v>224</v>
      </c>
      <c r="EI9" s="54" t="s">
        <v>224</v>
      </c>
      <c r="EJ9" s="54" t="s">
        <v>224</v>
      </c>
      <c r="EK9" s="54" t="s">
        <v>224</v>
      </c>
      <c r="EL9" s="54" t="s">
        <v>224</v>
      </c>
      <c r="EM9" s="54" t="s">
        <v>224</v>
      </c>
      <c r="EN9" s="54" t="s">
        <v>224</v>
      </c>
      <c r="EO9" s="54" t="s">
        <v>224</v>
      </c>
      <c r="EP9" s="54" t="s">
        <v>224</v>
      </c>
      <c r="EQ9" s="54" t="s">
        <v>224</v>
      </c>
      <c r="ER9" s="54" t="s">
        <v>224</v>
      </c>
      <c r="ES9" s="55" t="s">
        <v>224</v>
      </c>
      <c r="ET9" s="55" t="s">
        <v>224</v>
      </c>
      <c r="EU9" s="55" t="s">
        <v>224</v>
      </c>
      <c r="EV9" s="55" t="s">
        <v>224</v>
      </c>
      <c r="EW9" s="55" t="s">
        <v>224</v>
      </c>
    </row>
    <row r="10" spans="1:156" s="52" customFormat="1" ht="11.25" customHeight="1">
      <c r="A10" s="51" t="s">
        <v>225</v>
      </c>
      <c r="F10" s="52">
        <f t="shared" ref="F10:BQ10" si="10">F8/B8-1</f>
        <v>1.5826768291381117</v>
      </c>
      <c r="G10" s="52">
        <f t="shared" si="10"/>
        <v>0.99239538553626816</v>
      </c>
      <c r="H10" s="52">
        <f t="shared" si="10"/>
        <v>0.39322649835375767</v>
      </c>
      <c r="I10" s="52">
        <f t="shared" si="10"/>
        <v>-4.4479971163281284E-2</v>
      </c>
      <c r="J10" s="52">
        <f t="shared" si="10"/>
        <v>-0.27679865531398973</v>
      </c>
      <c r="K10" s="52">
        <f t="shared" si="10"/>
        <v>5.8979768805861088E-2</v>
      </c>
      <c r="L10" s="52">
        <f t="shared" si="10"/>
        <v>7.5688043407204031E-2</v>
      </c>
      <c r="M10" s="52">
        <f t="shared" si="10"/>
        <v>8.3890167696504703E-2</v>
      </c>
      <c r="N10" s="52">
        <f t="shared" si="10"/>
        <v>0.14173750366726767</v>
      </c>
      <c r="O10" s="52">
        <f t="shared" si="10"/>
        <v>-5.8983203842805976E-2</v>
      </c>
      <c r="P10" s="52">
        <f t="shared" si="10"/>
        <v>-1.2984053285363562E-2</v>
      </c>
      <c r="Q10" s="52">
        <f t="shared" si="10"/>
        <v>0.10076440182012725</v>
      </c>
      <c r="R10" s="52">
        <f t="shared" si="10"/>
        <v>0.16399750381269218</v>
      </c>
      <c r="S10" s="52">
        <f t="shared" si="10"/>
        <v>0.13912584705406772</v>
      </c>
      <c r="T10" s="52">
        <f t="shared" si="10"/>
        <v>1.8169895604683406E-2</v>
      </c>
      <c r="U10" s="52">
        <f t="shared" si="10"/>
        <v>3.8966437923038999E-2</v>
      </c>
      <c r="V10" s="52">
        <f t="shared" si="10"/>
        <v>5.8208142201835011E-2</v>
      </c>
      <c r="W10" s="52">
        <f t="shared" si="10"/>
        <v>0.11632642013329164</v>
      </c>
      <c r="X10" s="52">
        <f t="shared" si="10"/>
        <v>0.34733993499130689</v>
      </c>
      <c r="Y10" s="52">
        <f t="shared" si="10"/>
        <v>0.29302085740209538</v>
      </c>
      <c r="Z10" s="52">
        <f t="shared" si="10"/>
        <v>0.17259409974993423</v>
      </c>
      <c r="AA10" s="52">
        <f t="shared" si="10"/>
        <v>0.29146270168623034</v>
      </c>
      <c r="AB10" s="52">
        <f t="shared" si="10"/>
        <v>0.27247592566410606</v>
      </c>
      <c r="AC10" s="52">
        <f t="shared" si="10"/>
        <v>0.34284282211931361</v>
      </c>
      <c r="AD10" s="52">
        <f t="shared" si="10"/>
        <v>0.3797965841666513</v>
      </c>
      <c r="AE10" s="52">
        <f t="shared" si="10"/>
        <v>4.4717117710991072E-2</v>
      </c>
      <c r="AF10" s="52">
        <f t="shared" si="10"/>
        <v>-6.5610372936117933E-2</v>
      </c>
      <c r="AG10" s="52">
        <f t="shared" si="10"/>
        <v>-0.52706845375748346</v>
      </c>
      <c r="AH10" s="52">
        <f t="shared" si="10"/>
        <v>-0.30503678077386154</v>
      </c>
      <c r="AI10" s="52">
        <f t="shared" si="10"/>
        <v>-9.984125557851864E-2</v>
      </c>
      <c r="AJ10" s="52">
        <f t="shared" si="10"/>
        <v>-7.9790567220070496E-2</v>
      </c>
      <c r="AK10" s="52">
        <f t="shared" si="10"/>
        <v>0.70121714781809041</v>
      </c>
      <c r="AL10" s="52">
        <f t="shared" si="10"/>
        <v>0.20062984461102173</v>
      </c>
      <c r="AM10" s="52">
        <f t="shared" si="10"/>
        <v>-3.6690002750640049E-3</v>
      </c>
      <c r="AN10" s="52">
        <f t="shared" si="10"/>
        <v>-0.16934885075624861</v>
      </c>
      <c r="AO10" s="52">
        <f t="shared" si="10"/>
        <v>-0.16568872070952689</v>
      </c>
      <c r="AP10" s="52">
        <f t="shared" si="10"/>
        <v>-0.13750454053772021</v>
      </c>
      <c r="AQ10" s="52">
        <f t="shared" si="10"/>
        <v>-2.2433485472559411E-2</v>
      </c>
      <c r="AR10" s="52">
        <f t="shared" si="10"/>
        <v>0.12862307209845558</v>
      </c>
      <c r="AS10" s="52">
        <f t="shared" si="10"/>
        <v>-2.3269926309885447E-2</v>
      </c>
      <c r="AT10" s="52">
        <f t="shared" si="10"/>
        <v>-5.2935044628314554E-2</v>
      </c>
      <c r="AU10" s="52">
        <f t="shared" si="10"/>
        <v>1.8862424101631969E-2</v>
      </c>
      <c r="AV10" s="52">
        <f t="shared" si="10"/>
        <v>0.11648503597972248</v>
      </c>
      <c r="AW10" s="52">
        <f t="shared" si="10"/>
        <v>0.14554738996878713</v>
      </c>
      <c r="AX10" s="52">
        <f t="shared" si="10"/>
        <v>-7.5167927040798665E-2</v>
      </c>
      <c r="AY10" s="52">
        <f t="shared" si="10"/>
        <v>-0.17835012830944497</v>
      </c>
      <c r="AZ10" s="52">
        <f t="shared" si="10"/>
        <v>-0.20277716811939539</v>
      </c>
      <c r="BA10" s="52">
        <f t="shared" si="10"/>
        <v>2.9537597234226665E-2</v>
      </c>
      <c r="BB10" s="52">
        <f t="shared" si="10"/>
        <v>0.17818859964880285</v>
      </c>
      <c r="BC10" s="52">
        <f t="shared" si="10"/>
        <v>0.16506515765704521</v>
      </c>
      <c r="BD10" s="52">
        <f t="shared" si="10"/>
        <v>0.21350159527660462</v>
      </c>
      <c r="BE10" s="52">
        <f t="shared" si="10"/>
        <v>4.080214913845559E-2</v>
      </c>
      <c r="BF10" s="52">
        <f t="shared" si="10"/>
        <v>1.1228810693075797E-3</v>
      </c>
      <c r="BG10" s="52">
        <f t="shared" si="10"/>
        <v>5.0805267103023244E-2</v>
      </c>
      <c r="BH10" s="52">
        <f t="shared" si="10"/>
        <v>5.9382114875102365E-2</v>
      </c>
      <c r="BI10" s="52">
        <f t="shared" si="10"/>
        <v>0.12721839200985663</v>
      </c>
      <c r="BJ10" s="52">
        <f t="shared" si="10"/>
        <v>0.12387387387387383</v>
      </c>
      <c r="BK10" s="621">
        <f t="shared" si="10"/>
        <v>0.23333333333333339</v>
      </c>
      <c r="BL10" s="621">
        <f t="shared" si="10"/>
        <v>0.47801147227533458</v>
      </c>
      <c r="BM10" s="52">
        <f t="shared" si="10"/>
        <v>0.47227191413237923</v>
      </c>
      <c r="BN10" s="52">
        <f t="shared" si="10"/>
        <v>0.48296593186372738</v>
      </c>
      <c r="BO10" s="52">
        <f t="shared" si="10"/>
        <v>0.58378378378378382</v>
      </c>
      <c r="BP10" s="52">
        <f>BP8/BL8-1</f>
        <v>0.31565329883570503</v>
      </c>
      <c r="BQ10" s="52">
        <f t="shared" si="10"/>
        <v>0.28311057108140947</v>
      </c>
      <c r="BR10" s="52">
        <f t="shared" ref="BR10:DQ10" si="11">BR8/BN8-1</f>
        <v>0.4621621621621621</v>
      </c>
      <c r="BS10" s="52">
        <f t="shared" si="11"/>
        <v>0.23890784982935154</v>
      </c>
      <c r="BT10" s="52">
        <f t="shared" si="11"/>
        <v>0.15830875122910526</v>
      </c>
      <c r="BU10" s="52">
        <f t="shared" si="11"/>
        <v>-0.14867424242424243</v>
      </c>
      <c r="BV10" s="52">
        <f t="shared" si="11"/>
        <v>-0.23937153419593349</v>
      </c>
      <c r="BW10" s="52">
        <f t="shared" si="11"/>
        <v>-0.13314967860422411</v>
      </c>
      <c r="BX10" s="52">
        <f t="shared" si="11"/>
        <v>-0.14601018675721567</v>
      </c>
      <c r="BY10" s="52">
        <f t="shared" si="11"/>
        <v>9.1212458286985543E-2</v>
      </c>
      <c r="BZ10" s="52">
        <f t="shared" si="11"/>
        <v>0.17618469015795868</v>
      </c>
      <c r="CA10" s="52">
        <f t="shared" si="11"/>
        <v>0.17584745762711873</v>
      </c>
      <c r="CB10" s="52">
        <f t="shared" si="11"/>
        <v>0.35188866799204765</v>
      </c>
      <c r="CC10" s="52">
        <f t="shared" si="11"/>
        <v>0.49439347604485229</v>
      </c>
      <c r="CD10" s="52">
        <f t="shared" si="11"/>
        <v>0.71384297520661155</v>
      </c>
      <c r="CE10" s="52">
        <f t="shared" si="11"/>
        <v>0.72612612612612604</v>
      </c>
      <c r="CF10" s="52">
        <f t="shared" si="11"/>
        <v>0.53529411764705892</v>
      </c>
      <c r="CG10" s="52">
        <f t="shared" si="11"/>
        <v>0.53410641200545705</v>
      </c>
      <c r="CH10" s="52">
        <f t="shared" si="11"/>
        <v>0.46413502109704652</v>
      </c>
      <c r="CI10" s="52">
        <f t="shared" si="11"/>
        <v>0.71711899791231737</v>
      </c>
      <c r="CJ10" s="52">
        <f t="shared" si="11"/>
        <v>6.7049808429118674E-2</v>
      </c>
      <c r="CK10" s="52">
        <f t="shared" si="11"/>
        <v>-0.26367274344152958</v>
      </c>
      <c r="CL10" s="52">
        <f t="shared" si="11"/>
        <v>-0.16303005351996702</v>
      </c>
      <c r="CM10" s="52">
        <f t="shared" si="11"/>
        <v>8.176291793313073E-2</v>
      </c>
      <c r="CN10" s="52">
        <f t="shared" si="11"/>
        <v>0.88644524236983835</v>
      </c>
      <c r="CO10" s="52">
        <f t="shared" si="11"/>
        <v>1.8997584541062804</v>
      </c>
      <c r="CP10" s="52">
        <f t="shared" si="11"/>
        <v>1.5135268076733892</v>
      </c>
      <c r="CQ10" s="52">
        <f t="shared" si="11"/>
        <v>0.94380443944928349</v>
      </c>
      <c r="CR10" s="52">
        <f t="shared" si="11"/>
        <v>0.98239352843207239</v>
      </c>
      <c r="CS10" s="52">
        <f t="shared" si="11"/>
        <v>1.0714285714285716</v>
      </c>
      <c r="CT10" s="52">
        <f t="shared" si="11"/>
        <v>2.2596868884540116</v>
      </c>
      <c r="CU10" s="52">
        <f t="shared" si="11"/>
        <v>0.75961260479907478</v>
      </c>
      <c r="CV10" s="52">
        <f t="shared" si="11"/>
        <v>0.72311569851176194</v>
      </c>
      <c r="CW10" s="52">
        <f t="shared" si="11"/>
        <v>0.62621896049060011</v>
      </c>
      <c r="CX10" s="52">
        <f t="shared" si="11"/>
        <v>0.16383502431410224</v>
      </c>
      <c r="CY10" s="53">
        <f t="shared" si="11"/>
        <v>0.91303429437760997</v>
      </c>
      <c r="CZ10" s="53">
        <f t="shared" si="11"/>
        <v>0.93355503575035881</v>
      </c>
      <c r="DA10" s="53">
        <f t="shared" si="11"/>
        <v>0.9407286720502599</v>
      </c>
      <c r="DB10" s="53">
        <f t="shared" si="11"/>
        <v>0.76109387955965313</v>
      </c>
      <c r="DC10" s="53">
        <f t="shared" si="11"/>
        <v>0.60739415796372276</v>
      </c>
      <c r="DD10" s="53">
        <f t="shared" si="11"/>
        <v>0.50541118018817266</v>
      </c>
      <c r="DE10" s="53">
        <f t="shared" si="11"/>
        <v>0.41834733333424845</v>
      </c>
      <c r="DF10" s="53">
        <f t="shared" si="11"/>
        <v>0.33534825702799154</v>
      </c>
      <c r="DG10" s="53">
        <f t="shared" si="11"/>
        <v>0.25601064878363555</v>
      </c>
      <c r="DH10" s="53">
        <f t="shared" si="11"/>
        <v>0.2038591498364557</v>
      </c>
      <c r="DI10" s="53">
        <f t="shared" si="11"/>
        <v>0.18606353392350239</v>
      </c>
      <c r="DJ10" s="53">
        <f t="shared" si="11"/>
        <v>0.16502445564478641</v>
      </c>
      <c r="DK10" s="53">
        <f t="shared" si="11"/>
        <v>0.14357314344067951</v>
      </c>
      <c r="DL10" s="53">
        <f t="shared" si="11"/>
        <v>0.10331727659547352</v>
      </c>
      <c r="DM10" s="53">
        <f t="shared" si="11"/>
        <v>7.3869959415229003E-2</v>
      </c>
      <c r="DN10" s="53">
        <f t="shared" si="11"/>
        <v>8.3882182882204726E-2</v>
      </c>
      <c r="DO10" s="53">
        <f t="shared" si="11"/>
        <v>0.10403548520795947</v>
      </c>
      <c r="DP10" s="53">
        <f t="shared" si="11"/>
        <v>0.13408920054267148</v>
      </c>
      <c r="DQ10" s="53">
        <f t="shared" si="11"/>
        <v>0.15488472325735092</v>
      </c>
      <c r="DU10" s="52">
        <f>DU8/DT8-1</f>
        <v>0.54703114502529937</v>
      </c>
      <c r="DV10" s="52">
        <f t="shared" ref="DV10:ET10" si="12">DV8/DU8-1</f>
        <v>-2.8848087624343544E-2</v>
      </c>
      <c r="DW10" s="52">
        <f t="shared" si="12"/>
        <v>3.786886855421101E-2</v>
      </c>
      <c r="DX10" s="52">
        <f t="shared" si="12"/>
        <v>8.6621089868436751E-2</v>
      </c>
      <c r="DY10" s="52">
        <f t="shared" si="12"/>
        <v>0.20326428490432846</v>
      </c>
      <c r="DZ10" s="52">
        <f t="shared" si="12"/>
        <v>0.27397796639023309</v>
      </c>
      <c r="EA10" s="52">
        <f t="shared" si="12"/>
        <v>-8.4072734977961083E-2</v>
      </c>
      <c r="EB10" s="52">
        <f t="shared" si="12"/>
        <v>-3.6520508559974463E-2</v>
      </c>
      <c r="EC10" s="52">
        <f t="shared" si="12"/>
        <v>-4.4937300311713835E-2</v>
      </c>
      <c r="ED10" s="52">
        <f t="shared" si="12"/>
        <v>-2.0457668780438865E-2</v>
      </c>
      <c r="EE10" s="52">
        <f t="shared" si="12"/>
        <v>5.6404155596713634E-2</v>
      </c>
      <c r="EF10" s="52">
        <f t="shared" si="12"/>
        <v>-0.10954362341188584</v>
      </c>
      <c r="EG10" s="52">
        <f t="shared" si="12"/>
        <v>0.14382597356468696</v>
      </c>
      <c r="EH10" s="52">
        <f t="shared" si="12"/>
        <v>6.1600782232155149E-2</v>
      </c>
      <c r="EI10" s="52">
        <f t="shared" si="12"/>
        <v>0.34109311740890691</v>
      </c>
      <c r="EJ10" s="52">
        <f t="shared" si="12"/>
        <v>0.39320754716981132</v>
      </c>
      <c r="EK10" s="52">
        <f t="shared" si="12"/>
        <v>0.15059588299024917</v>
      </c>
      <c r="EL10" s="52">
        <f t="shared" si="12"/>
        <v>-0.11629001883239176</v>
      </c>
      <c r="EM10" s="52">
        <f t="shared" si="12"/>
        <v>0.30633990410229095</v>
      </c>
      <c r="EN10" s="52">
        <f t="shared" si="12"/>
        <v>0.61337683523654163</v>
      </c>
      <c r="EO10" s="52">
        <f t="shared" si="12"/>
        <v>0.21372598584428726</v>
      </c>
      <c r="EP10" s="52">
        <f t="shared" si="12"/>
        <v>0.52004581901489111</v>
      </c>
      <c r="EQ10" s="52">
        <f t="shared" si="12"/>
        <v>1.0762485442214151</v>
      </c>
      <c r="ER10" s="52">
        <f t="shared" si="12"/>
        <v>0.95872240736463521</v>
      </c>
      <c r="ES10" s="53">
        <f t="shared" si="12"/>
        <v>0.71532171744708917</v>
      </c>
      <c r="ET10" s="53">
        <f t="shared" si="12"/>
        <v>0.55056993764539564</v>
      </c>
      <c r="EU10" s="53">
        <f>EU8/ET8-1</f>
        <v>0.23963654965871695</v>
      </c>
      <c r="EV10" s="53">
        <f>EV8/EU8-1</f>
        <v>0.1194147305965112</v>
      </c>
      <c r="EW10" s="53">
        <f>EW8/EV8-1</f>
        <v>0.11992604659124018</v>
      </c>
    </row>
    <row r="11" spans="1:156" s="49" customFormat="1" ht="11.25" hidden="1" customHeight="1" outlineLevel="1">
      <c r="A11" s="624" t="s">
        <v>227</v>
      </c>
      <c r="B11" s="35">
        <f>NVDA!V11</f>
        <v>6.1950000000000003</v>
      </c>
      <c r="C11" s="35">
        <f>NVDA!W11</f>
        <v>10.62</v>
      </c>
      <c r="D11" s="35">
        <f>NVDA!X11</f>
        <v>11.916999999999998</v>
      </c>
      <c r="E11" s="35">
        <f>NVDA!Y11</f>
        <v>14.759000000000004</v>
      </c>
      <c r="F11" s="35">
        <f>NVDA!AA11</f>
        <v>12.83</v>
      </c>
      <c r="G11" s="35">
        <f>NVDA!AB11</f>
        <v>14.069000000000001</v>
      </c>
      <c r="H11" s="35">
        <f>NVDA!AC11</f>
        <v>16.166</v>
      </c>
      <c r="I11" s="35">
        <f>NVDA!AD11</f>
        <v>15.150999999999994</v>
      </c>
      <c r="J11" s="35">
        <f>NVDA!AF11</f>
        <v>15.958</v>
      </c>
      <c r="K11" s="35">
        <f>NVDA!AG11</f>
        <v>19.61</v>
      </c>
      <c r="L11" s="35">
        <f>NVDA!AH11</f>
        <v>22.841999999999999</v>
      </c>
      <c r="M11" s="35">
        <f>NVDA!AI11</f>
        <v>23.606000000000009</v>
      </c>
      <c r="N11" s="35">
        <f>NVDA!AK11</f>
        <v>23.411999999999999</v>
      </c>
      <c r="O11" s="35">
        <f>NVDA!AL11</f>
        <v>24.073999999999998</v>
      </c>
      <c r="P11" s="35">
        <f>NVDA!AM11</f>
        <v>24.026000000000003</v>
      </c>
      <c r="Q11" s="35">
        <f>NVDA!AN11</f>
        <v>31.084999999999994</v>
      </c>
      <c r="R11" s="35">
        <f>NVDA!AP11</f>
        <v>24.893000000000001</v>
      </c>
      <c r="S11" s="35">
        <f>NVDA!AQ11</f>
        <v>24.774000000000001</v>
      </c>
      <c r="T11" s="35">
        <f>NVDA!AR11</f>
        <v>24.521999999999991</v>
      </c>
      <c r="U11" s="35">
        <f>NVDA!AS11</f>
        <v>23.788000000000011</v>
      </c>
      <c r="V11" s="35">
        <f>NVDA!AU11</f>
        <v>24.030999999999999</v>
      </c>
      <c r="W11" s="35">
        <f>NVDA!AV11</f>
        <v>24.207999999999998</v>
      </c>
      <c r="X11" s="35">
        <f>NVDA!AW11</f>
        <v>25.030999999999999</v>
      </c>
      <c r="Y11" s="35">
        <f>NVDA!AX11</f>
        <v>34.292000000000002</v>
      </c>
      <c r="Z11" s="35">
        <f>NVDA!AZ11</f>
        <v>31.334</v>
      </c>
      <c r="AA11" s="35">
        <f>NVDA!BA11</f>
        <v>31.891999999999999</v>
      </c>
      <c r="AB11" s="35">
        <f>NVDA!BB11</f>
        <v>33.03</v>
      </c>
      <c r="AC11" s="35">
        <f>NVDA!BC11</f>
        <v>36.936000000000007</v>
      </c>
      <c r="AD11" s="35">
        <f>NVDA!BE11</f>
        <v>41.357999999999997</v>
      </c>
      <c r="AE11" s="35">
        <f>NVDA!BF11</f>
        <v>46</v>
      </c>
      <c r="AF11" s="35">
        <f>NVDA!BG11</f>
        <v>49.3</v>
      </c>
      <c r="AG11" s="35">
        <f>NVDA!BH11</f>
        <v>48.055000000000014</v>
      </c>
      <c r="AH11" s="35">
        <f>NVDA!BJ11</f>
        <v>48.1</v>
      </c>
      <c r="AI11" s="35">
        <f>NVDA!BK11</f>
        <v>49</v>
      </c>
      <c r="AJ11" s="35">
        <f>NVDA!BL11</f>
        <v>48</v>
      </c>
      <c r="AK11" s="35">
        <f>NVDA!BM11</f>
        <v>48</v>
      </c>
      <c r="AL11" s="35">
        <f>NVDA!BO11</f>
        <v>47.146999999999998</v>
      </c>
      <c r="AM11" s="35">
        <f>NVDA!BP11</f>
        <v>46.573</v>
      </c>
      <c r="AN11" s="35">
        <f>NVDA!BQ11</f>
        <v>46.875999999999998</v>
      </c>
      <c r="AO11" s="35">
        <f>NVDA!BR11</f>
        <v>46.392999999999994</v>
      </c>
      <c r="AP11" s="35">
        <f>NVDA!BT11</f>
        <v>47.764000000000003</v>
      </c>
      <c r="AQ11" s="35">
        <f>NVDA!BU11</f>
        <v>52.158999999999999</v>
      </c>
      <c r="AR11" s="35">
        <f>NVDA!BV11</f>
        <v>52.4</v>
      </c>
      <c r="AS11" s="35">
        <f>NVDA!BW11</f>
        <v>51.882000000000012</v>
      </c>
      <c r="AT11" s="35">
        <f>NVDA!BY11</f>
        <v>54.491</v>
      </c>
      <c r="AU11" s="35">
        <f>NVDA!BZ11</f>
        <v>56.195000000000007</v>
      </c>
      <c r="AV11" s="35">
        <f>NVDA!CA11</f>
        <v>57.147999999999996</v>
      </c>
      <c r="AW11" s="35">
        <f>NVDA!CB11</f>
        <v>58.5</v>
      </c>
      <c r="AX11" s="35">
        <f>NVDA!CD11</f>
        <v>59.744</v>
      </c>
      <c r="AY11" s="35">
        <f>NVDA!CE11</f>
        <v>61.84</v>
      </c>
      <c r="AZ11" s="35">
        <f>NVDA!CF11</f>
        <v>62.725999999999999</v>
      </c>
      <c r="BA11" s="35">
        <f>NVDA!CG11</f>
        <v>54.837999999999994</v>
      </c>
      <c r="BB11" s="35">
        <f>NVDA!CI11</f>
        <v>55.082999999999998</v>
      </c>
      <c r="BC11" s="35">
        <f>NVDA!CJ11</f>
        <v>55.606999999999999</v>
      </c>
      <c r="BD11" s="35">
        <f>NVDA!CK11</f>
        <v>55</v>
      </c>
      <c r="BE11" s="35">
        <f>NVDA!CL11</f>
        <v>55</v>
      </c>
      <c r="BF11" s="35">
        <f>NVDA!CN11</f>
        <v>54</v>
      </c>
      <c r="BG11" s="35">
        <f>NVDA!CO11</f>
        <v>54</v>
      </c>
      <c r="BH11" s="35">
        <f>NVDA!CP11</f>
        <v>48</v>
      </c>
      <c r="BI11" s="35">
        <f>NVDA!CQ11</f>
        <v>46</v>
      </c>
      <c r="BJ11" s="35">
        <f>NVDA!CS11</f>
        <v>45</v>
      </c>
      <c r="BK11" s="620">
        <f>NVDA!CT11</f>
        <v>47</v>
      </c>
      <c r="BL11" s="620">
        <f>NVDA!CU11</f>
        <v>48</v>
      </c>
      <c r="BM11" s="35">
        <f>NVDA!CV11</f>
        <v>47</v>
      </c>
      <c r="BN11" s="35">
        <f>NVDA!CX11</f>
        <v>47</v>
      </c>
      <c r="BO11" s="35">
        <f>NVDA!CY11</f>
        <v>49</v>
      </c>
      <c r="BP11" s="35">
        <f>NVDA!CZ11</f>
        <v>50</v>
      </c>
      <c r="BQ11" s="35">
        <f>NVDA!DA11</f>
        <v>53</v>
      </c>
      <c r="BR11" s="35">
        <f>NVDA!DC11</f>
        <v>57</v>
      </c>
      <c r="BS11" s="35">
        <f>NVDA!DD11</f>
        <v>59</v>
      </c>
      <c r="BT11" s="35">
        <f>NVDA!DE11</f>
        <v>68</v>
      </c>
      <c r="BU11" s="35">
        <f>NVDA!DF11</f>
        <v>78</v>
      </c>
      <c r="BV11" s="35">
        <f>NVDA!DH11</f>
        <v>91</v>
      </c>
      <c r="BW11" s="35">
        <f>NVDA!DI11</f>
        <v>92</v>
      </c>
      <c r="BX11" s="35">
        <f>NVDA!DJ11</f>
        <v>92</v>
      </c>
      <c r="BY11" s="35">
        <f>NVDA!DK11</f>
        <v>106</v>
      </c>
      <c r="BZ11" s="35">
        <f>NVDA!DM11</f>
        <v>107</v>
      </c>
      <c r="CA11" s="35">
        <f>NVDA!DN11</f>
        <v>219</v>
      </c>
      <c r="CB11" s="35">
        <f>NVDA!DO11</f>
        <v>299</v>
      </c>
      <c r="CC11" s="35">
        <f>NVDA!DP11</f>
        <v>287</v>
      </c>
      <c r="CD11" s="35">
        <f>NVDA!DR11</f>
        <v>281</v>
      </c>
      <c r="CE11" s="35">
        <f>NVDA!DS11</f>
        <v>286</v>
      </c>
      <c r="CF11" s="35">
        <f>NVDA!DT11</f>
        <v>298</v>
      </c>
      <c r="CG11" s="35">
        <f>NVDA!DU11</f>
        <v>309</v>
      </c>
      <c r="CH11" s="35">
        <f>NVDA!DW11</f>
        <v>334</v>
      </c>
      <c r="CI11" s="35">
        <f>NVDA!DX11</f>
        <v>378</v>
      </c>
      <c r="CJ11" s="35">
        <f>NVDA!DY11</f>
        <v>406</v>
      </c>
      <c r="CK11" s="35">
        <f>NVDA!DZ11</f>
        <v>426</v>
      </c>
      <c r="CL11" s="35">
        <f>NVDA!EB11</f>
        <v>384</v>
      </c>
      <c r="CM11" s="35">
        <f>NVDA!EC11</f>
        <v>365</v>
      </c>
      <c r="CN11" s="35">
        <f>NVDA!ED11</f>
        <v>372</v>
      </c>
      <c r="CO11" s="35">
        <f>NVDA!EE11</f>
        <v>387</v>
      </c>
      <c r="CP11" s="35">
        <f>NVDA!EG11</f>
        <v>410</v>
      </c>
      <c r="CQ11" s="35">
        <f>NVDA!EH11</f>
        <v>433</v>
      </c>
      <c r="CR11" s="35">
        <f>NVDA!EI11</f>
        <v>478</v>
      </c>
      <c r="CS11" s="35">
        <f>NVDA!EJ11</f>
        <v>543</v>
      </c>
      <c r="CT11" s="35">
        <f>NVDA!EL11</f>
        <v>611</v>
      </c>
      <c r="CU11" s="35">
        <f>NVDA!EM11</f>
        <v>668</v>
      </c>
      <c r="CV11" s="35">
        <f>NVDA!EN11</f>
        <v>752</v>
      </c>
      <c r="CW11" s="35">
        <f>NVDA!EO11</f>
        <v>811</v>
      </c>
      <c r="CX11" s="35">
        <f>NVDA!EQ11</f>
        <v>997</v>
      </c>
      <c r="CY11" s="48">
        <f>+CX11+5</f>
        <v>1002</v>
      </c>
      <c r="CZ11" s="48">
        <f>+CY11+5</f>
        <v>1007</v>
      </c>
      <c r="DA11" s="48">
        <f>+CZ11+5</f>
        <v>1012</v>
      </c>
      <c r="DB11" s="48">
        <f t="shared" ref="DB11:DQ11" si="13">+DA11+5</f>
        <v>1017</v>
      </c>
      <c r="DC11" s="48">
        <f t="shared" si="13"/>
        <v>1022</v>
      </c>
      <c r="DD11" s="48">
        <f t="shared" si="13"/>
        <v>1027</v>
      </c>
      <c r="DE11" s="48">
        <f t="shared" si="13"/>
        <v>1032</v>
      </c>
      <c r="DF11" s="48">
        <f t="shared" si="13"/>
        <v>1037</v>
      </c>
      <c r="DG11" s="48">
        <f t="shared" si="13"/>
        <v>1042</v>
      </c>
      <c r="DH11" s="48">
        <f t="shared" si="13"/>
        <v>1047</v>
      </c>
      <c r="DI11" s="48">
        <f t="shared" si="13"/>
        <v>1052</v>
      </c>
      <c r="DJ11" s="48">
        <f t="shared" si="13"/>
        <v>1057</v>
      </c>
      <c r="DK11" s="48">
        <f t="shared" si="13"/>
        <v>1062</v>
      </c>
      <c r="DL11" s="48">
        <f t="shared" si="13"/>
        <v>1067</v>
      </c>
      <c r="DM11" s="48">
        <f t="shared" si="13"/>
        <v>1072</v>
      </c>
      <c r="DN11" s="48">
        <f t="shared" si="13"/>
        <v>1077</v>
      </c>
      <c r="DO11" s="48">
        <f t="shared" si="13"/>
        <v>1082</v>
      </c>
      <c r="DP11" s="48">
        <f t="shared" si="13"/>
        <v>1087</v>
      </c>
      <c r="DQ11" s="48">
        <f t="shared" si="13"/>
        <v>1092</v>
      </c>
      <c r="DT11" s="35">
        <f>SUM(B11:E11)</f>
        <v>43.491</v>
      </c>
      <c r="DU11" s="35">
        <f>SUM(F11:I11)</f>
        <v>58.215999999999994</v>
      </c>
      <c r="DV11" s="35">
        <f>SUM(J11:M11)</f>
        <v>82.016000000000005</v>
      </c>
      <c r="DW11" s="35">
        <f>SUM(N11:Q11)</f>
        <v>102.59699999999999</v>
      </c>
      <c r="DX11" s="35">
        <f>SUM(R11:U11)</f>
        <v>97.977000000000004</v>
      </c>
      <c r="DY11" s="35">
        <f>SUM(V11:Y11)</f>
        <v>107.562</v>
      </c>
      <c r="DZ11" s="35">
        <f>SUM(Z11:AC11)</f>
        <v>133.19200000000001</v>
      </c>
      <c r="EA11" s="35">
        <f>SUM(AD11:AG11)</f>
        <v>184.71300000000002</v>
      </c>
      <c r="EB11" s="35">
        <f>SUM(AH11:AK11)</f>
        <v>193.1</v>
      </c>
      <c r="EC11" s="35">
        <f>SUM(AL11:AO11)</f>
        <v>186.989</v>
      </c>
      <c r="ED11" s="35">
        <f>SUM(AP11:AS11)</f>
        <v>204.20500000000001</v>
      </c>
      <c r="EE11" s="35">
        <f>SUM(AT11:AW11)</f>
        <v>226.334</v>
      </c>
      <c r="EF11" s="35">
        <f>SUM(AX11:BA11)</f>
        <v>239.148</v>
      </c>
      <c r="EG11" s="35">
        <f>SUM(BB11:BE11)</f>
        <v>220.69</v>
      </c>
      <c r="EH11" s="35">
        <f>SUM(BF11:BI11)</f>
        <v>202</v>
      </c>
      <c r="EI11" s="35">
        <f>SUM(BJ11:BM11)</f>
        <v>187</v>
      </c>
      <c r="EJ11" s="35">
        <f>SUM(BN11:BQ11)</f>
        <v>199</v>
      </c>
      <c r="EK11" s="35">
        <f>SUM(BR11:BU11)</f>
        <v>262</v>
      </c>
      <c r="EL11" s="35">
        <f>BV11+BW11+BX11+BY11</f>
        <v>381</v>
      </c>
      <c r="EM11" s="35">
        <f>CC11+CB11+CA11+BZ11</f>
        <v>912</v>
      </c>
      <c r="EN11" s="35">
        <f>+CD11+CE11+CF11+CG11</f>
        <v>1174</v>
      </c>
      <c r="EO11" s="35">
        <f>SUM(CH11:CK11)</f>
        <v>1544</v>
      </c>
      <c r="EP11" s="35">
        <f>SUM(CL11:CO11)</f>
        <v>1508</v>
      </c>
      <c r="EQ11" s="35">
        <f>SUM(CP11:CS11)</f>
        <v>1864</v>
      </c>
      <c r="ER11" s="35">
        <f>SUM(CT11:CW11)</f>
        <v>2842</v>
      </c>
      <c r="ES11" s="48">
        <f>SUM(CX11:DA11)</f>
        <v>4018</v>
      </c>
      <c r="ET11" s="48">
        <f>SUM(DB11:DE11)</f>
        <v>4098</v>
      </c>
      <c r="EU11" s="48">
        <f>SUM(DF11:DI11)</f>
        <v>4178</v>
      </c>
      <c r="EV11" s="48">
        <f>SUM(DJ11:DM11)</f>
        <v>4258</v>
      </c>
      <c r="EW11" s="48">
        <f>SUM(DN11:DQ11)</f>
        <v>4338</v>
      </c>
    </row>
    <row r="12" spans="1:156" s="52" customFormat="1" ht="11.25" hidden="1" customHeight="1" outlineLevel="1">
      <c r="A12" s="58" t="s">
        <v>223</v>
      </c>
      <c r="C12" s="52">
        <f t="shared" ref="C12:BN12" si="14">C11/B11-1</f>
        <v>0.71428571428571419</v>
      </c>
      <c r="D12" s="52">
        <f t="shared" si="14"/>
        <v>0.12212806026365342</v>
      </c>
      <c r="E12" s="52">
        <f t="shared" si="14"/>
        <v>0.23848283964084982</v>
      </c>
      <c r="F12" s="52">
        <f t="shared" si="14"/>
        <v>-0.13069991191815189</v>
      </c>
      <c r="G12" s="52">
        <f t="shared" si="14"/>
        <v>9.6570537802026513E-2</v>
      </c>
      <c r="H12" s="52">
        <f t="shared" si="14"/>
        <v>0.1490511052668988</v>
      </c>
      <c r="I12" s="52">
        <f t="shared" si="14"/>
        <v>-6.2786094271929049E-2</v>
      </c>
      <c r="J12" s="52">
        <f t="shared" si="14"/>
        <v>5.3263810969573333E-2</v>
      </c>
      <c r="K12" s="52">
        <f t="shared" si="14"/>
        <v>0.22885073317458327</v>
      </c>
      <c r="L12" s="52">
        <f t="shared" si="14"/>
        <v>0.16481387047424789</v>
      </c>
      <c r="M12" s="52">
        <f t="shared" si="14"/>
        <v>3.344715874266746E-2</v>
      </c>
      <c r="N12" s="52">
        <f t="shared" si="14"/>
        <v>-8.2182495975603453E-3</v>
      </c>
      <c r="O12" s="52">
        <f t="shared" si="14"/>
        <v>2.8276097727661043E-2</v>
      </c>
      <c r="P12" s="52">
        <f t="shared" si="14"/>
        <v>-1.9938522887760213E-3</v>
      </c>
      <c r="Q12" s="52">
        <f t="shared" si="14"/>
        <v>0.29380670939815157</v>
      </c>
      <c r="R12" s="52">
        <f t="shared" si="14"/>
        <v>-0.19919575357889641</v>
      </c>
      <c r="S12" s="52">
        <f t="shared" si="14"/>
        <v>-4.7804603703852644E-3</v>
      </c>
      <c r="T12" s="52">
        <f t="shared" si="14"/>
        <v>-1.0171954468394695E-2</v>
      </c>
      <c r="U12" s="52">
        <f t="shared" si="14"/>
        <v>-2.9932305684690519E-2</v>
      </c>
      <c r="V12" s="52">
        <f t="shared" si="14"/>
        <v>1.0215234572052534E-2</v>
      </c>
      <c r="W12" s="52">
        <f t="shared" si="14"/>
        <v>7.3654862469310078E-3</v>
      </c>
      <c r="X12" s="52">
        <f t="shared" si="14"/>
        <v>3.3997025776602685E-2</v>
      </c>
      <c r="Y12" s="52">
        <f t="shared" si="14"/>
        <v>0.36998122328312899</v>
      </c>
      <c r="Z12" s="52">
        <f t="shared" si="14"/>
        <v>-8.6259185815933836E-2</v>
      </c>
      <c r="AA12" s="52">
        <f t="shared" si="14"/>
        <v>1.7808131741877897E-2</v>
      </c>
      <c r="AB12" s="52">
        <f t="shared" si="14"/>
        <v>3.5682929888373405E-2</v>
      </c>
      <c r="AC12" s="52">
        <f t="shared" si="14"/>
        <v>0.11825613079019082</v>
      </c>
      <c r="AD12" s="52">
        <f t="shared" si="14"/>
        <v>0.11972059779077293</v>
      </c>
      <c r="AE12" s="52">
        <f t="shared" si="14"/>
        <v>0.11223946999371348</v>
      </c>
      <c r="AF12" s="52">
        <f t="shared" si="14"/>
        <v>7.1739130434782528E-2</v>
      </c>
      <c r="AG12" s="52">
        <f t="shared" si="14"/>
        <v>-2.5253549695740007E-2</v>
      </c>
      <c r="AH12" s="52">
        <f t="shared" si="14"/>
        <v>9.3642701071661172E-4</v>
      </c>
      <c r="AI12" s="52">
        <f t="shared" si="14"/>
        <v>1.8711018711018657E-2</v>
      </c>
      <c r="AJ12" s="52">
        <f t="shared" si="14"/>
        <v>-2.0408163265306145E-2</v>
      </c>
      <c r="AK12" s="52">
        <f t="shared" si="14"/>
        <v>0</v>
      </c>
      <c r="AL12" s="52">
        <f t="shared" si="14"/>
        <v>-1.7770833333333402E-2</v>
      </c>
      <c r="AM12" s="52">
        <f t="shared" si="14"/>
        <v>-1.217468767896146E-2</v>
      </c>
      <c r="AN12" s="52">
        <f t="shared" si="14"/>
        <v>6.5059154445707978E-3</v>
      </c>
      <c r="AO12" s="52">
        <f t="shared" si="14"/>
        <v>-1.0303780186022737E-2</v>
      </c>
      <c r="AP12" s="52">
        <f t="shared" si="14"/>
        <v>2.9551872049662808E-2</v>
      </c>
      <c r="AQ12" s="52">
        <f t="shared" si="14"/>
        <v>9.2014906624235726E-2</v>
      </c>
      <c r="AR12" s="52">
        <f t="shared" si="14"/>
        <v>4.620487355969205E-3</v>
      </c>
      <c r="AS12" s="52">
        <f t="shared" si="14"/>
        <v>-9.8854961832058885E-3</v>
      </c>
      <c r="AT12" s="52">
        <f t="shared" si="14"/>
        <v>5.0287190162290996E-2</v>
      </c>
      <c r="AU12" s="52">
        <f t="shared" si="14"/>
        <v>3.1271219100402092E-2</v>
      </c>
      <c r="AV12" s="52">
        <f t="shared" si="14"/>
        <v>1.6958804164071362E-2</v>
      </c>
      <c r="AW12" s="52">
        <f t="shared" si="14"/>
        <v>2.3657870791628843E-2</v>
      </c>
      <c r="AX12" s="52">
        <f t="shared" si="14"/>
        <v>2.1264957264957252E-2</v>
      </c>
      <c r="AY12" s="52">
        <f t="shared" si="14"/>
        <v>3.508302088912707E-2</v>
      </c>
      <c r="AZ12" s="52">
        <f t="shared" si="14"/>
        <v>1.4327296248382915E-2</v>
      </c>
      <c r="BA12" s="52">
        <f t="shared" si="14"/>
        <v>-0.12575327615342924</v>
      </c>
      <c r="BB12" s="52">
        <f t="shared" si="14"/>
        <v>4.4677048761807558E-3</v>
      </c>
      <c r="BC12" s="52">
        <f t="shared" si="14"/>
        <v>9.5129168709038314E-3</v>
      </c>
      <c r="BD12" s="52">
        <f t="shared" si="14"/>
        <v>-1.0915891884115347E-2</v>
      </c>
      <c r="BE12" s="52">
        <f t="shared" si="14"/>
        <v>0</v>
      </c>
      <c r="BF12" s="52">
        <f t="shared" si="14"/>
        <v>-1.8181818181818188E-2</v>
      </c>
      <c r="BG12" s="52">
        <f t="shared" si="14"/>
        <v>0</v>
      </c>
      <c r="BH12" s="52">
        <f t="shared" si="14"/>
        <v>-0.11111111111111116</v>
      </c>
      <c r="BI12" s="52">
        <f t="shared" si="14"/>
        <v>-4.166666666666663E-2</v>
      </c>
      <c r="BJ12" s="52">
        <f t="shared" si="14"/>
        <v>-2.1739130434782594E-2</v>
      </c>
      <c r="BK12" s="621">
        <f t="shared" si="14"/>
        <v>4.4444444444444509E-2</v>
      </c>
      <c r="BL12" s="621">
        <f t="shared" si="14"/>
        <v>2.1276595744680771E-2</v>
      </c>
      <c r="BM12" s="52">
        <f t="shared" si="14"/>
        <v>-2.083333333333337E-2</v>
      </c>
      <c r="BN12" s="52">
        <f t="shared" si="14"/>
        <v>0</v>
      </c>
      <c r="BO12" s="52">
        <f t="shared" ref="BO12:DQ12" si="15">BO11/BN11-1</f>
        <v>4.2553191489361764E-2</v>
      </c>
      <c r="BP12" s="52">
        <f t="shared" si="15"/>
        <v>2.0408163265306145E-2</v>
      </c>
      <c r="BQ12" s="52">
        <f t="shared" si="15"/>
        <v>6.0000000000000053E-2</v>
      </c>
      <c r="BR12" s="52">
        <f t="shared" si="15"/>
        <v>7.547169811320753E-2</v>
      </c>
      <c r="BS12" s="52">
        <f t="shared" si="15"/>
        <v>3.5087719298245723E-2</v>
      </c>
      <c r="BT12" s="52">
        <f t="shared" si="15"/>
        <v>0.15254237288135597</v>
      </c>
      <c r="BU12" s="52">
        <f t="shared" si="15"/>
        <v>0.14705882352941169</v>
      </c>
      <c r="BV12" s="52">
        <f t="shared" si="15"/>
        <v>0.16666666666666674</v>
      </c>
      <c r="BW12" s="52">
        <f t="shared" si="15"/>
        <v>1.098901098901095E-2</v>
      </c>
      <c r="BX12" s="52">
        <f t="shared" si="15"/>
        <v>0</v>
      </c>
      <c r="BY12" s="52">
        <f t="shared" si="15"/>
        <v>0.15217391304347827</v>
      </c>
      <c r="BZ12" s="52">
        <f t="shared" si="15"/>
        <v>9.4339622641510523E-3</v>
      </c>
      <c r="CA12" s="52">
        <f t="shared" si="15"/>
        <v>1.0467289719626169</v>
      </c>
      <c r="CB12" s="52">
        <f t="shared" si="15"/>
        <v>0.36529680365296802</v>
      </c>
      <c r="CC12" s="52">
        <f t="shared" si="15"/>
        <v>-4.013377926421402E-2</v>
      </c>
      <c r="CD12" s="52">
        <f t="shared" si="15"/>
        <v>-2.0905923344947785E-2</v>
      </c>
      <c r="CE12" s="52">
        <f t="shared" si="15"/>
        <v>1.7793594306049876E-2</v>
      </c>
      <c r="CF12" s="52">
        <f t="shared" si="15"/>
        <v>4.195804195804187E-2</v>
      </c>
      <c r="CG12" s="52">
        <f t="shared" si="15"/>
        <v>3.691275167785224E-2</v>
      </c>
      <c r="CH12" s="52">
        <f t="shared" si="15"/>
        <v>8.0906148867313954E-2</v>
      </c>
      <c r="CI12" s="52">
        <f t="shared" si="15"/>
        <v>0.13173652694610771</v>
      </c>
      <c r="CJ12" s="52">
        <f t="shared" si="15"/>
        <v>7.4074074074074181E-2</v>
      </c>
      <c r="CK12" s="52">
        <f t="shared" si="15"/>
        <v>4.9261083743842304E-2</v>
      </c>
      <c r="CL12" s="52">
        <f t="shared" si="15"/>
        <v>-9.8591549295774628E-2</v>
      </c>
      <c r="CM12" s="52">
        <f t="shared" si="15"/>
        <v>-4.947916666666663E-2</v>
      </c>
      <c r="CN12" s="52">
        <f t="shared" si="15"/>
        <v>1.9178082191780854E-2</v>
      </c>
      <c r="CO12" s="52">
        <f t="shared" si="15"/>
        <v>4.0322580645161255E-2</v>
      </c>
      <c r="CP12" s="52">
        <f t="shared" si="15"/>
        <v>5.9431524547803649E-2</v>
      </c>
      <c r="CQ12" s="52">
        <f t="shared" si="15"/>
        <v>5.6097560975609806E-2</v>
      </c>
      <c r="CR12" s="52">
        <f t="shared" si="15"/>
        <v>0.10392609699769051</v>
      </c>
      <c r="CS12" s="52">
        <f t="shared" si="15"/>
        <v>0.13598326359832646</v>
      </c>
      <c r="CT12" s="52">
        <f t="shared" si="15"/>
        <v>0.12523020257826878</v>
      </c>
      <c r="CU12" s="52">
        <f t="shared" si="15"/>
        <v>9.328968903436996E-2</v>
      </c>
      <c r="CV12" s="52">
        <f t="shared" si="15"/>
        <v>0.12574850299401197</v>
      </c>
      <c r="CW12" s="52">
        <f t="shared" si="15"/>
        <v>7.8457446808510634E-2</v>
      </c>
      <c r="CX12" s="52">
        <f t="shared" si="15"/>
        <v>0.22934648581997541</v>
      </c>
      <c r="CY12" s="53">
        <f t="shared" si="15"/>
        <v>5.015045135406293E-3</v>
      </c>
      <c r="CZ12" s="53">
        <f t="shared" si="15"/>
        <v>4.9900199600798611E-3</v>
      </c>
      <c r="DA12" s="53">
        <f t="shared" si="15"/>
        <v>4.9652432969216065E-3</v>
      </c>
      <c r="DB12" s="53">
        <f t="shared" si="15"/>
        <v>4.9407114624506754E-3</v>
      </c>
      <c r="DC12" s="53">
        <f t="shared" si="15"/>
        <v>4.9164208456244918E-3</v>
      </c>
      <c r="DD12" s="53">
        <f t="shared" si="15"/>
        <v>4.8923679060666192E-3</v>
      </c>
      <c r="DE12" s="53">
        <f t="shared" si="15"/>
        <v>4.8685491723465812E-3</v>
      </c>
      <c r="DF12" s="53">
        <f t="shared" si="15"/>
        <v>4.8449612403100861E-3</v>
      </c>
      <c r="DG12" s="53">
        <f t="shared" si="15"/>
        <v>4.8216007714561027E-3</v>
      </c>
      <c r="DH12" s="53">
        <f t="shared" si="15"/>
        <v>4.7984644913627861E-3</v>
      </c>
      <c r="DI12" s="53">
        <f t="shared" si="15"/>
        <v>4.7755491881567025E-3</v>
      </c>
      <c r="DJ12" s="53">
        <f t="shared" si="15"/>
        <v>4.7528517110266844E-3</v>
      </c>
      <c r="DK12" s="53">
        <f t="shared" si="15"/>
        <v>4.7303689687796524E-3</v>
      </c>
      <c r="DL12" s="53">
        <f t="shared" si="15"/>
        <v>4.7080979284368496E-3</v>
      </c>
      <c r="DM12" s="53">
        <f t="shared" si="15"/>
        <v>4.6860356138707093E-3</v>
      </c>
      <c r="DN12" s="53">
        <f t="shared" si="15"/>
        <v>4.6641791044776948E-3</v>
      </c>
      <c r="DO12" s="53">
        <f t="shared" si="15"/>
        <v>4.6425255338904403E-3</v>
      </c>
      <c r="DP12" s="53">
        <f t="shared" si="15"/>
        <v>4.6210720887245316E-3</v>
      </c>
      <c r="DQ12" s="53">
        <f t="shared" si="15"/>
        <v>4.5998160073597028E-3</v>
      </c>
      <c r="EK12" s="54" t="s">
        <v>224</v>
      </c>
      <c r="EL12" s="54" t="s">
        <v>224</v>
      </c>
      <c r="EM12" s="54" t="s">
        <v>224</v>
      </c>
      <c r="EN12" s="54" t="s">
        <v>224</v>
      </c>
      <c r="EO12" s="54" t="s">
        <v>224</v>
      </c>
      <c r="EP12" s="54" t="s">
        <v>224</v>
      </c>
      <c r="EQ12" s="54" t="s">
        <v>224</v>
      </c>
      <c r="ER12" s="54" t="s">
        <v>224</v>
      </c>
      <c r="ES12" s="55" t="s">
        <v>224</v>
      </c>
      <c r="ET12" s="55" t="s">
        <v>224</v>
      </c>
      <c r="EU12" s="55" t="s">
        <v>224</v>
      </c>
      <c r="EV12" s="55" t="s">
        <v>224</v>
      </c>
      <c r="EW12" s="55" t="s">
        <v>224</v>
      </c>
    </row>
    <row r="13" spans="1:156" s="52" customFormat="1" ht="11.25" hidden="1" customHeight="1" outlineLevel="1">
      <c r="A13" s="58" t="s">
        <v>225</v>
      </c>
      <c r="F13" s="52">
        <f t="shared" ref="F13:BQ13" si="16">F11/B11-1</f>
        <v>1.0710250201775624</v>
      </c>
      <c r="G13" s="52">
        <f t="shared" si="16"/>
        <v>0.32476459510357825</v>
      </c>
      <c r="H13" s="52">
        <f t="shared" si="16"/>
        <v>0.35654946714777225</v>
      </c>
      <c r="I13" s="52">
        <f t="shared" si="16"/>
        <v>2.6560065045056591E-2</v>
      </c>
      <c r="J13" s="52">
        <f t="shared" si="16"/>
        <v>0.24380358534684343</v>
      </c>
      <c r="K13" s="52">
        <f t="shared" si="16"/>
        <v>0.39384462292984557</v>
      </c>
      <c r="L13" s="52">
        <f t="shared" si="16"/>
        <v>0.41296548311270564</v>
      </c>
      <c r="M13" s="52">
        <f t="shared" si="16"/>
        <v>0.55804897366510575</v>
      </c>
      <c r="N13" s="52">
        <f t="shared" si="16"/>
        <v>0.46710114049379614</v>
      </c>
      <c r="O13" s="52">
        <f t="shared" si="16"/>
        <v>0.22763895971443127</v>
      </c>
      <c r="P13" s="52">
        <f t="shared" si="16"/>
        <v>5.1834340250416E-2</v>
      </c>
      <c r="Q13" s="52">
        <f t="shared" si="16"/>
        <v>0.31682623061933324</v>
      </c>
      <c r="R13" s="52">
        <f t="shared" si="16"/>
        <v>6.3258158209465343E-2</v>
      </c>
      <c r="S13" s="52">
        <f t="shared" si="16"/>
        <v>2.9077012544654002E-2</v>
      </c>
      <c r="T13" s="52">
        <f t="shared" si="16"/>
        <v>2.0644302006159521E-2</v>
      </c>
      <c r="U13" s="52">
        <f t="shared" si="16"/>
        <v>-0.23474344539166747</v>
      </c>
      <c r="V13" s="52">
        <f t="shared" si="16"/>
        <v>-3.4628208733378907E-2</v>
      </c>
      <c r="W13" s="52">
        <f t="shared" si="16"/>
        <v>-2.2846532655203089E-2</v>
      </c>
      <c r="X13" s="52">
        <f t="shared" si="16"/>
        <v>2.0756871380801289E-2</v>
      </c>
      <c r="Y13" s="52">
        <f t="shared" si="16"/>
        <v>0.44156717672776136</v>
      </c>
      <c r="Z13" s="52">
        <f t="shared" si="16"/>
        <v>0.30389913029004201</v>
      </c>
      <c r="AA13" s="52">
        <f t="shared" si="16"/>
        <v>0.31741573033707882</v>
      </c>
      <c r="AB13" s="52">
        <f t="shared" si="16"/>
        <v>0.31956374096120821</v>
      </c>
      <c r="AC13" s="52">
        <f t="shared" si="16"/>
        <v>7.7102531202613012E-2</v>
      </c>
      <c r="AD13" s="52">
        <f t="shared" si="16"/>
        <v>0.31990808706197726</v>
      </c>
      <c r="AE13" s="52">
        <f t="shared" si="16"/>
        <v>0.44236799197290866</v>
      </c>
      <c r="AF13" s="52">
        <f t="shared" si="16"/>
        <v>0.49258250075688759</v>
      </c>
      <c r="AG13" s="52">
        <f t="shared" si="16"/>
        <v>0.301034221355859</v>
      </c>
      <c r="AH13" s="52">
        <f t="shared" si="16"/>
        <v>0.16301561971081791</v>
      </c>
      <c r="AI13" s="52">
        <f t="shared" si="16"/>
        <v>6.5217391304347894E-2</v>
      </c>
      <c r="AJ13" s="52">
        <f t="shared" si="16"/>
        <v>-2.6369168356997874E-2</v>
      </c>
      <c r="AK13" s="52">
        <f t="shared" si="16"/>
        <v>-1.1445219019875497E-3</v>
      </c>
      <c r="AL13" s="52">
        <f t="shared" si="16"/>
        <v>-1.9812889812889867E-2</v>
      </c>
      <c r="AM13" s="52">
        <f t="shared" si="16"/>
        <v>-4.9530612244897965E-2</v>
      </c>
      <c r="AN13" s="52">
        <f t="shared" si="16"/>
        <v>-2.3416666666666752E-2</v>
      </c>
      <c r="AO13" s="52">
        <f t="shared" si="16"/>
        <v>-3.3479166666666837E-2</v>
      </c>
      <c r="AP13" s="52">
        <f t="shared" si="16"/>
        <v>1.3086728742019771E-2</v>
      </c>
      <c r="AQ13" s="52">
        <f t="shared" si="16"/>
        <v>0.1199407381959503</v>
      </c>
      <c r="AR13" s="52">
        <f t="shared" si="16"/>
        <v>0.11784281935318708</v>
      </c>
      <c r="AS13" s="52">
        <f t="shared" si="16"/>
        <v>0.11831526307848206</v>
      </c>
      <c r="AT13" s="52">
        <f t="shared" si="16"/>
        <v>0.14083828825056521</v>
      </c>
      <c r="AU13" s="52">
        <f t="shared" si="16"/>
        <v>7.7378784102456022E-2</v>
      </c>
      <c r="AV13" s="52">
        <f t="shared" si="16"/>
        <v>9.0610687022900649E-2</v>
      </c>
      <c r="AW13" s="52">
        <f t="shared" si="16"/>
        <v>0.1275586908754478</v>
      </c>
      <c r="AX13" s="52">
        <f t="shared" si="16"/>
        <v>9.6401240571837521E-2</v>
      </c>
      <c r="AY13" s="52">
        <f t="shared" si="16"/>
        <v>0.10045377702642577</v>
      </c>
      <c r="AZ13" s="52">
        <f t="shared" si="16"/>
        <v>9.7606215440610322E-2</v>
      </c>
      <c r="BA13" s="52">
        <f t="shared" si="16"/>
        <v>-6.2598290598290696E-2</v>
      </c>
      <c r="BB13" s="52">
        <f t="shared" si="16"/>
        <v>-7.8016202463845774E-2</v>
      </c>
      <c r="BC13" s="52">
        <f t="shared" si="16"/>
        <v>-0.10079236739974129</v>
      </c>
      <c r="BD13" s="52">
        <f t="shared" si="16"/>
        <v>-0.12317061505595761</v>
      </c>
      <c r="BE13" s="52">
        <f t="shared" si="16"/>
        <v>2.9541558773114041E-3</v>
      </c>
      <c r="BF13" s="52">
        <f t="shared" si="16"/>
        <v>-1.9661238494635302E-2</v>
      </c>
      <c r="BG13" s="52">
        <f t="shared" si="16"/>
        <v>-2.8899239304404079E-2</v>
      </c>
      <c r="BH13" s="52">
        <f t="shared" si="16"/>
        <v>-0.12727272727272732</v>
      </c>
      <c r="BI13" s="52">
        <f t="shared" si="16"/>
        <v>-0.16363636363636369</v>
      </c>
      <c r="BJ13" s="52">
        <f t="shared" si="16"/>
        <v>-0.16666666666666663</v>
      </c>
      <c r="BK13" s="621">
        <f t="shared" si="16"/>
        <v>-0.12962962962962965</v>
      </c>
      <c r="BL13" s="621">
        <f t="shared" si="16"/>
        <v>0</v>
      </c>
      <c r="BM13" s="52">
        <f t="shared" si="16"/>
        <v>2.1739130434782705E-2</v>
      </c>
      <c r="BN13" s="52">
        <f t="shared" si="16"/>
        <v>4.4444444444444509E-2</v>
      </c>
      <c r="BO13" s="52">
        <f t="shared" si="16"/>
        <v>4.2553191489361764E-2</v>
      </c>
      <c r="BP13" s="52">
        <f t="shared" si="16"/>
        <v>4.1666666666666741E-2</v>
      </c>
      <c r="BQ13" s="52">
        <f t="shared" si="16"/>
        <v>0.12765957446808507</v>
      </c>
      <c r="BR13" s="52">
        <f t="shared" ref="BR13:DQ13" si="17">BR11/BN11-1</f>
        <v>0.2127659574468086</v>
      </c>
      <c r="BS13" s="52">
        <f t="shared" si="17"/>
        <v>0.20408163265306123</v>
      </c>
      <c r="BT13" s="52">
        <f t="shared" si="17"/>
        <v>0.3600000000000001</v>
      </c>
      <c r="BU13" s="52">
        <f t="shared" si="17"/>
        <v>0.47169811320754707</v>
      </c>
      <c r="BV13" s="52">
        <f t="shared" si="17"/>
        <v>0.59649122807017552</v>
      </c>
      <c r="BW13" s="52">
        <f t="shared" si="17"/>
        <v>0.55932203389830515</v>
      </c>
      <c r="BX13" s="52">
        <f t="shared" si="17"/>
        <v>0.35294117647058831</v>
      </c>
      <c r="BY13" s="52">
        <f t="shared" si="17"/>
        <v>0.35897435897435903</v>
      </c>
      <c r="BZ13" s="52">
        <f t="shared" si="17"/>
        <v>0.17582417582417587</v>
      </c>
      <c r="CA13" s="52">
        <f t="shared" si="17"/>
        <v>1.3804347826086958</v>
      </c>
      <c r="CB13" s="52">
        <f t="shared" si="17"/>
        <v>2.25</v>
      </c>
      <c r="CC13" s="52">
        <f t="shared" si="17"/>
        <v>1.7075471698113209</v>
      </c>
      <c r="CD13" s="52">
        <f t="shared" si="17"/>
        <v>1.6261682242990654</v>
      </c>
      <c r="CE13" s="52">
        <f t="shared" si="17"/>
        <v>0.30593607305936077</v>
      </c>
      <c r="CF13" s="52">
        <f t="shared" si="17"/>
        <v>-3.3444816053511683E-3</v>
      </c>
      <c r="CG13" s="52">
        <f t="shared" si="17"/>
        <v>7.6655052264808399E-2</v>
      </c>
      <c r="CH13" s="52">
        <f t="shared" si="17"/>
        <v>0.18861209964412806</v>
      </c>
      <c r="CI13" s="52">
        <f t="shared" si="17"/>
        <v>0.32167832167832167</v>
      </c>
      <c r="CJ13" s="52">
        <f t="shared" si="17"/>
        <v>0.36241610738255026</v>
      </c>
      <c r="CK13" s="52">
        <f t="shared" si="17"/>
        <v>0.37864077669902918</v>
      </c>
      <c r="CL13" s="52">
        <f t="shared" si="17"/>
        <v>0.14970059880239517</v>
      </c>
      <c r="CM13" s="52">
        <f t="shared" si="17"/>
        <v>-3.4391534391534417E-2</v>
      </c>
      <c r="CN13" s="52">
        <f t="shared" si="17"/>
        <v>-8.3743842364532028E-2</v>
      </c>
      <c r="CO13" s="52">
        <f t="shared" si="17"/>
        <v>-9.1549295774647876E-2</v>
      </c>
      <c r="CP13" s="52">
        <f t="shared" si="17"/>
        <v>6.7708333333333259E-2</v>
      </c>
      <c r="CQ13" s="52">
        <f t="shared" si="17"/>
        <v>0.1863013698630136</v>
      </c>
      <c r="CR13" s="52">
        <f t="shared" si="17"/>
        <v>0.28494623655913975</v>
      </c>
      <c r="CS13" s="52">
        <f t="shared" si="17"/>
        <v>0.4031007751937985</v>
      </c>
      <c r="CT13" s="52">
        <f t="shared" si="17"/>
        <v>0.49024390243902438</v>
      </c>
      <c r="CU13" s="52">
        <f t="shared" si="17"/>
        <v>0.54272517321016167</v>
      </c>
      <c r="CV13" s="52">
        <f t="shared" si="17"/>
        <v>0.57322175732217584</v>
      </c>
      <c r="CW13" s="52">
        <f t="shared" si="17"/>
        <v>0.49355432780847153</v>
      </c>
      <c r="CX13" s="52">
        <f t="shared" si="17"/>
        <v>0.63175122749590829</v>
      </c>
      <c r="CY13" s="53">
        <f t="shared" si="17"/>
        <v>0.5</v>
      </c>
      <c r="CZ13" s="53">
        <f t="shared" si="17"/>
        <v>0.33909574468085113</v>
      </c>
      <c r="DA13" s="53">
        <f t="shared" si="17"/>
        <v>0.24784217016029597</v>
      </c>
      <c r="DB13" s="53">
        <f t="shared" si="17"/>
        <v>2.006018054162495E-2</v>
      </c>
      <c r="DC13" s="53">
        <f t="shared" si="17"/>
        <v>1.9960079840319445E-2</v>
      </c>
      <c r="DD13" s="53">
        <f t="shared" si="17"/>
        <v>1.9860973187686204E-2</v>
      </c>
      <c r="DE13" s="53">
        <f t="shared" si="17"/>
        <v>1.9762845849802479E-2</v>
      </c>
      <c r="DF13" s="53">
        <f t="shared" si="17"/>
        <v>1.9665683382497523E-2</v>
      </c>
      <c r="DG13" s="53">
        <f t="shared" si="17"/>
        <v>1.9569471624266255E-2</v>
      </c>
      <c r="DH13" s="53">
        <f t="shared" si="17"/>
        <v>1.9474196689386547E-2</v>
      </c>
      <c r="DI13" s="53">
        <f t="shared" si="17"/>
        <v>1.9379844961240345E-2</v>
      </c>
      <c r="DJ13" s="53">
        <f t="shared" si="17"/>
        <v>1.9286403085824411E-2</v>
      </c>
      <c r="DK13" s="53">
        <f t="shared" si="17"/>
        <v>1.9193857965451144E-2</v>
      </c>
      <c r="DL13" s="53">
        <f t="shared" si="17"/>
        <v>1.9102196752626588E-2</v>
      </c>
      <c r="DM13" s="53">
        <f t="shared" si="17"/>
        <v>1.9011406844106515E-2</v>
      </c>
      <c r="DN13" s="53">
        <f t="shared" si="17"/>
        <v>1.8921475875118166E-2</v>
      </c>
      <c r="DO13" s="53">
        <f t="shared" si="17"/>
        <v>1.883239171374762E-2</v>
      </c>
      <c r="DP13" s="53">
        <f t="shared" si="17"/>
        <v>1.8744142455482615E-2</v>
      </c>
      <c r="DQ13" s="53">
        <f t="shared" si="17"/>
        <v>1.8656716417910557E-2</v>
      </c>
      <c r="DU13" s="52">
        <f>DU11/DT11-1</f>
        <v>0.33857579729139342</v>
      </c>
      <c r="DV13" s="52">
        <f t="shared" ref="DV13:ET13" si="18">DV11/DU11-1</f>
        <v>0.40882231688882809</v>
      </c>
      <c r="DW13" s="52">
        <f t="shared" si="18"/>
        <v>0.25093884120171661</v>
      </c>
      <c r="DX13" s="52">
        <f t="shared" si="18"/>
        <v>-4.5030556449018877E-2</v>
      </c>
      <c r="DY13" s="52">
        <f t="shared" si="18"/>
        <v>9.7829082335650241E-2</v>
      </c>
      <c r="DZ13" s="52">
        <f t="shared" si="18"/>
        <v>0.23828117736747179</v>
      </c>
      <c r="EA13" s="52">
        <f t="shared" si="18"/>
        <v>0.38681752657817303</v>
      </c>
      <c r="EB13" s="52">
        <f t="shared" si="18"/>
        <v>4.5405575135480269E-2</v>
      </c>
      <c r="EC13" s="52">
        <f t="shared" si="18"/>
        <v>-3.1646815121698535E-2</v>
      </c>
      <c r="ED13" s="52">
        <f t="shared" si="18"/>
        <v>9.2069586981052387E-2</v>
      </c>
      <c r="EE13" s="52">
        <f t="shared" si="18"/>
        <v>0.10836659239489732</v>
      </c>
      <c r="EF13" s="52">
        <f t="shared" si="18"/>
        <v>5.661544443168065E-2</v>
      </c>
      <c r="EG13" s="52">
        <f t="shared" si="18"/>
        <v>-7.7182330606988092E-2</v>
      </c>
      <c r="EH13" s="52">
        <f t="shared" si="18"/>
        <v>-8.4688930173546617E-2</v>
      </c>
      <c r="EI13" s="52">
        <f t="shared" si="18"/>
        <v>-7.4257425742574212E-2</v>
      </c>
      <c r="EJ13" s="52">
        <f t="shared" si="18"/>
        <v>6.4171122994652441E-2</v>
      </c>
      <c r="EK13" s="52">
        <f t="shared" si="18"/>
        <v>0.31658291457286425</v>
      </c>
      <c r="EL13" s="52">
        <f t="shared" si="18"/>
        <v>0.45419847328244267</v>
      </c>
      <c r="EM13" s="52">
        <f t="shared" si="18"/>
        <v>1.393700787401575</v>
      </c>
      <c r="EN13" s="52">
        <f t="shared" si="18"/>
        <v>0.28728070175438591</v>
      </c>
      <c r="EO13" s="52">
        <f t="shared" si="18"/>
        <v>0.31516183986371371</v>
      </c>
      <c r="EP13" s="52">
        <f t="shared" si="18"/>
        <v>-2.3316062176165775E-2</v>
      </c>
      <c r="EQ13" s="52">
        <f t="shared" si="18"/>
        <v>0.23607427055702912</v>
      </c>
      <c r="ER13" s="52">
        <f t="shared" si="18"/>
        <v>0.52467811158798283</v>
      </c>
      <c r="ES13" s="53">
        <f t="shared" si="18"/>
        <v>0.4137931034482758</v>
      </c>
      <c r="ET13" s="53">
        <f t="shared" si="18"/>
        <v>1.9910403185664505E-2</v>
      </c>
      <c r="EU13" s="53">
        <f>EU11/ET11-1</f>
        <v>1.9521717911176184E-2</v>
      </c>
      <c r="EV13" s="53">
        <f>EV11/EU11-1</f>
        <v>1.9147917663953962E-2</v>
      </c>
      <c r="EW13" s="53">
        <f>EW11/EV11-1</f>
        <v>1.8788163457022167E-2</v>
      </c>
    </row>
    <row r="14" spans="1:156" s="52" customFormat="1" ht="11.25" hidden="1" customHeight="1" outlineLevel="1">
      <c r="A14" s="58" t="s">
        <v>228</v>
      </c>
      <c r="B14" s="52">
        <f t="shared" ref="B14:BM14" si="19">B11/B$5</f>
        <v>2.5712649212225859E-2</v>
      </c>
      <c r="C14" s="52">
        <f t="shared" si="19"/>
        <v>4.0865800865800862E-2</v>
      </c>
      <c r="D14" s="52">
        <f t="shared" si="19"/>
        <v>3.2651462013940639E-2</v>
      </c>
      <c r="E14" s="52">
        <f t="shared" si="19"/>
        <v>2.9301869411222828E-2</v>
      </c>
      <c r="F14" s="52">
        <f t="shared" si="19"/>
        <v>2.2010447671575988E-2</v>
      </c>
      <c r="G14" s="52">
        <f t="shared" si="19"/>
        <v>3.292650104731034E-2</v>
      </c>
      <c r="H14" s="52">
        <f t="shared" si="19"/>
        <v>3.756878857737786E-2</v>
      </c>
      <c r="I14" s="52">
        <f t="shared" si="19"/>
        <v>3.535096642929806E-2</v>
      </c>
      <c r="J14" s="52">
        <f t="shared" si="19"/>
        <v>3.9404123136032872E-2</v>
      </c>
      <c r="K14" s="52">
        <f t="shared" si="19"/>
        <v>4.2651389595757913E-2</v>
      </c>
      <c r="L14" s="52">
        <f t="shared" si="19"/>
        <v>4.6993328107737785E-2</v>
      </c>
      <c r="M14" s="52">
        <f t="shared" si="19"/>
        <v>5.0000105905502655E-2</v>
      </c>
      <c r="N14" s="52">
        <f t="shared" si="19"/>
        <v>4.9611680317012956E-2</v>
      </c>
      <c r="O14" s="52">
        <f t="shared" si="19"/>
        <v>5.2786798257250675E-2</v>
      </c>
      <c r="P14" s="52">
        <f t="shared" si="19"/>
        <v>4.6598951494498553E-2</v>
      </c>
      <c r="Q14" s="52">
        <f t="shared" si="19"/>
        <v>5.4874345956404141E-2</v>
      </c>
      <c r="R14" s="52">
        <f t="shared" si="19"/>
        <v>4.263624311890464E-2</v>
      </c>
      <c r="S14" s="52">
        <f t="shared" si="19"/>
        <v>4.3099308991461555E-2</v>
      </c>
      <c r="T14" s="52">
        <f t="shared" si="19"/>
        <v>4.2031829829538139E-2</v>
      </c>
      <c r="U14" s="52">
        <f t="shared" si="19"/>
        <v>3.7543362362574072E-2</v>
      </c>
      <c r="V14" s="52">
        <f t="shared" si="19"/>
        <v>3.5246044701799775E-2</v>
      </c>
      <c r="W14" s="52">
        <f t="shared" si="19"/>
        <v>3.5210663268942385E-2</v>
      </c>
      <c r="X14" s="52">
        <f t="shared" si="19"/>
        <v>3.0504331125117599E-2</v>
      </c>
      <c r="Y14" s="52">
        <f t="shared" si="19"/>
        <v>3.901815165558619E-2</v>
      </c>
      <c r="Z14" s="52">
        <f t="shared" si="19"/>
        <v>3.7113279954517457E-2</v>
      </c>
      <c r="AA14" s="52">
        <f t="shared" si="19"/>
        <v>3.4099863887097931E-2</v>
      </c>
      <c r="AB14" s="52">
        <f t="shared" si="19"/>
        <v>2.9607465778412816E-2</v>
      </c>
      <c r="AC14" s="52">
        <f t="shared" si="19"/>
        <v>3.0710134444139586E-2</v>
      </c>
      <c r="AD14" s="52">
        <f t="shared" si="19"/>
        <v>3.5857837952189546E-2</v>
      </c>
      <c r="AE14" s="52">
        <f t="shared" si="19"/>
        <v>5.1530454498608678E-2</v>
      </c>
      <c r="AF14" s="52">
        <f t="shared" si="19"/>
        <v>5.4920877174415558E-2</v>
      </c>
      <c r="AG14" s="52">
        <f t="shared" si="19"/>
        <v>9.9877374568732621E-2</v>
      </c>
      <c r="AH14" s="52">
        <f t="shared" si="19"/>
        <v>7.2414566619143042E-2</v>
      </c>
      <c r="AI14" s="52">
        <f t="shared" si="19"/>
        <v>6.3102045021377423E-2</v>
      </c>
      <c r="AJ14" s="52">
        <f t="shared" si="19"/>
        <v>5.3144022515350872E-2</v>
      </c>
      <c r="AK14" s="52">
        <f t="shared" si="19"/>
        <v>4.8855558541173016E-2</v>
      </c>
      <c r="AL14" s="52">
        <f t="shared" si="19"/>
        <v>4.7061677179273974E-2</v>
      </c>
      <c r="AM14" s="52">
        <f t="shared" si="19"/>
        <v>5.7411909152769697E-2</v>
      </c>
      <c r="AN14" s="52">
        <f t="shared" si="19"/>
        <v>5.5546075894169059E-2</v>
      </c>
      <c r="AO14" s="52">
        <f t="shared" si="19"/>
        <v>5.234009043566161E-2</v>
      </c>
      <c r="AP14" s="52">
        <f t="shared" si="19"/>
        <v>4.9648714864989882E-2</v>
      </c>
      <c r="AQ14" s="52">
        <f t="shared" si="19"/>
        <v>5.1311488150222767E-2</v>
      </c>
      <c r="AR14" s="52">
        <f t="shared" si="19"/>
        <v>4.9147423511977338E-2</v>
      </c>
      <c r="AS14" s="52">
        <f t="shared" si="19"/>
        <v>5.4429633421947697E-2</v>
      </c>
      <c r="AT14" s="52">
        <f t="shared" si="19"/>
        <v>5.891702356097081E-2</v>
      </c>
      <c r="AU14" s="52">
        <f t="shared" si="19"/>
        <v>5.3812711271989055E-2</v>
      </c>
      <c r="AV14" s="52">
        <f t="shared" si="19"/>
        <v>4.7460780161280948E-2</v>
      </c>
      <c r="AW14" s="52">
        <f t="shared" si="19"/>
        <v>5.2850207154743596E-2</v>
      </c>
      <c r="AX14" s="52">
        <f t="shared" si="19"/>
        <v>6.2576264298410345E-2</v>
      </c>
      <c r="AY14" s="52">
        <f t="shared" si="19"/>
        <v>6.3280388196120085E-2</v>
      </c>
      <c r="AZ14" s="52">
        <f t="shared" si="19"/>
        <v>5.951419731357812E-2</v>
      </c>
      <c r="BA14" s="52">
        <f t="shared" si="19"/>
        <v>4.7926181898903873E-2</v>
      </c>
      <c r="BB14" s="52">
        <f t="shared" si="19"/>
        <v>4.9948902190540871E-2</v>
      </c>
      <c r="BC14" s="52">
        <f t="shared" si="19"/>
        <v>5.0422370205944006E-2</v>
      </c>
      <c r="BD14" s="52">
        <f t="shared" si="19"/>
        <v>4.4883962715300207E-2</v>
      </c>
      <c r="BE14" s="52">
        <f t="shared" si="19"/>
        <v>4.398191463670139E-2</v>
      </c>
      <c r="BF14" s="52">
        <f t="shared" si="19"/>
        <v>4.6915725456125108E-2</v>
      </c>
      <c r="BG14" s="52">
        <f t="shared" si="19"/>
        <v>4.6834345186470075E-2</v>
      </c>
      <c r="BH14" s="52">
        <f t="shared" si="19"/>
        <v>3.6781609195402298E-2</v>
      </c>
      <c r="BI14" s="52">
        <f t="shared" si="19"/>
        <v>3.2833690221270521E-2</v>
      </c>
      <c r="BJ14" s="52">
        <f t="shared" si="19"/>
        <v>3.4482758620689655E-2</v>
      </c>
      <c r="BK14" s="621">
        <f t="shared" si="19"/>
        <v>3.2913165266106444E-2</v>
      </c>
      <c r="BL14" s="621">
        <f t="shared" si="19"/>
        <v>2.3952095808383235E-2</v>
      </c>
      <c r="BM14" s="52">
        <f t="shared" si="19"/>
        <v>2.1629084215370454E-2</v>
      </c>
      <c r="BN14" s="52">
        <f t="shared" ref="BN14" si="20">BN11/BN$5</f>
        <v>2.4264326277749097E-2</v>
      </c>
      <c r="BO14" s="52">
        <f>BO11/BO$5</f>
        <v>2.1973094170403589E-2</v>
      </c>
      <c r="BP14" s="52">
        <f t="shared" ref="BP14:DQ14" si="21">BP11/BP$5</f>
        <v>1.8968133535660091E-2</v>
      </c>
      <c r="BQ14" s="52">
        <f t="shared" si="21"/>
        <v>1.8206801786327723E-2</v>
      </c>
      <c r="BR14" s="52">
        <f>BR11/BR$5</f>
        <v>1.7773620205799812E-2</v>
      </c>
      <c r="BS14" s="52">
        <f t="shared" si="21"/>
        <v>1.8892090938200448E-2</v>
      </c>
      <c r="BT14" s="52">
        <f>BT11/BT$5</f>
        <v>2.1376925495127319E-2</v>
      </c>
      <c r="BU14" s="52">
        <f t="shared" si="21"/>
        <v>3.5374149659863949E-2</v>
      </c>
      <c r="BV14" s="52">
        <f t="shared" si="21"/>
        <v>4.0990990990990989E-2</v>
      </c>
      <c r="BW14" s="52">
        <f t="shared" si="21"/>
        <v>3.567274137262505E-2</v>
      </c>
      <c r="BX14" s="52">
        <f t="shared" si="21"/>
        <v>3.0524220305242204E-2</v>
      </c>
      <c r="BY14" s="52">
        <f t="shared" si="21"/>
        <v>3.4138486312399359E-2</v>
      </c>
      <c r="BZ14" s="52">
        <f t="shared" si="21"/>
        <v>3.4740259740259738E-2</v>
      </c>
      <c r="CA14" s="52">
        <f t="shared" si="21"/>
        <v>5.6647697878944643E-2</v>
      </c>
      <c r="CB14" s="52">
        <f t="shared" si="21"/>
        <v>6.3267033432077874E-2</v>
      </c>
      <c r="CC14" s="52">
        <f t="shared" si="21"/>
        <v>5.7365580651609037E-2</v>
      </c>
      <c r="CD14" s="52">
        <f t="shared" si="21"/>
        <v>4.9637873167284935E-2</v>
      </c>
      <c r="CE14" s="52">
        <f t="shared" si="21"/>
        <v>4.3952666359305365E-2</v>
      </c>
      <c r="CF14" s="52">
        <f t="shared" si="21"/>
        <v>4.1954103899760661E-2</v>
      </c>
      <c r="CG14" s="52">
        <f t="shared" si="21"/>
        <v>4.0429150856993328E-2</v>
      </c>
      <c r="CH14" s="52">
        <f t="shared" si="21"/>
        <v>4.0299227799227802E-2</v>
      </c>
      <c r="CI14" s="52">
        <f t="shared" si="21"/>
        <v>5.6384248210023864E-2</v>
      </c>
      <c r="CJ14" s="52">
        <f t="shared" si="21"/>
        <v>6.8453886359804414E-2</v>
      </c>
      <c r="CK14" s="52">
        <f t="shared" si="21"/>
        <v>7.0401586514625678E-2</v>
      </c>
      <c r="CL14" s="52">
        <f t="shared" si="21"/>
        <v>5.3392658509454953E-2</v>
      </c>
      <c r="CM14" s="52">
        <f t="shared" si="21"/>
        <v>2.7023025098097283E-2</v>
      </c>
      <c r="CN14" s="52">
        <f t="shared" si="21"/>
        <v>2.052980132450331E-2</v>
      </c>
      <c r="CO14" s="52">
        <f t="shared" si="21"/>
        <v>1.7508935438628241E-2</v>
      </c>
      <c r="CP14" s="52">
        <f t="shared" si="21"/>
        <v>1.5742589463984026E-2</v>
      </c>
      <c r="CQ14" s="52">
        <f t="shared" si="21"/>
        <v>1.4414114513981358E-2</v>
      </c>
      <c r="CR14" s="52">
        <f t="shared" si="21"/>
        <v>1.3625220911008495E-2</v>
      </c>
      <c r="CS14" s="52">
        <f t="shared" si="21"/>
        <v>1.3805903740052377E-2</v>
      </c>
      <c r="CT14" s="52">
        <f t="shared" si="21"/>
        <v>1.3866824020698108E-2</v>
      </c>
      <c r="CU14" s="52">
        <f t="shared" si="21"/>
        <v>1.4290909868857369E-2</v>
      </c>
      <c r="CV14" s="52">
        <f t="shared" si="21"/>
        <v>1.3191593867312213E-2</v>
      </c>
      <c r="CW14" s="52">
        <f>CW11/CW$5</f>
        <v>1.1904237673756366E-2</v>
      </c>
      <c r="CX14" s="52">
        <f>CX11/CX$5</f>
        <v>1.2215891686577222E-2</v>
      </c>
      <c r="CY14" s="53">
        <f t="shared" si="21"/>
        <v>1.0768439323968362E-2</v>
      </c>
      <c r="CZ14" s="53">
        <f t="shared" si="21"/>
        <v>9.1001603352042389E-3</v>
      </c>
      <c r="DA14" s="53">
        <f t="shared" si="21"/>
        <v>8.0616919532121543E-3</v>
      </c>
      <c r="DB14" s="53">
        <f t="shared" si="21"/>
        <v>7.4205568599765952E-3</v>
      </c>
      <c r="DC14" s="53">
        <f t="shared" si="21"/>
        <v>6.7925633960572726E-3</v>
      </c>
      <c r="DD14" s="53">
        <f t="shared" si="21"/>
        <v>6.1060745404643924E-3</v>
      </c>
      <c r="DE14" s="53">
        <f t="shared" si="21"/>
        <v>5.7519855861134462E-3</v>
      </c>
      <c r="DF14" s="53">
        <f t="shared" si="21"/>
        <v>5.6337815117734674E-3</v>
      </c>
      <c r="DG14" s="53">
        <f t="shared" si="21"/>
        <v>5.4916229349903775E-3</v>
      </c>
      <c r="DH14" s="53">
        <f t="shared" si="21"/>
        <v>5.1566816890999765E-3</v>
      </c>
      <c r="DI14" s="53">
        <f t="shared" si="21"/>
        <v>4.9349446473197396E-3</v>
      </c>
      <c r="DJ14" s="53">
        <f t="shared" si="21"/>
        <v>4.9232918174038996E-3</v>
      </c>
      <c r="DK14" s="53">
        <f t="shared" si="21"/>
        <v>4.8905072211506287E-3</v>
      </c>
      <c r="DL14" s="53">
        <f t="shared" si="21"/>
        <v>4.7632303816848211E-3</v>
      </c>
      <c r="DM14" s="53">
        <f t="shared" si="21"/>
        <v>4.6861938984401321E-3</v>
      </c>
      <c r="DN14" s="53">
        <f t="shared" si="21"/>
        <v>4.6306354324602821E-3</v>
      </c>
      <c r="DO14" s="53">
        <f t="shared" si="21"/>
        <v>4.5135678705293791E-3</v>
      </c>
      <c r="DP14" s="53">
        <f t="shared" si="21"/>
        <v>4.276461798235107E-3</v>
      </c>
      <c r="DQ14" s="53">
        <f t="shared" si="21"/>
        <v>4.1294425121912942E-3</v>
      </c>
      <c r="DT14" s="52">
        <f>DT11/DT$5</f>
        <v>3.1757518048940066E-2</v>
      </c>
      <c r="DU14" s="52">
        <f t="shared" ref="DU14:EW14" si="22">DU11/DU$5</f>
        <v>3.1146841069573186E-2</v>
      </c>
      <c r="DV14" s="52">
        <f t="shared" si="22"/>
        <v>4.4990934998038884E-2</v>
      </c>
      <c r="DW14" s="52">
        <f t="shared" si="22"/>
        <v>5.1042445571789122E-2</v>
      </c>
      <c r="DX14" s="52">
        <f t="shared" si="22"/>
        <v>4.1241544024949416E-2</v>
      </c>
      <c r="DY14" s="52">
        <f t="shared" si="22"/>
        <v>3.5050513707278907E-2</v>
      </c>
      <c r="DZ14" s="52">
        <f t="shared" si="22"/>
        <v>3.2502818544313368E-2</v>
      </c>
      <c r="EA14" s="52">
        <f t="shared" si="22"/>
        <v>5.3933023228109542E-2</v>
      </c>
      <c r="EB14" s="52">
        <f t="shared" si="22"/>
        <v>5.8049960242841835E-2</v>
      </c>
      <c r="EC14" s="52">
        <f t="shared" si="22"/>
        <v>5.2772422614002897E-2</v>
      </c>
      <c r="ED14" s="52">
        <f t="shared" si="22"/>
        <v>5.1077682700797669E-2</v>
      </c>
      <c r="EE14" s="52">
        <f t="shared" si="22"/>
        <v>5.2879811240657187E-2</v>
      </c>
      <c r="EF14" s="52">
        <f t="shared" si="22"/>
        <v>5.7902813497388232E-2</v>
      </c>
      <c r="EG14" s="52">
        <f t="shared" si="22"/>
        <v>4.7140803164451107E-2</v>
      </c>
      <c r="EH14" s="52">
        <f t="shared" si="22"/>
        <v>4.0319361277445107E-2</v>
      </c>
      <c r="EI14" s="52">
        <f t="shared" si="22"/>
        <v>2.7062228654124457E-2</v>
      </c>
      <c r="EJ14" s="52">
        <f t="shared" si="22"/>
        <v>2.0485896644018942E-2</v>
      </c>
      <c r="EK14" s="52">
        <f t="shared" si="22"/>
        <v>2.2362581085694777E-2</v>
      </c>
      <c r="EL14" s="52">
        <f t="shared" si="22"/>
        <v>3.4896501190694269E-2</v>
      </c>
      <c r="EM14" s="52">
        <f t="shared" si="22"/>
        <v>5.4692653673163422E-2</v>
      </c>
      <c r="EN14" s="52">
        <f t="shared" si="22"/>
        <v>4.362042059894479E-2</v>
      </c>
      <c r="EO14" s="52">
        <f t="shared" si="22"/>
        <v>5.7240305479350488E-2</v>
      </c>
      <c r="EP14" s="52">
        <f t="shared" si="22"/>
        <v>2.4752962804898065E-2</v>
      </c>
      <c r="EQ14" s="52">
        <f t="shared" si="22"/>
        <v>1.4283853268657517E-2</v>
      </c>
      <c r="ER14" s="52">
        <f t="shared" si="22"/>
        <v>1.3161185154998194E-2</v>
      </c>
      <c r="ES14" s="53">
        <f t="shared" si="22"/>
        <v>9.7796286169847431E-3</v>
      </c>
      <c r="ET14" s="53">
        <f t="shared" si="22"/>
        <v>6.4523255898909938E-3</v>
      </c>
      <c r="EU14" s="53">
        <f t="shared" si="22"/>
        <v>5.2884542682083164E-3</v>
      </c>
      <c r="EV14" s="53">
        <f t="shared" si="22"/>
        <v>4.8133996180172991E-3</v>
      </c>
      <c r="EW14" s="53">
        <f t="shared" si="22"/>
        <v>4.3777159492249902E-3</v>
      </c>
    </row>
    <row r="15" spans="1:156" s="49" customFormat="1" ht="11.25" customHeight="1" collapsed="1">
      <c r="A15" s="619" t="s">
        <v>229</v>
      </c>
      <c r="B15" s="35">
        <f t="shared" ref="B15:BM15" si="23">B5-B8-B11</f>
        <v>94.22</v>
      </c>
      <c r="C15" s="35">
        <f t="shared" si="23"/>
        <v>102.239</v>
      </c>
      <c r="D15" s="35">
        <f t="shared" si="23"/>
        <v>133.46799999999999</v>
      </c>
      <c r="E15" s="35">
        <f t="shared" si="23"/>
        <v>189.31099999999998</v>
      </c>
      <c r="F15" s="35">
        <f t="shared" si="23"/>
        <v>207.16499999999994</v>
      </c>
      <c r="G15" s="35">
        <f t="shared" si="23"/>
        <v>120.30200000000004</v>
      </c>
      <c r="H15" s="35">
        <f t="shared" si="23"/>
        <v>108.19799999999998</v>
      </c>
      <c r="I15" s="35">
        <f t="shared" si="23"/>
        <v>127.14599999999997</v>
      </c>
      <c r="J15" s="35">
        <f t="shared" si="23"/>
        <v>126.56800000000001</v>
      </c>
      <c r="K15" s="35">
        <f t="shared" si="23"/>
        <v>129.97399999999999</v>
      </c>
      <c r="L15" s="35">
        <f t="shared" si="23"/>
        <v>134.13100000000003</v>
      </c>
      <c r="M15" s="35">
        <f t="shared" si="23"/>
        <v>138.20500000000004</v>
      </c>
      <c r="N15" s="35">
        <f t="shared" si="23"/>
        <v>148.83599999999993</v>
      </c>
      <c r="O15" s="35">
        <f t="shared" si="23"/>
        <v>140.09299999999996</v>
      </c>
      <c r="P15" s="35">
        <f t="shared" si="23"/>
        <v>166.74200000000002</v>
      </c>
      <c r="Q15" s="35">
        <f t="shared" si="23"/>
        <v>193.815</v>
      </c>
      <c r="R15" s="35">
        <f t="shared" si="23"/>
        <v>210.15300000000005</v>
      </c>
      <c r="S15" s="35">
        <f t="shared" si="23"/>
        <v>217.53399999999999</v>
      </c>
      <c r="T15" s="35">
        <f t="shared" si="23"/>
        <v>228.16799999999995</v>
      </c>
      <c r="U15" s="35">
        <f t="shared" si="23"/>
        <v>254.94000000000005</v>
      </c>
      <c r="V15" s="35">
        <f t="shared" si="23"/>
        <v>288.673</v>
      </c>
      <c r="W15" s="35">
        <f t="shared" si="23"/>
        <v>292.12800000000004</v>
      </c>
      <c r="X15" s="35">
        <f t="shared" si="23"/>
        <v>349.94200000000001</v>
      </c>
      <c r="Y15" s="35">
        <f t="shared" si="23"/>
        <v>385.70600000000002</v>
      </c>
      <c r="Z15" s="35">
        <f t="shared" si="23"/>
        <v>380.13799999999998</v>
      </c>
      <c r="AA15" s="35">
        <f t="shared" si="23"/>
        <v>423.99200000000002</v>
      </c>
      <c r="AB15" s="35">
        <f t="shared" si="23"/>
        <v>515.553</v>
      </c>
      <c r="AC15" s="35">
        <f t="shared" si="23"/>
        <v>549.59699999999998</v>
      </c>
      <c r="AD15" s="35">
        <f t="shared" si="23"/>
        <v>514.84299999999996</v>
      </c>
      <c r="AE15" s="35">
        <f t="shared" si="23"/>
        <v>345.87099999999998</v>
      </c>
      <c r="AF15" s="35">
        <f t="shared" si="23"/>
        <v>318.54299999999995</v>
      </c>
      <c r="AG15" s="35">
        <f t="shared" si="23"/>
        <v>141.666</v>
      </c>
      <c r="AH15" s="35">
        <f t="shared" si="23"/>
        <v>201.10800000000003</v>
      </c>
      <c r="AI15" s="35">
        <f t="shared" si="23"/>
        <v>276.71599999999995</v>
      </c>
      <c r="AJ15" s="35">
        <f t="shared" si="23"/>
        <v>367.66800000000001</v>
      </c>
      <c r="AK15" s="35">
        <f t="shared" si="23"/>
        <v>438.721</v>
      </c>
      <c r="AL15" s="35">
        <f t="shared" si="23"/>
        <v>456.37699999999995</v>
      </c>
      <c r="AM15" s="35">
        <f t="shared" si="23"/>
        <v>315.4849999999999</v>
      </c>
      <c r="AN15" s="35">
        <f t="shared" si="23"/>
        <v>392.06200000000001</v>
      </c>
      <c r="AO15" s="35">
        <f t="shared" si="23"/>
        <v>426.35899999999998</v>
      </c>
      <c r="AP15" s="35">
        <f t="shared" si="23"/>
        <v>484.50300000000004</v>
      </c>
      <c r="AQ15" s="35">
        <f t="shared" si="23"/>
        <v>525.28399999999999</v>
      </c>
      <c r="AR15" s="35">
        <f t="shared" si="23"/>
        <v>556.71699999999998</v>
      </c>
      <c r="AS15" s="35">
        <f t="shared" si="23"/>
        <v>497.31299999999993</v>
      </c>
      <c r="AT15" s="35">
        <f t="shared" si="23"/>
        <v>463.36400000000003</v>
      </c>
      <c r="AU15" s="35">
        <f t="shared" si="23"/>
        <v>540.71899999999994</v>
      </c>
      <c r="AV15" s="35">
        <f t="shared" si="23"/>
        <v>636.6579999999999</v>
      </c>
      <c r="AW15" s="35">
        <f t="shared" si="23"/>
        <v>585.60200000000009</v>
      </c>
      <c r="AX15" s="35">
        <f t="shared" si="23"/>
        <v>518.56799999999998</v>
      </c>
      <c r="AY15" s="35">
        <f t="shared" si="23"/>
        <v>547.82800000000009</v>
      </c>
      <c r="AZ15" s="35">
        <f t="shared" si="23"/>
        <v>584.41500000000008</v>
      </c>
      <c r="BA15" s="35">
        <f t="shared" si="23"/>
        <v>612.91000000000008</v>
      </c>
      <c r="BB15" s="35">
        <f t="shared" si="23"/>
        <v>604.20200000000011</v>
      </c>
      <c r="BC15" s="35">
        <f t="shared" si="23"/>
        <v>618.97400000000005</v>
      </c>
      <c r="BD15" s="35">
        <f t="shared" si="23"/>
        <v>676.69800000000009</v>
      </c>
      <c r="BE15" s="35">
        <f t="shared" si="23"/>
        <v>699.60299999999995</v>
      </c>
      <c r="BF15" s="35">
        <f t="shared" si="23"/>
        <v>653</v>
      </c>
      <c r="BG15" s="35">
        <f t="shared" si="23"/>
        <v>649</v>
      </c>
      <c r="BH15" s="35">
        <f t="shared" si="23"/>
        <v>734</v>
      </c>
      <c r="BI15" s="35">
        <f t="shared" si="23"/>
        <v>796</v>
      </c>
      <c r="BJ15" s="35">
        <f t="shared" si="23"/>
        <v>761</v>
      </c>
      <c r="BK15" s="620">
        <f t="shared" si="23"/>
        <v>826</v>
      </c>
      <c r="BL15" s="620">
        <f t="shared" si="23"/>
        <v>1183</v>
      </c>
      <c r="BM15" s="35">
        <f t="shared" si="23"/>
        <v>1303</v>
      </c>
      <c r="BN15" s="35">
        <f t="shared" ref="BN15:CS15" si="24">BN5-BN8-BN11</f>
        <v>1150</v>
      </c>
      <c r="BO15" s="35">
        <f t="shared" si="24"/>
        <v>1302</v>
      </c>
      <c r="BP15" s="35">
        <f t="shared" si="24"/>
        <v>1569</v>
      </c>
      <c r="BQ15" s="35">
        <f t="shared" si="24"/>
        <v>1802</v>
      </c>
      <c r="BR15" s="35">
        <f t="shared" si="24"/>
        <v>2068</v>
      </c>
      <c r="BS15" s="35">
        <f t="shared" si="24"/>
        <v>1975</v>
      </c>
      <c r="BT15" s="35">
        <f t="shared" si="24"/>
        <v>1935</v>
      </c>
      <c r="BU15" s="35">
        <f t="shared" si="24"/>
        <v>1228</v>
      </c>
      <c r="BV15" s="35">
        <f t="shared" si="24"/>
        <v>1306</v>
      </c>
      <c r="BW15" s="35">
        <f t="shared" si="24"/>
        <v>1543</v>
      </c>
      <c r="BX15" s="35">
        <f t="shared" si="24"/>
        <v>1916</v>
      </c>
      <c r="BY15" s="35">
        <f t="shared" si="24"/>
        <v>2018</v>
      </c>
      <c r="BZ15" s="35">
        <f t="shared" si="24"/>
        <v>2005</v>
      </c>
      <c r="CA15" s="35">
        <f t="shared" si="24"/>
        <v>2537</v>
      </c>
      <c r="CB15" s="35">
        <f t="shared" si="24"/>
        <v>3067</v>
      </c>
      <c r="CC15" s="35">
        <f t="shared" si="24"/>
        <v>3250</v>
      </c>
      <c r="CD15" s="35">
        <f t="shared" si="24"/>
        <v>3721</v>
      </c>
      <c r="CE15" s="35">
        <f t="shared" si="24"/>
        <v>4305</v>
      </c>
      <c r="CF15" s="35">
        <f t="shared" si="24"/>
        <v>4717</v>
      </c>
      <c r="CG15" s="35">
        <f t="shared" si="24"/>
        <v>5085</v>
      </c>
      <c r="CH15" s="35">
        <f t="shared" si="24"/>
        <v>5525</v>
      </c>
      <c r="CI15" s="35">
        <f t="shared" si="24"/>
        <v>3036</v>
      </c>
      <c r="CJ15" s="35">
        <f t="shared" si="24"/>
        <v>3297</v>
      </c>
      <c r="CK15" s="35">
        <f t="shared" si="24"/>
        <v>3969</v>
      </c>
      <c r="CL15" s="35">
        <f t="shared" si="24"/>
        <v>4775</v>
      </c>
      <c r="CM15" s="35">
        <f t="shared" si="24"/>
        <v>9583</v>
      </c>
      <c r="CN15" s="35">
        <f t="shared" si="24"/>
        <v>13545</v>
      </c>
      <c r="CO15" s="35">
        <f t="shared" si="24"/>
        <v>16914</v>
      </c>
      <c r="CP15" s="35">
        <f t="shared" si="24"/>
        <v>20524</v>
      </c>
      <c r="CQ15" s="35">
        <f t="shared" si="24"/>
        <v>22689</v>
      </c>
      <c r="CR15" s="35">
        <f t="shared" si="24"/>
        <v>26272</v>
      </c>
      <c r="CS15" s="35">
        <f t="shared" si="24"/>
        <v>28841</v>
      </c>
      <c r="CT15" s="35">
        <f>CT5-CT8-CT11</f>
        <v>26794</v>
      </c>
      <c r="CU15" s="35">
        <f>CU5-CU8-CU11</f>
        <v>33902</v>
      </c>
      <c r="CV15" s="35">
        <f>CV5-CV8-CV11</f>
        <v>41897</v>
      </c>
      <c r="CW15" s="35">
        <f>CW5-CW8-CW11</f>
        <v>51140</v>
      </c>
      <c r="CX15" s="35">
        <f>CX5-CX8-CX11</f>
        <v>61232</v>
      </c>
      <c r="CY15" s="48">
        <f>CY156</f>
        <v>69762.329024745879</v>
      </c>
      <c r="CZ15" s="48">
        <f>CZ156</f>
        <v>82897.341310481555</v>
      </c>
      <c r="DA15" s="48">
        <f>DA156</f>
        <v>94138.734017705268</v>
      </c>
      <c r="DB15" s="48">
        <f t="shared" ref="DB15:DQ15" si="25">DB156</f>
        <v>102911.14313286307</v>
      </c>
      <c r="DC15" s="48">
        <f t="shared" si="25"/>
        <v>113026.68517125474</v>
      </c>
      <c r="DD15" s="48">
        <f t="shared" si="25"/>
        <v>126402.8754569263</v>
      </c>
      <c r="DE15" s="48">
        <f t="shared" si="25"/>
        <v>134889.8051535016</v>
      </c>
      <c r="DF15" s="48">
        <f t="shared" si="25"/>
        <v>138478.6508492351</v>
      </c>
      <c r="DG15" s="48">
        <f t="shared" si="25"/>
        <v>142728.58288522091</v>
      </c>
      <c r="DH15" s="48">
        <f t="shared" si="25"/>
        <v>152727.92493096041</v>
      </c>
      <c r="DI15" s="48">
        <f t="shared" si="25"/>
        <v>160362.35926204207</v>
      </c>
      <c r="DJ15" s="48">
        <f t="shared" si="25"/>
        <v>161580.81841010327</v>
      </c>
      <c r="DK15" s="48">
        <f t="shared" si="25"/>
        <v>163390.34211770399</v>
      </c>
      <c r="DL15" s="48">
        <f t="shared" si="25"/>
        <v>168500.16568506835</v>
      </c>
      <c r="DM15" s="48">
        <f t="shared" si="25"/>
        <v>172044.64989220275</v>
      </c>
      <c r="DN15" s="48">
        <f t="shared" si="25"/>
        <v>175013.30682541861</v>
      </c>
      <c r="DO15" s="48">
        <f t="shared" si="25"/>
        <v>180363.14381941789</v>
      </c>
      <c r="DP15" s="48">
        <f t="shared" si="25"/>
        <v>191231.66255754282</v>
      </c>
      <c r="DQ15" s="48">
        <f t="shared" si="25"/>
        <v>198946.16427741846</v>
      </c>
      <c r="DT15" s="35">
        <f>SUM(B15:E15)</f>
        <v>519.23800000000006</v>
      </c>
      <c r="DU15" s="35">
        <f>SUM(F15:I15)</f>
        <v>562.81099999999992</v>
      </c>
      <c r="DV15" s="35">
        <f>SUM(J15:M15)</f>
        <v>528.87800000000016</v>
      </c>
      <c r="DW15" s="35">
        <f>SUM(N15:Q15)</f>
        <v>649.48599999999988</v>
      </c>
      <c r="DX15" s="35">
        <f>SUM(R15:U15)</f>
        <v>910.79500000000007</v>
      </c>
      <c r="DY15" s="35">
        <f>SUM(V15:Y15)</f>
        <v>1316.4490000000001</v>
      </c>
      <c r="DZ15" s="35">
        <f>SUM(Z15:AC15)</f>
        <v>1869.28</v>
      </c>
      <c r="EA15" s="35">
        <f>SUM(AD15:AG15)</f>
        <v>1320.9229999999998</v>
      </c>
      <c r="EB15" s="35">
        <f>SUM(AH15:AK15)</f>
        <v>1284.213</v>
      </c>
      <c r="EC15" s="35">
        <f>SUM(AL15:AO15)</f>
        <v>1590.2829999999999</v>
      </c>
      <c r="ED15" s="35">
        <f>SUM(AP15:AS15)</f>
        <v>2063.817</v>
      </c>
      <c r="EE15" s="35">
        <f>SUM(AT15:AW15)</f>
        <v>2226.3429999999998</v>
      </c>
      <c r="EF15" s="35">
        <f>SUM(AX15:BA15)</f>
        <v>2263.7210000000005</v>
      </c>
      <c r="EG15" s="35">
        <f>SUM(BB15:BE15)</f>
        <v>2599.4770000000003</v>
      </c>
      <c r="EH15" s="35">
        <f>SUM(BF15:BI15)</f>
        <v>2832</v>
      </c>
      <c r="EI15" s="35">
        <f>SUM(BJ15:BM15)</f>
        <v>4073</v>
      </c>
      <c r="EJ15" s="35">
        <f>SUM(BN15:BQ15)</f>
        <v>5823</v>
      </c>
      <c r="EK15" s="35">
        <f>SUM(BR15:BU15)</f>
        <v>7206</v>
      </c>
      <c r="EL15" s="35">
        <f>BV15+BW15+BX15+BY15</f>
        <v>6783</v>
      </c>
      <c r="EM15" s="35">
        <f>CC15+CB15+CA15+BZ15</f>
        <v>10859</v>
      </c>
      <c r="EN15" s="35">
        <f>+CD15+CE15+CF15+CG15</f>
        <v>17828</v>
      </c>
      <c r="EO15" s="35">
        <f>SUM(CH15:CK15)</f>
        <v>15827</v>
      </c>
      <c r="EP15" s="35">
        <f>SUM(CL15:CO15)</f>
        <v>44817</v>
      </c>
      <c r="EQ15" s="35">
        <f>SUM(CP15:CS15)</f>
        <v>98326</v>
      </c>
      <c r="ER15" s="35">
        <f>SUM(CT15:CW15)</f>
        <v>153733</v>
      </c>
      <c r="ES15" s="48">
        <f>SUM(CX15:DA15)</f>
        <v>308030.4043529327</v>
      </c>
      <c r="ET15" s="48">
        <f>SUM(DB15:DE15)</f>
        <v>477230.50891454564</v>
      </c>
      <c r="EU15" s="48">
        <f>SUM(DF15:DI15)</f>
        <v>594297.51792745851</v>
      </c>
      <c r="EV15" s="48">
        <f>SUM(DJ15:DM15)</f>
        <v>665515.97610507836</v>
      </c>
      <c r="EW15" s="48">
        <f>SUM(DN15:DQ15)</f>
        <v>745554.27747979783</v>
      </c>
    </row>
    <row r="16" spans="1:156" s="52" customFormat="1" ht="11.25" customHeight="1">
      <c r="A16" s="51" t="s">
        <v>223</v>
      </c>
      <c r="C16" s="52">
        <f t="shared" ref="C16:BN16" si="26">C15/B15-1</f>
        <v>8.5109318616005236E-2</v>
      </c>
      <c r="D16" s="52">
        <f t="shared" si="26"/>
        <v>0.3054509531587748</v>
      </c>
      <c r="E16" s="52">
        <f t="shared" si="26"/>
        <v>0.41839991608475424</v>
      </c>
      <c r="F16" s="52">
        <f t="shared" si="26"/>
        <v>9.4310420419309704E-2</v>
      </c>
      <c r="G16" s="52">
        <f t="shared" si="26"/>
        <v>-0.41929379962831526</v>
      </c>
      <c r="H16" s="52">
        <f t="shared" si="26"/>
        <v>-0.10061345613539308</v>
      </c>
      <c r="I16" s="52">
        <f t="shared" si="26"/>
        <v>0.17512338490545099</v>
      </c>
      <c r="J16" s="52">
        <f t="shared" si="26"/>
        <v>-4.5459550438076146E-3</v>
      </c>
      <c r="K16" s="52">
        <f t="shared" si="26"/>
        <v>2.6910435497123908E-2</v>
      </c>
      <c r="L16" s="52">
        <f t="shared" si="26"/>
        <v>3.1983319740871652E-2</v>
      </c>
      <c r="M16" s="52">
        <f t="shared" si="26"/>
        <v>3.0373291781914835E-2</v>
      </c>
      <c r="N16" s="52">
        <f t="shared" si="26"/>
        <v>7.6921963749501776E-2</v>
      </c>
      <c r="O16" s="52">
        <f t="shared" si="26"/>
        <v>-5.8742508532881654E-2</v>
      </c>
      <c r="P16" s="52">
        <f t="shared" si="26"/>
        <v>0.19022363715531876</v>
      </c>
      <c r="Q16" s="52">
        <f t="shared" si="26"/>
        <v>0.16236461119573931</v>
      </c>
      <c r="R16" s="52">
        <f t="shared" si="26"/>
        <v>8.4296881046358907E-2</v>
      </c>
      <c r="S16" s="52">
        <f t="shared" si="26"/>
        <v>3.5122030139945304E-2</v>
      </c>
      <c r="T16" s="52">
        <f t="shared" si="26"/>
        <v>4.8884312337381441E-2</v>
      </c>
      <c r="U16" s="52">
        <f t="shared" si="26"/>
        <v>0.11733459556116599</v>
      </c>
      <c r="V16" s="52">
        <f t="shared" si="26"/>
        <v>0.13231740801757264</v>
      </c>
      <c r="W16" s="52">
        <f t="shared" si="26"/>
        <v>1.1968559581256422E-2</v>
      </c>
      <c r="X16" s="52">
        <f t="shared" si="26"/>
        <v>0.19790639719574976</v>
      </c>
      <c r="Y16" s="52">
        <f t="shared" si="26"/>
        <v>0.1021997931085723</v>
      </c>
      <c r="Z16" s="52">
        <f t="shared" si="26"/>
        <v>-1.4435865659336522E-2</v>
      </c>
      <c r="AA16" s="52">
        <f t="shared" si="26"/>
        <v>0.11536336804002767</v>
      </c>
      <c r="AB16" s="52">
        <f t="shared" si="26"/>
        <v>0.21594982924206119</v>
      </c>
      <c r="AC16" s="52">
        <f t="shared" si="26"/>
        <v>6.6033948013104249E-2</v>
      </c>
      <c r="AD16" s="52">
        <f t="shared" si="26"/>
        <v>-6.3235425229759334E-2</v>
      </c>
      <c r="AE16" s="52">
        <f t="shared" si="26"/>
        <v>-0.32820102438995968</v>
      </c>
      <c r="AF16" s="52">
        <f t="shared" si="26"/>
        <v>-7.9012117234460333E-2</v>
      </c>
      <c r="AG16" s="52">
        <f t="shared" si="26"/>
        <v>-0.55526883340710675</v>
      </c>
      <c r="AH16" s="52">
        <f t="shared" si="26"/>
        <v>0.41959256278853108</v>
      </c>
      <c r="AI16" s="52">
        <f t="shared" si="26"/>
        <v>0.37595719712791098</v>
      </c>
      <c r="AJ16" s="52">
        <f t="shared" si="26"/>
        <v>0.32868356003989674</v>
      </c>
      <c r="AK16" s="52">
        <f t="shared" si="26"/>
        <v>0.19325315230044504</v>
      </c>
      <c r="AL16" s="52">
        <f t="shared" si="26"/>
        <v>4.0244255460759604E-2</v>
      </c>
      <c r="AM16" s="52">
        <f t="shared" si="26"/>
        <v>-0.30871844987806152</v>
      </c>
      <c r="AN16" s="52">
        <f t="shared" si="26"/>
        <v>0.24272786344834185</v>
      </c>
      <c r="AO16" s="52">
        <f t="shared" si="26"/>
        <v>8.7478511051823249E-2</v>
      </c>
      <c r="AP16" s="52">
        <f t="shared" si="26"/>
        <v>0.13637333796167095</v>
      </c>
      <c r="AQ16" s="52">
        <f t="shared" si="26"/>
        <v>8.4170789448156036E-2</v>
      </c>
      <c r="AR16" s="52">
        <f t="shared" si="26"/>
        <v>5.9840010356302376E-2</v>
      </c>
      <c r="AS16" s="52">
        <f t="shared" si="26"/>
        <v>-0.10670412435761811</v>
      </c>
      <c r="AT16" s="52">
        <f t="shared" si="26"/>
        <v>-6.8264855332556995E-2</v>
      </c>
      <c r="AU16" s="52">
        <f t="shared" si="26"/>
        <v>0.16694218799906757</v>
      </c>
      <c r="AV16" s="52">
        <f t="shared" si="26"/>
        <v>0.17742857195696837</v>
      </c>
      <c r="AW16" s="52">
        <f t="shared" si="26"/>
        <v>-8.0193761799898566E-2</v>
      </c>
      <c r="AX16" s="52">
        <f t="shared" si="26"/>
        <v>-0.11447023746503615</v>
      </c>
      <c r="AY16" s="52">
        <f t="shared" si="26"/>
        <v>5.6424615479551576E-2</v>
      </c>
      <c r="AZ16" s="52">
        <f t="shared" si="26"/>
        <v>6.678556043137629E-2</v>
      </c>
      <c r="BA16" s="52">
        <f t="shared" si="26"/>
        <v>4.8758159869271012E-2</v>
      </c>
      <c r="BB16" s="52">
        <f t="shared" si="26"/>
        <v>-1.4207632441957219E-2</v>
      </c>
      <c r="BC16" s="52">
        <f t="shared" si="26"/>
        <v>2.4448777064624005E-2</v>
      </c>
      <c r="BD16" s="52">
        <f t="shared" si="26"/>
        <v>9.3257552013493283E-2</v>
      </c>
      <c r="BE16" s="52">
        <f t="shared" si="26"/>
        <v>3.3848186340139641E-2</v>
      </c>
      <c r="BF16" s="52">
        <f t="shared" si="26"/>
        <v>-6.6613493652828759E-2</v>
      </c>
      <c r="BG16" s="52">
        <f t="shared" si="26"/>
        <v>-6.1255742725880857E-3</v>
      </c>
      <c r="BH16" s="52">
        <f t="shared" si="26"/>
        <v>0.13097072419106315</v>
      </c>
      <c r="BI16" s="52">
        <f t="shared" si="26"/>
        <v>8.4468664850136266E-2</v>
      </c>
      <c r="BJ16" s="52">
        <f t="shared" si="26"/>
        <v>-4.3969849246231152E-2</v>
      </c>
      <c r="BK16" s="621">
        <f t="shared" si="26"/>
        <v>8.5413929040735859E-2</v>
      </c>
      <c r="BL16" s="621">
        <f t="shared" si="26"/>
        <v>0.43220338983050843</v>
      </c>
      <c r="BM16" s="52">
        <f>BM15/BL15-1</f>
        <v>0.10143702451394754</v>
      </c>
      <c r="BN16" s="52">
        <f t="shared" si="26"/>
        <v>-0.11742133537989252</v>
      </c>
      <c r="BO16" s="52">
        <f t="shared" ref="BO16:DQ16" si="27">BO15/BN15-1</f>
        <v>0.13217391304347825</v>
      </c>
      <c r="BP16" s="52">
        <f t="shared" si="27"/>
        <v>0.20506912442396308</v>
      </c>
      <c r="BQ16" s="52">
        <f t="shared" si="27"/>
        <v>0.14850223072020396</v>
      </c>
      <c r="BR16" s="52">
        <f t="shared" si="27"/>
        <v>0.14761376248612645</v>
      </c>
      <c r="BS16" s="52">
        <f t="shared" si="27"/>
        <v>-4.4970986460348139E-2</v>
      </c>
      <c r="BT16" s="52">
        <f t="shared" si="27"/>
        <v>-2.0253164556962022E-2</v>
      </c>
      <c r="BU16" s="52">
        <f t="shared" si="27"/>
        <v>-0.36537467700258397</v>
      </c>
      <c r="BV16" s="52">
        <f t="shared" si="27"/>
        <v>6.3517915309446282E-2</v>
      </c>
      <c r="BW16" s="52">
        <f t="shared" si="27"/>
        <v>0.1814701378254211</v>
      </c>
      <c r="BX16" s="52">
        <f t="shared" si="27"/>
        <v>0.24173687621516526</v>
      </c>
      <c r="BY16" s="52">
        <f t="shared" si="27"/>
        <v>5.323590814196244E-2</v>
      </c>
      <c r="BZ16" s="52">
        <f t="shared" si="27"/>
        <v>-6.4420218037660737E-3</v>
      </c>
      <c r="CA16" s="52">
        <f t="shared" si="27"/>
        <v>0.2653366583541148</v>
      </c>
      <c r="CB16" s="52">
        <f t="shared" si="27"/>
        <v>0.20890815924320072</v>
      </c>
      <c r="CC16" s="52">
        <f t="shared" si="27"/>
        <v>5.9667427453537591E-2</v>
      </c>
      <c r="CD16" s="52">
        <f t="shared" si="27"/>
        <v>0.14492307692307693</v>
      </c>
      <c r="CE16" s="52">
        <f t="shared" si="27"/>
        <v>0.15694705724267677</v>
      </c>
      <c r="CF16" s="52">
        <f t="shared" si="27"/>
        <v>9.5702671312427379E-2</v>
      </c>
      <c r="CG16" s="52">
        <f t="shared" si="27"/>
        <v>7.8015687937248224E-2</v>
      </c>
      <c r="CH16" s="52">
        <f t="shared" si="27"/>
        <v>8.6529006882989146E-2</v>
      </c>
      <c r="CI16" s="52">
        <f t="shared" si="27"/>
        <v>-0.45049773755656108</v>
      </c>
      <c r="CJ16" s="52">
        <f t="shared" si="27"/>
        <v>8.5968379446640375E-2</v>
      </c>
      <c r="CK16" s="52">
        <f t="shared" si="27"/>
        <v>0.20382165605095537</v>
      </c>
      <c r="CL16" s="52">
        <f t="shared" si="27"/>
        <v>0.20307382212144121</v>
      </c>
      <c r="CM16" s="52">
        <f t="shared" si="27"/>
        <v>1.0069109947643979</v>
      </c>
      <c r="CN16" s="52">
        <f t="shared" si="27"/>
        <v>0.41344046749452157</v>
      </c>
      <c r="CO16" s="52">
        <f t="shared" si="27"/>
        <v>0.24872646733111847</v>
      </c>
      <c r="CP16" s="52">
        <f t="shared" si="27"/>
        <v>0.21343265933546185</v>
      </c>
      <c r="CQ16" s="52">
        <f t="shared" si="27"/>
        <v>0.10548625998830641</v>
      </c>
      <c r="CR16" s="52">
        <f t="shared" si="27"/>
        <v>0.1579179338005201</v>
      </c>
      <c r="CS16" s="52">
        <f t="shared" si="27"/>
        <v>9.7784713763702902E-2</v>
      </c>
      <c r="CT16" s="52">
        <f t="shared" si="27"/>
        <v>-7.0975347595436999E-2</v>
      </c>
      <c r="CU16" s="52">
        <f t="shared" si="27"/>
        <v>0.26528327237441207</v>
      </c>
      <c r="CV16" s="52">
        <f t="shared" si="27"/>
        <v>0.2358267948793582</v>
      </c>
      <c r="CW16" s="52">
        <f t="shared" si="27"/>
        <v>0.22061245435234023</v>
      </c>
      <c r="CX16" s="52">
        <f t="shared" si="27"/>
        <v>0.19734063355494724</v>
      </c>
      <c r="CY16" s="53">
        <f t="shared" si="27"/>
        <v>0.13931161851231177</v>
      </c>
      <c r="CZ16" s="53">
        <f t="shared" si="27"/>
        <v>0.18828230750548003</v>
      </c>
      <c r="DA16" s="53">
        <f t="shared" si="27"/>
        <v>0.13560619109749839</v>
      </c>
      <c r="DB16" s="53">
        <f t="shared" si="27"/>
        <v>9.3185968631232186E-2</v>
      </c>
      <c r="DC16" s="53">
        <f t="shared" si="27"/>
        <v>9.8293943011905194E-2</v>
      </c>
      <c r="DD16" s="53">
        <f t="shared" si="27"/>
        <v>0.11834541785777719</v>
      </c>
      <c r="DE16" s="53">
        <f t="shared" si="27"/>
        <v>6.7141903741480657E-2</v>
      </c>
      <c r="DF16" s="53">
        <f t="shared" si="27"/>
        <v>2.6605759357791969E-2</v>
      </c>
      <c r="DG16" s="53">
        <f t="shared" si="27"/>
        <v>3.0690160612647954E-2</v>
      </c>
      <c r="DH16" s="53">
        <f t="shared" si="27"/>
        <v>7.0058441298900487E-2</v>
      </c>
      <c r="DI16" s="53">
        <f t="shared" si="27"/>
        <v>4.998715417977917E-2</v>
      </c>
      <c r="DJ16" s="53">
        <f t="shared" si="27"/>
        <v>7.5981617735503271E-3</v>
      </c>
      <c r="DK16" s="53">
        <f t="shared" si="27"/>
        <v>1.1198876979370276E-2</v>
      </c>
      <c r="DL16" s="53">
        <f t="shared" si="27"/>
        <v>3.1273718514423177E-2</v>
      </c>
      <c r="DM16" s="53">
        <f t="shared" si="27"/>
        <v>2.1035493898321489E-2</v>
      </c>
      <c r="DN16" s="53">
        <f t="shared" si="27"/>
        <v>1.7255154025864305E-2</v>
      </c>
      <c r="DO16" s="53">
        <f t="shared" si="27"/>
        <v>3.0568172735207622E-2</v>
      </c>
      <c r="DP16" s="53">
        <f t="shared" si="27"/>
        <v>6.0259089013255718E-2</v>
      </c>
      <c r="DQ16" s="53">
        <f t="shared" si="27"/>
        <v>4.0341131885282211E-2</v>
      </c>
      <c r="DT16" s="54" t="s">
        <v>224</v>
      </c>
      <c r="DU16" s="54" t="s">
        <v>224</v>
      </c>
      <c r="DV16" s="54" t="s">
        <v>224</v>
      </c>
      <c r="DW16" s="54" t="s">
        <v>224</v>
      </c>
      <c r="DX16" s="54" t="s">
        <v>224</v>
      </c>
      <c r="DY16" s="54" t="s">
        <v>224</v>
      </c>
      <c r="DZ16" s="54" t="s">
        <v>224</v>
      </c>
      <c r="EA16" s="54" t="s">
        <v>224</v>
      </c>
      <c r="EB16" s="54" t="s">
        <v>224</v>
      </c>
      <c r="EC16" s="54" t="s">
        <v>224</v>
      </c>
      <c r="ED16" s="54" t="s">
        <v>224</v>
      </c>
      <c r="EE16" s="54" t="s">
        <v>224</v>
      </c>
      <c r="EF16" s="54" t="s">
        <v>224</v>
      </c>
      <c r="EG16" s="54" t="s">
        <v>224</v>
      </c>
      <c r="EH16" s="54" t="s">
        <v>224</v>
      </c>
      <c r="EI16" s="54" t="s">
        <v>224</v>
      </c>
      <c r="EJ16" s="54" t="s">
        <v>224</v>
      </c>
      <c r="EK16" s="54" t="s">
        <v>224</v>
      </c>
      <c r="EL16" s="54" t="s">
        <v>224</v>
      </c>
      <c r="EM16" s="54" t="s">
        <v>224</v>
      </c>
      <c r="EN16" s="54" t="s">
        <v>224</v>
      </c>
      <c r="EO16" s="54" t="s">
        <v>224</v>
      </c>
      <c r="EP16" s="54" t="s">
        <v>224</v>
      </c>
      <c r="EQ16" s="54" t="s">
        <v>224</v>
      </c>
      <c r="ER16" s="54" t="s">
        <v>224</v>
      </c>
      <c r="ES16" s="55" t="s">
        <v>224</v>
      </c>
      <c r="ET16" s="55" t="s">
        <v>224</v>
      </c>
      <c r="EU16" s="55" t="s">
        <v>224</v>
      </c>
      <c r="EV16" s="55" t="s">
        <v>224</v>
      </c>
      <c r="EW16" s="55" t="s">
        <v>224</v>
      </c>
    </row>
    <row r="17" spans="1:153" s="52" customFormat="1" ht="11.25" customHeight="1">
      <c r="A17" s="51" t="s">
        <v>225</v>
      </c>
      <c r="F17" s="52">
        <f t="shared" ref="F17:BQ17" si="28">F15/B15-1</f>
        <v>1.1987369985141152</v>
      </c>
      <c r="G17" s="52">
        <f t="shared" si="28"/>
        <v>0.17667426324592417</v>
      </c>
      <c r="H17" s="52">
        <f t="shared" si="28"/>
        <v>-0.1893337728893818</v>
      </c>
      <c r="I17" s="52">
        <f t="shared" si="28"/>
        <v>-0.32837500198086755</v>
      </c>
      <c r="J17" s="52">
        <f t="shared" si="28"/>
        <v>-0.38904737769410835</v>
      </c>
      <c r="K17" s="52">
        <f t="shared" si="28"/>
        <v>8.0397665874216262E-2</v>
      </c>
      <c r="L17" s="52">
        <f t="shared" si="28"/>
        <v>0.23968095528568045</v>
      </c>
      <c r="M17" s="52">
        <f t="shared" si="28"/>
        <v>8.6978748839916964E-2</v>
      </c>
      <c r="N17" s="52">
        <f t="shared" si="28"/>
        <v>0.17593704569875412</v>
      </c>
      <c r="O17" s="52">
        <f t="shared" si="28"/>
        <v>7.7854032344930379E-2</v>
      </c>
      <c r="P17" s="52">
        <f t="shared" si="28"/>
        <v>0.24312798681885606</v>
      </c>
      <c r="Q17" s="52">
        <f t="shared" si="28"/>
        <v>0.40237328606056177</v>
      </c>
      <c r="R17" s="52">
        <f t="shared" si="28"/>
        <v>0.41197694106264704</v>
      </c>
      <c r="S17" s="52">
        <f t="shared" si="28"/>
        <v>0.55278279428665278</v>
      </c>
      <c r="T17" s="52">
        <f t="shared" si="28"/>
        <v>0.36838948795144555</v>
      </c>
      <c r="U17" s="52">
        <f t="shared" si="28"/>
        <v>0.31537806671310298</v>
      </c>
      <c r="V17" s="52">
        <f t="shared" si="28"/>
        <v>0.37363254390848533</v>
      </c>
      <c r="W17" s="52">
        <f t="shared" si="28"/>
        <v>0.34290731563801535</v>
      </c>
      <c r="X17" s="52">
        <f t="shared" si="28"/>
        <v>0.53370323621191429</v>
      </c>
      <c r="Y17" s="52">
        <f t="shared" si="28"/>
        <v>0.51292853220365542</v>
      </c>
      <c r="Z17" s="52">
        <f t="shared" si="28"/>
        <v>0.31684639713447393</v>
      </c>
      <c r="AA17" s="52">
        <f t="shared" si="28"/>
        <v>0.45139117099353698</v>
      </c>
      <c r="AB17" s="52">
        <f t="shared" si="28"/>
        <v>0.47325271044916017</v>
      </c>
      <c r="AC17" s="52">
        <f t="shared" si="28"/>
        <v>0.4249117203258439</v>
      </c>
      <c r="AD17" s="52">
        <f t="shared" si="28"/>
        <v>0.35435815414402128</v>
      </c>
      <c r="AE17" s="52">
        <f t="shared" si="28"/>
        <v>-0.18425111794562166</v>
      </c>
      <c r="AF17" s="52">
        <f t="shared" si="28"/>
        <v>-0.38213335971277451</v>
      </c>
      <c r="AG17" s="52">
        <f t="shared" si="28"/>
        <v>-0.74223658426083117</v>
      </c>
      <c r="AH17" s="52">
        <f t="shared" si="28"/>
        <v>-0.60937994689643249</v>
      </c>
      <c r="AI17" s="52">
        <f t="shared" si="28"/>
        <v>-0.19994448797384001</v>
      </c>
      <c r="AJ17" s="52">
        <f t="shared" si="28"/>
        <v>0.15421779791111434</v>
      </c>
      <c r="AK17" s="52">
        <f t="shared" si="28"/>
        <v>2.0968686911467818</v>
      </c>
      <c r="AL17" s="52">
        <f t="shared" si="28"/>
        <v>1.2693130059470525</v>
      </c>
      <c r="AM17" s="52">
        <f t="shared" si="28"/>
        <v>0.1401039332745484</v>
      </c>
      <c r="AN17" s="52">
        <f t="shared" si="28"/>
        <v>6.6347900823569006E-2</v>
      </c>
      <c r="AO17" s="52">
        <f t="shared" si="28"/>
        <v>-2.8177361010756297E-2</v>
      </c>
      <c r="AP17" s="52">
        <f t="shared" si="28"/>
        <v>6.1628872620662412E-2</v>
      </c>
      <c r="AQ17" s="52">
        <f t="shared" si="28"/>
        <v>0.66500467534114183</v>
      </c>
      <c r="AR17" s="52">
        <f t="shared" si="28"/>
        <v>0.41997184118838349</v>
      </c>
      <c r="AS17" s="52">
        <f t="shared" si="28"/>
        <v>0.16641844079754375</v>
      </c>
      <c r="AT17" s="52">
        <f t="shared" si="28"/>
        <v>-4.3630276799111689E-2</v>
      </c>
      <c r="AU17" s="52">
        <f t="shared" si="28"/>
        <v>2.9384104598655147E-2</v>
      </c>
      <c r="AV17" s="52">
        <f t="shared" si="28"/>
        <v>0.14359360321312242</v>
      </c>
      <c r="AW17" s="52">
        <f t="shared" si="28"/>
        <v>0.17753205727580057</v>
      </c>
      <c r="AX17" s="52">
        <f t="shared" si="28"/>
        <v>0.11913743838537294</v>
      </c>
      <c r="AY17" s="52">
        <f t="shared" si="28"/>
        <v>1.314730941579656E-2</v>
      </c>
      <c r="AZ17" s="52">
        <f t="shared" si="28"/>
        <v>-8.2058185085241764E-2</v>
      </c>
      <c r="BA17" s="52">
        <f t="shared" si="28"/>
        <v>4.6632354397696751E-2</v>
      </c>
      <c r="BB17" s="52">
        <f t="shared" si="28"/>
        <v>0.16513552706684598</v>
      </c>
      <c r="BC17" s="52">
        <f t="shared" si="28"/>
        <v>0.12986922902808895</v>
      </c>
      <c r="BD17" s="52">
        <f t="shared" si="28"/>
        <v>0.15790662457329119</v>
      </c>
      <c r="BE17" s="52">
        <f t="shared" si="28"/>
        <v>0.14144491034572759</v>
      </c>
      <c r="BF17" s="52">
        <f t="shared" si="28"/>
        <v>8.076438012452769E-2</v>
      </c>
      <c r="BG17" s="52">
        <f t="shared" si="28"/>
        <v>4.8509307337626373E-2</v>
      </c>
      <c r="BH17" s="52">
        <f t="shared" si="28"/>
        <v>8.4678837531660944E-2</v>
      </c>
      <c r="BI17" s="52">
        <f t="shared" si="28"/>
        <v>0.13778814556255492</v>
      </c>
      <c r="BJ17" s="52">
        <f t="shared" si="28"/>
        <v>0.16539050535987743</v>
      </c>
      <c r="BK17" s="621">
        <f t="shared" si="28"/>
        <v>0.27272727272727271</v>
      </c>
      <c r="BL17" s="621">
        <f t="shared" si="28"/>
        <v>0.61171662125340598</v>
      </c>
      <c r="BM17" s="52">
        <f t="shared" si="28"/>
        <v>0.63693467336683418</v>
      </c>
      <c r="BN17" s="52">
        <f t="shared" si="28"/>
        <v>0.51116951379763464</v>
      </c>
      <c r="BO17" s="52">
        <f t="shared" si="28"/>
        <v>0.57627118644067798</v>
      </c>
      <c r="BP17" s="52">
        <f t="shared" si="28"/>
        <v>0.32628909551986474</v>
      </c>
      <c r="BQ17" s="52">
        <f t="shared" si="28"/>
        <v>0.38296239447429015</v>
      </c>
      <c r="BR17" s="52">
        <f t="shared" ref="BR17:DQ17" si="29">BR15/BN15-1</f>
        <v>0.79826086956521736</v>
      </c>
      <c r="BS17" s="52">
        <f t="shared" si="29"/>
        <v>0.51689708141321034</v>
      </c>
      <c r="BT17" s="52">
        <f t="shared" si="29"/>
        <v>0.23326959847036322</v>
      </c>
      <c r="BU17" s="52">
        <f t="shared" si="29"/>
        <v>-0.31853496115427304</v>
      </c>
      <c r="BV17" s="52">
        <f t="shared" si="29"/>
        <v>-0.36847195357833651</v>
      </c>
      <c r="BW17" s="52">
        <f t="shared" si="29"/>
        <v>-0.21873417721518984</v>
      </c>
      <c r="BX17" s="52">
        <f t="shared" si="29"/>
        <v>-9.819121447028456E-3</v>
      </c>
      <c r="BY17" s="52">
        <f t="shared" si="29"/>
        <v>0.64332247557003264</v>
      </c>
      <c r="BZ17" s="52">
        <f t="shared" si="29"/>
        <v>0.53522205206738138</v>
      </c>
      <c r="CA17" s="52">
        <f t="shared" si="29"/>
        <v>0.64419961114711599</v>
      </c>
      <c r="CB17" s="52">
        <f t="shared" si="29"/>
        <v>0.60073068893528192</v>
      </c>
      <c r="CC17" s="52">
        <f t="shared" si="29"/>
        <v>0.6105054509415262</v>
      </c>
      <c r="CD17" s="52">
        <f t="shared" si="29"/>
        <v>0.85586034912718212</v>
      </c>
      <c r="CE17" s="52">
        <f t="shared" si="29"/>
        <v>0.69688608592826173</v>
      </c>
      <c r="CF17" s="52">
        <f t="shared" si="29"/>
        <v>0.53798500163025764</v>
      </c>
      <c r="CG17" s="52">
        <f t="shared" si="29"/>
        <v>0.56461538461538452</v>
      </c>
      <c r="CH17" s="52">
        <f t="shared" si="29"/>
        <v>0.48481590970169308</v>
      </c>
      <c r="CI17" s="52">
        <f t="shared" si="29"/>
        <v>-0.29477351916376304</v>
      </c>
      <c r="CJ17" s="52">
        <f t="shared" si="29"/>
        <v>-0.30103879584481663</v>
      </c>
      <c r="CK17" s="52">
        <f t="shared" si="29"/>
        <v>-0.21946902654867262</v>
      </c>
      <c r="CL17" s="52">
        <f t="shared" si="29"/>
        <v>-0.13574660633484159</v>
      </c>
      <c r="CM17" s="52">
        <f t="shared" si="29"/>
        <v>2.1564558629776021</v>
      </c>
      <c r="CN17" s="52">
        <f t="shared" si="29"/>
        <v>3.1082802547770703</v>
      </c>
      <c r="CO17" s="52">
        <f t="shared" si="29"/>
        <v>3.2615268329554041</v>
      </c>
      <c r="CP17" s="52">
        <f t="shared" si="29"/>
        <v>3.298219895287958</v>
      </c>
      <c r="CQ17" s="52">
        <f t="shared" si="29"/>
        <v>1.3676301784409892</v>
      </c>
      <c r="CR17" s="52">
        <f t="shared" si="29"/>
        <v>0.93960871170173488</v>
      </c>
      <c r="CS17" s="52">
        <f t="shared" si="29"/>
        <v>0.70515549249142717</v>
      </c>
      <c r="CT17" s="52">
        <f t="shared" si="29"/>
        <v>0.30549600467745086</v>
      </c>
      <c r="CU17" s="52">
        <f t="shared" si="29"/>
        <v>0.49420423994005902</v>
      </c>
      <c r="CV17" s="52">
        <f t="shared" si="29"/>
        <v>0.59473964677222901</v>
      </c>
      <c r="CW17" s="52">
        <f t="shared" si="29"/>
        <v>0.77317013973163196</v>
      </c>
      <c r="CX17" s="52">
        <f t="shared" si="29"/>
        <v>1.2852877509890273</v>
      </c>
      <c r="CY17" s="53">
        <f t="shared" si="29"/>
        <v>1.0577644099093235</v>
      </c>
      <c r="CZ17" s="53">
        <f t="shared" si="29"/>
        <v>0.97859849894936524</v>
      </c>
      <c r="DA17" s="53">
        <f t="shared" si="29"/>
        <v>0.84080434137084992</v>
      </c>
      <c r="DB17" s="53">
        <f t="shared" si="29"/>
        <v>0.6806758416001939</v>
      </c>
      <c r="DC17" s="53">
        <f t="shared" si="29"/>
        <v>0.62016788647010701</v>
      </c>
      <c r="DD17" s="53">
        <f t="shared" si="29"/>
        <v>0.52481217682844905</v>
      </c>
      <c r="DE17" s="53">
        <f t="shared" si="29"/>
        <v>0.43288314380913628</v>
      </c>
      <c r="DF17" s="53">
        <f t="shared" si="29"/>
        <v>0.34561376575569391</v>
      </c>
      <c r="DG17" s="53">
        <f t="shared" si="29"/>
        <v>0.26278659476709176</v>
      </c>
      <c r="DH17" s="53">
        <f t="shared" si="29"/>
        <v>0.20826305872293838</v>
      </c>
      <c r="DI17" s="53">
        <f t="shared" si="29"/>
        <v>0.18883972795092463</v>
      </c>
      <c r="DJ17" s="53">
        <f t="shared" si="29"/>
        <v>0.16682836971036075</v>
      </c>
      <c r="DK17" s="53">
        <f t="shared" si="29"/>
        <v>0.1447625893483353</v>
      </c>
      <c r="DL17" s="53">
        <f t="shared" si="29"/>
        <v>0.10327018298217361</v>
      </c>
      <c r="DM17" s="53">
        <f t="shared" si="29"/>
        <v>7.2849331251550797E-2</v>
      </c>
      <c r="DN17" s="53">
        <f t="shared" si="29"/>
        <v>8.3131701816379966E-2</v>
      </c>
      <c r="DO17" s="53">
        <f t="shared" si="29"/>
        <v>0.10387885527216145</v>
      </c>
      <c r="DP17" s="53">
        <f t="shared" si="29"/>
        <v>0.13490489329820776</v>
      </c>
      <c r="DQ17" s="53">
        <f t="shared" si="29"/>
        <v>0.15636356261046913</v>
      </c>
      <c r="DU17" s="52">
        <f>DU15/DT15-1</f>
        <v>8.3917201745634662E-2</v>
      </c>
      <c r="DV17" s="52">
        <f t="shared" ref="DV17:ET17" si="30">DV15/DU15-1</f>
        <v>-6.0291998557241766E-2</v>
      </c>
      <c r="DW17" s="52">
        <f t="shared" si="30"/>
        <v>0.22804503117921282</v>
      </c>
      <c r="DX17" s="52">
        <f t="shared" si="30"/>
        <v>0.40233199791835417</v>
      </c>
      <c r="DY17" s="52">
        <f t="shared" si="30"/>
        <v>0.44538452670469209</v>
      </c>
      <c r="DZ17" s="52">
        <f t="shared" si="30"/>
        <v>0.41994106873870529</v>
      </c>
      <c r="EA17" s="52">
        <f t="shared" si="30"/>
        <v>-0.29335198579132082</v>
      </c>
      <c r="EB17" s="52">
        <f t="shared" si="30"/>
        <v>-2.7791173293219784E-2</v>
      </c>
      <c r="EC17" s="52">
        <f t="shared" si="30"/>
        <v>0.23833273763775953</v>
      </c>
      <c r="ED17" s="52">
        <f t="shared" si="30"/>
        <v>0.29776712698305907</v>
      </c>
      <c r="EE17" s="52">
        <f t="shared" si="30"/>
        <v>7.8750199266698573E-2</v>
      </c>
      <c r="EF17" s="52">
        <f t="shared" si="30"/>
        <v>1.6788967378342345E-2</v>
      </c>
      <c r="EG17" s="52">
        <f t="shared" si="30"/>
        <v>0.14832039814093689</v>
      </c>
      <c r="EH17" s="52">
        <f t="shared" si="30"/>
        <v>8.9449916271619134E-2</v>
      </c>
      <c r="EI17" s="52">
        <f t="shared" si="30"/>
        <v>0.43820621468926557</v>
      </c>
      <c r="EJ17" s="52">
        <f t="shared" si="30"/>
        <v>0.42965872821016449</v>
      </c>
      <c r="EK17" s="52">
        <f t="shared" si="30"/>
        <v>0.23750643997939203</v>
      </c>
      <c r="EL17" s="52">
        <f t="shared" si="30"/>
        <v>-5.8701082431307228E-2</v>
      </c>
      <c r="EM17" s="52">
        <f t="shared" si="30"/>
        <v>0.6009140498304586</v>
      </c>
      <c r="EN17" s="52">
        <f t="shared" si="30"/>
        <v>0.64177180219173047</v>
      </c>
      <c r="EO17" s="52">
        <f t="shared" si="30"/>
        <v>-0.11223917433251063</v>
      </c>
      <c r="EP17" s="52">
        <f t="shared" si="30"/>
        <v>1.8316800404372273</v>
      </c>
      <c r="EQ17" s="52">
        <f t="shared" si="30"/>
        <v>1.1939442622219247</v>
      </c>
      <c r="ER17" s="52">
        <f t="shared" si="30"/>
        <v>0.56350304090474546</v>
      </c>
      <c r="ES17" s="53">
        <f t="shared" si="30"/>
        <v>1.0036713285562158</v>
      </c>
      <c r="ET17" s="53">
        <f t="shared" si="30"/>
        <v>0.54929676476919509</v>
      </c>
      <c r="EU17" s="53">
        <f>EU15/ET15-1</f>
        <v>0.24530495604562286</v>
      </c>
      <c r="EV17" s="53">
        <f>EV15/EU15-1</f>
        <v>0.11983637156349847</v>
      </c>
      <c r="EW17" s="53">
        <f>EW15/EV15-1</f>
        <v>0.12026503382103959</v>
      </c>
    </row>
    <row r="18" spans="1:153" s="52" customFormat="1" ht="11.25" customHeight="1">
      <c r="A18" s="51" t="s">
        <v>228</v>
      </c>
      <c r="B18" s="52">
        <f t="shared" ref="B18:BM18" si="31">B15/B$5</f>
        <v>0.39106469875317518</v>
      </c>
      <c r="C18" s="52">
        <f t="shared" si="31"/>
        <v>0.39341606541606544</v>
      </c>
      <c r="D18" s="52">
        <f t="shared" si="31"/>
        <v>0.36568979878128971</v>
      </c>
      <c r="E18" s="52">
        <f t="shared" si="31"/>
        <v>0.37584973237400926</v>
      </c>
      <c r="F18" s="52">
        <f t="shared" si="31"/>
        <v>0.35540096585206843</v>
      </c>
      <c r="G18" s="52">
        <f t="shared" si="31"/>
        <v>0.28154978527212521</v>
      </c>
      <c r="H18" s="52">
        <f t="shared" si="31"/>
        <v>0.25144548970030489</v>
      </c>
      <c r="I18" s="52">
        <f t="shared" si="31"/>
        <v>0.29666252904887674</v>
      </c>
      <c r="J18" s="52">
        <f t="shared" si="31"/>
        <v>0.31252669865154836</v>
      </c>
      <c r="K18" s="52">
        <f t="shared" si="31"/>
        <v>0.28269106126053234</v>
      </c>
      <c r="L18" s="52">
        <f t="shared" si="31"/>
        <v>0.27595053377195422</v>
      </c>
      <c r="M18" s="52">
        <f t="shared" si="31"/>
        <v>0.29273339984198904</v>
      </c>
      <c r="N18" s="52">
        <f t="shared" si="31"/>
        <v>0.31539398819677678</v>
      </c>
      <c r="O18" s="52">
        <f t="shared" si="31"/>
        <v>0.30718039911327644</v>
      </c>
      <c r="P18" s="52">
        <f t="shared" si="31"/>
        <v>0.3233997490258752</v>
      </c>
      <c r="Q18" s="52">
        <f t="shared" si="31"/>
        <v>0.34214159117067627</v>
      </c>
      <c r="R18" s="52">
        <f t="shared" si="31"/>
        <v>0.35994594464978785</v>
      </c>
      <c r="S18" s="52">
        <f t="shared" si="31"/>
        <v>0.3784437346471542</v>
      </c>
      <c r="T18" s="52">
        <f t="shared" si="31"/>
        <v>0.39109039020251446</v>
      </c>
      <c r="U18" s="52">
        <f t="shared" si="31"/>
        <v>0.40235853374451958</v>
      </c>
      <c r="V18" s="52">
        <f t="shared" si="31"/>
        <v>0.42339401032843604</v>
      </c>
      <c r="W18" s="52">
        <f t="shared" si="31"/>
        <v>0.4249017118072374</v>
      </c>
      <c r="X18" s="52">
        <f t="shared" si="31"/>
        <v>0.42646105399648049</v>
      </c>
      <c r="Y18" s="52">
        <f t="shared" si="31"/>
        <v>0.43886431828034311</v>
      </c>
      <c r="Z18" s="52">
        <f t="shared" si="31"/>
        <v>0.45025110153029801</v>
      </c>
      <c r="AA18" s="52">
        <f t="shared" si="31"/>
        <v>0.45334470993410342</v>
      </c>
      <c r="AB18" s="52">
        <f t="shared" si="31"/>
        <v>0.46213193473987468</v>
      </c>
      <c r="AC18" s="52">
        <f t="shared" si="31"/>
        <v>0.45695792073033847</v>
      </c>
      <c r="AD18" s="52">
        <f t="shared" si="31"/>
        <v>0.44637450710428755</v>
      </c>
      <c r="AE18" s="52">
        <f t="shared" si="31"/>
        <v>0.38745412669322349</v>
      </c>
      <c r="AF18" s="52">
        <f t="shared" si="31"/>
        <v>0.35486127743955076</v>
      </c>
      <c r="AG18" s="52">
        <f t="shared" si="31"/>
        <v>0.29443820925302405</v>
      </c>
      <c r="AH18" s="52">
        <f t="shared" si="31"/>
        <v>0.30276816348529356</v>
      </c>
      <c r="AI18" s="52">
        <f t="shared" si="31"/>
        <v>0.35635398959460152</v>
      </c>
      <c r="AJ18" s="52">
        <f t="shared" si="31"/>
        <v>0.40706992646195883</v>
      </c>
      <c r="AK18" s="52">
        <f t="shared" si="31"/>
        <v>0.44654082289045766</v>
      </c>
      <c r="AL18" s="52">
        <f t="shared" si="31"/>
        <v>0.45555108588129717</v>
      </c>
      <c r="AM18" s="52">
        <f t="shared" si="31"/>
        <v>0.38890765377067277</v>
      </c>
      <c r="AN18" s="52">
        <f t="shared" si="31"/>
        <v>0.46457687531401376</v>
      </c>
      <c r="AO18" s="52">
        <f t="shared" si="31"/>
        <v>0.48101370073196925</v>
      </c>
      <c r="AP18" s="52">
        <f t="shared" si="31"/>
        <v>0.50362095507562588</v>
      </c>
      <c r="AQ18" s="52">
        <f t="shared" si="31"/>
        <v>0.51674885909433876</v>
      </c>
      <c r="AR18" s="52">
        <f t="shared" si="31"/>
        <v>0.52216042319308176</v>
      </c>
      <c r="AS18" s="52">
        <f t="shared" si="31"/>
        <v>0.52173324632761009</v>
      </c>
      <c r="AT18" s="52">
        <f t="shared" si="31"/>
        <v>0.50100067360308453</v>
      </c>
      <c r="AU18" s="52">
        <f t="shared" si="31"/>
        <v>0.5177961638273626</v>
      </c>
      <c r="AV18" s="52">
        <f t="shared" si="31"/>
        <v>0.52873740771192002</v>
      </c>
      <c r="AW18" s="52">
        <f t="shared" si="31"/>
        <v>0.52904593179884041</v>
      </c>
      <c r="AX18" s="52">
        <f t="shared" si="31"/>
        <v>0.54315158383600126</v>
      </c>
      <c r="AY18" s="52">
        <f t="shared" si="31"/>
        <v>0.56058810647969082</v>
      </c>
      <c r="AZ18" s="52">
        <f t="shared" si="31"/>
        <v>0.55449079525260281</v>
      </c>
      <c r="BA18" s="52">
        <f t="shared" si="31"/>
        <v>0.53565841474264519</v>
      </c>
      <c r="BB18" s="52">
        <f t="shared" si="31"/>
        <v>0.5478864005469779</v>
      </c>
      <c r="BC18" s="52">
        <f t="shared" si="31"/>
        <v>0.56126272188490645</v>
      </c>
      <c r="BD18" s="52">
        <f t="shared" si="31"/>
        <v>0.55223432366396774</v>
      </c>
      <c r="BE18" s="52">
        <f t="shared" si="31"/>
        <v>0.5594523531923673</v>
      </c>
      <c r="BF18" s="52">
        <f t="shared" si="31"/>
        <v>0.56733275412684625</v>
      </c>
      <c r="BG18" s="52">
        <f t="shared" si="31"/>
        <v>0.56287944492627928</v>
      </c>
      <c r="BH18" s="52">
        <f t="shared" si="31"/>
        <v>0.56245210727969353</v>
      </c>
      <c r="BI18" s="52">
        <f t="shared" si="31"/>
        <v>0.5681655960028551</v>
      </c>
      <c r="BJ18" s="52">
        <f t="shared" si="31"/>
        <v>0.58314176245210725</v>
      </c>
      <c r="BK18" s="621">
        <f t="shared" si="31"/>
        <v>0.57843137254901966</v>
      </c>
      <c r="BL18" s="621">
        <f t="shared" si="31"/>
        <v>0.59031936127744511</v>
      </c>
      <c r="BM18" s="52">
        <f t="shared" si="31"/>
        <v>0.59963184537505754</v>
      </c>
      <c r="BN18" s="52">
        <f t="shared" ref="BN18:DQ18" si="32">BN15/BN$5</f>
        <v>0.59370160041300979</v>
      </c>
      <c r="BO18" s="52">
        <f t="shared" si="32"/>
        <v>0.58385650224215246</v>
      </c>
      <c r="BP18" s="52">
        <f t="shared" si="32"/>
        <v>0.59522003034901361</v>
      </c>
      <c r="BQ18" s="52">
        <f t="shared" si="32"/>
        <v>0.61903126073514259</v>
      </c>
      <c r="BR18" s="52">
        <f>BR15/BR$5</f>
        <v>0.6448394137823511</v>
      </c>
      <c r="BS18" s="52">
        <f t="shared" si="32"/>
        <v>0.63240473903298111</v>
      </c>
      <c r="BT18" s="52">
        <f>BT15/BT$5</f>
        <v>0.60829927695693176</v>
      </c>
      <c r="BU18" s="52">
        <f t="shared" si="32"/>
        <v>0.55691609977324263</v>
      </c>
      <c r="BV18" s="52">
        <f t="shared" si="32"/>
        <v>0.58828828828828827</v>
      </c>
      <c r="BW18" s="52">
        <f t="shared" si="32"/>
        <v>0.59829391236913532</v>
      </c>
      <c r="BX18" s="52">
        <f t="shared" si="32"/>
        <v>0.63570006635700071</v>
      </c>
      <c r="BY18" s="52">
        <f t="shared" si="32"/>
        <v>0.64991948470209338</v>
      </c>
      <c r="BZ18" s="52">
        <f t="shared" si="32"/>
        <v>0.65097402597402598</v>
      </c>
      <c r="CA18" s="52">
        <f t="shared" si="32"/>
        <v>0.6562338334195551</v>
      </c>
      <c r="CB18" s="52">
        <f t="shared" si="32"/>
        <v>0.6489631823952603</v>
      </c>
      <c r="CC18" s="52">
        <f t="shared" si="32"/>
        <v>0.64961023385968419</v>
      </c>
      <c r="CD18" s="52">
        <f t="shared" si="32"/>
        <v>0.65730436318671615</v>
      </c>
      <c r="CE18" s="52">
        <f t="shared" si="32"/>
        <v>0.66159520516366987</v>
      </c>
      <c r="CF18" s="52">
        <f t="shared" si="32"/>
        <v>0.66408559763480224</v>
      </c>
      <c r="CG18" s="52">
        <f t="shared" si="32"/>
        <v>0.66531466701556985</v>
      </c>
      <c r="CH18" s="52">
        <f t="shared" si="32"/>
        <v>0.66662644787644787</v>
      </c>
      <c r="CI18" s="52">
        <f t="shared" si="32"/>
        <v>0.45286396181384247</v>
      </c>
      <c r="CJ18" s="52">
        <f t="shared" si="32"/>
        <v>0.55589276681841171</v>
      </c>
      <c r="CK18" s="52">
        <f t="shared" si="32"/>
        <v>0.6559246405552801</v>
      </c>
      <c r="CL18" s="52">
        <f t="shared" si="32"/>
        <v>0.66393214682981094</v>
      </c>
      <c r="CM18" s="52">
        <f t="shared" si="32"/>
        <v>0.70948397127415419</v>
      </c>
      <c r="CN18" s="52">
        <f t="shared" si="32"/>
        <v>0.74751655629139069</v>
      </c>
      <c r="CO18" s="52">
        <f t="shared" si="32"/>
        <v>0.76523548839524047</v>
      </c>
      <c r="CP18" s="52">
        <f t="shared" si="32"/>
        <v>0.7880509906312394</v>
      </c>
      <c r="CQ18" s="52">
        <f t="shared" si="32"/>
        <v>0.75529294274300929</v>
      </c>
      <c r="CR18" s="52">
        <f t="shared" si="32"/>
        <v>0.74887406647283505</v>
      </c>
      <c r="CS18" s="52">
        <f t="shared" si="32"/>
        <v>0.73328926292237673</v>
      </c>
      <c r="CT18" s="52">
        <f t="shared" si="32"/>
        <v>0.60809768054105584</v>
      </c>
      <c r="CU18" s="52">
        <f t="shared" si="32"/>
        <v>0.72528506942215942</v>
      </c>
      <c r="CV18" s="52">
        <f t="shared" si="32"/>
        <v>0.73495772374837731</v>
      </c>
      <c r="CW18" s="52">
        <f>CW15/CW$5</f>
        <v>0.75065686144993904</v>
      </c>
      <c r="CX18" s="52">
        <f>CX15/CX$5</f>
        <v>0.75025424247993633</v>
      </c>
      <c r="CY18" s="53">
        <f t="shared" si="32"/>
        <v>0.74973194331506288</v>
      </c>
      <c r="CZ18" s="53">
        <f t="shared" si="32"/>
        <v>0.7491351512289296</v>
      </c>
      <c r="DA18" s="53">
        <f t="shared" si="32"/>
        <v>0.74991845307916394</v>
      </c>
      <c r="DB18" s="53">
        <f t="shared" si="32"/>
        <v>0.75089281134965613</v>
      </c>
      <c r="DC18" s="53">
        <f t="shared" si="32"/>
        <v>0.75121421181208836</v>
      </c>
      <c r="DD18" s="53">
        <f t="shared" si="32"/>
        <v>0.75153396267675665</v>
      </c>
      <c r="DE18" s="53">
        <f t="shared" si="32"/>
        <v>0.75182578968662062</v>
      </c>
      <c r="DF18" s="53">
        <f t="shared" si="32"/>
        <v>0.75232252934402488</v>
      </c>
      <c r="DG18" s="53">
        <f t="shared" si="32"/>
        <v>0.75221838699726884</v>
      </c>
      <c r="DH18" s="53">
        <f t="shared" si="32"/>
        <v>0.75221518042571089</v>
      </c>
      <c r="DI18" s="53">
        <f t="shared" si="32"/>
        <v>0.75226175520131133</v>
      </c>
      <c r="DJ18" s="53">
        <f t="shared" si="32"/>
        <v>0.75261071062240947</v>
      </c>
      <c r="DK18" s="53">
        <f t="shared" si="32"/>
        <v>0.75241209792175423</v>
      </c>
      <c r="DL18" s="53">
        <f t="shared" si="32"/>
        <v>0.75220722447051902</v>
      </c>
      <c r="DM18" s="53">
        <f t="shared" si="32"/>
        <v>0.75208450427622142</v>
      </c>
      <c r="DN18" s="53">
        <f t="shared" si="32"/>
        <v>0.75248172677606895</v>
      </c>
      <c r="DO18" s="53">
        <f t="shared" si="32"/>
        <v>0.75238566633178761</v>
      </c>
      <c r="DP18" s="53">
        <f t="shared" si="32"/>
        <v>0.75234121392853615</v>
      </c>
      <c r="DQ18" s="53">
        <f t="shared" si="32"/>
        <v>0.75232302967450992</v>
      </c>
      <c r="DT18" s="62">
        <f>DT15/DT$5</f>
        <v>0.37915224199709235</v>
      </c>
      <c r="DU18" s="62">
        <f t="shared" ref="DU18:EW18" si="33">DU15/DU$5</f>
        <v>0.30111626991218143</v>
      </c>
      <c r="DV18" s="62">
        <f t="shared" si="33"/>
        <v>0.29012285066197835</v>
      </c>
      <c r="DW18" s="62">
        <f t="shared" si="33"/>
        <v>0.3231220581950644</v>
      </c>
      <c r="DX18" s="62">
        <f t="shared" si="33"/>
        <v>0.38338173336807418</v>
      </c>
      <c r="DY18" s="62">
        <f t="shared" si="33"/>
        <v>0.42898248191214006</v>
      </c>
      <c r="DZ18" s="62">
        <f t="shared" si="33"/>
        <v>0.45616004451103742</v>
      </c>
      <c r="EA18" s="62">
        <f t="shared" si="33"/>
        <v>0.38568682681535205</v>
      </c>
      <c r="EB18" s="62">
        <f t="shared" si="33"/>
        <v>0.38606169649580863</v>
      </c>
      <c r="EC18" s="62">
        <f t="shared" si="33"/>
        <v>0.44881295986322384</v>
      </c>
      <c r="ED18" s="62">
        <f t="shared" si="33"/>
        <v>0.51622139457169092</v>
      </c>
      <c r="EE18" s="62">
        <f t="shared" si="33"/>
        <v>0.52015427464260089</v>
      </c>
      <c r="EF18" s="62">
        <f t="shared" si="33"/>
        <v>0.54809496576647609</v>
      </c>
      <c r="EG18" s="62">
        <f t="shared" si="33"/>
        <v>0.55526500334187268</v>
      </c>
      <c r="EH18" s="62">
        <f t="shared" si="33"/>
        <v>0.56526946107784426</v>
      </c>
      <c r="EI18" s="62">
        <f t="shared" si="33"/>
        <v>0.58943560057887123</v>
      </c>
      <c r="EJ18" s="62">
        <f t="shared" si="33"/>
        <v>0.59944410129709702</v>
      </c>
      <c r="EK18" s="62">
        <f t="shared" si="33"/>
        <v>0.61505633321952879</v>
      </c>
      <c r="EL18" s="62">
        <f t="shared" si="33"/>
        <v>0.62126763143432862</v>
      </c>
      <c r="EM18" s="62">
        <f t="shared" si="33"/>
        <v>0.65121439280359816</v>
      </c>
      <c r="EN18" s="60">
        <f t="shared" si="33"/>
        <v>0.66240618265586682</v>
      </c>
      <c r="EO18" s="60">
        <f t="shared" si="33"/>
        <v>0.58675020390005195</v>
      </c>
      <c r="EP18" s="60">
        <f t="shared" si="33"/>
        <v>0.73564557959357868</v>
      </c>
      <c r="EQ18" s="60">
        <f t="shared" si="33"/>
        <v>0.75347325992168401</v>
      </c>
      <c r="ER18" s="60">
        <f t="shared" si="33"/>
        <v>0.71193120247478447</v>
      </c>
      <c r="ES18" s="61">
        <f t="shared" si="33"/>
        <v>0.74973194557275324</v>
      </c>
      <c r="ET18" s="61">
        <f t="shared" si="33"/>
        <v>0.75140229988922036</v>
      </c>
      <c r="EU18" s="61">
        <f t="shared" si="33"/>
        <v>0.75225352926497757</v>
      </c>
      <c r="EV18" s="61">
        <f t="shared" si="33"/>
        <v>0.7523237071790968</v>
      </c>
      <c r="EW18" s="61">
        <f t="shared" si="33"/>
        <v>0.75238009486773272</v>
      </c>
    </row>
    <row r="19" spans="1:153" s="52" customFormat="1" ht="11.25" hidden="1" customHeight="1" outlineLevel="1">
      <c r="A19" s="51" t="s">
        <v>230</v>
      </c>
      <c r="B19" s="62"/>
      <c r="C19" s="62"/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>
        <f t="shared" ref="AL19:CV19" si="34">(AL15+AL20)/AL5</f>
        <v>0.45735082295797713</v>
      </c>
      <c r="AM19" s="62">
        <f t="shared" si="34"/>
        <v>0.39172937150521187</v>
      </c>
      <c r="AN19" s="62">
        <f t="shared" si="34"/>
        <v>0.46752741992056046</v>
      </c>
      <c r="AO19" s="62">
        <f t="shared" si="34"/>
        <v>0.48296095562154207</v>
      </c>
      <c r="AP19" s="62">
        <f t="shared" si="34"/>
        <v>0.50619569476913095</v>
      </c>
      <c r="AQ19" s="62">
        <f t="shared" si="34"/>
        <v>0.51945220788240631</v>
      </c>
      <c r="AR19" s="62">
        <f t="shared" si="34"/>
        <v>0.52502016545048669</v>
      </c>
      <c r="AS19" s="62">
        <f t="shared" si="34"/>
        <v>0.52493091647660384</v>
      </c>
      <c r="AT19" s="62">
        <f t="shared" si="34"/>
        <v>0.50373184758621969</v>
      </c>
      <c r="AU19" s="62">
        <f t="shared" si="34"/>
        <v>0.52033286410602619</v>
      </c>
      <c r="AV19" s="62">
        <f t="shared" si="34"/>
        <v>0.53080449460597456</v>
      </c>
      <c r="AW19" s="62">
        <f t="shared" si="34"/>
        <v>0.53159900334446963</v>
      </c>
      <c r="AX19" s="62">
        <f t="shared" si="34"/>
        <v>0.54593035374065579</v>
      </c>
      <c r="AY19" s="62">
        <f t="shared" si="34"/>
        <v>0.56280660391839044</v>
      </c>
      <c r="AZ19" s="62">
        <f t="shared" si="34"/>
        <v>0.557422575849149</v>
      </c>
      <c r="BA19" s="62">
        <f t="shared" si="34"/>
        <v>0.53808539981017611</v>
      </c>
      <c r="BB19" s="62">
        <f t="shared" si="34"/>
        <v>0.5505333305525002</v>
      </c>
      <c r="BC19" s="62">
        <f t="shared" si="34"/>
        <v>0.56398301088841007</v>
      </c>
      <c r="BD19" s="62">
        <f t="shared" si="34"/>
        <v>0.55549861186144411</v>
      </c>
      <c r="BE19" s="62">
        <f t="shared" si="34"/>
        <v>0.56265103789321835</v>
      </c>
      <c r="BF19" s="62">
        <f t="shared" si="34"/>
        <v>0.56907037358818424</v>
      </c>
      <c r="BG19" s="62">
        <f t="shared" si="34"/>
        <v>0.56548135299219426</v>
      </c>
      <c r="BH19" s="62">
        <f t="shared" si="34"/>
        <v>0.56551724137931036</v>
      </c>
      <c r="BI19" s="62">
        <f t="shared" si="34"/>
        <v>0.57173447537473232</v>
      </c>
      <c r="BJ19" s="62">
        <f t="shared" si="34"/>
        <v>0.58620689655172409</v>
      </c>
      <c r="BK19" s="62">
        <f t="shared" si="34"/>
        <v>0.58123249299719892</v>
      </c>
      <c r="BL19" s="62">
        <f t="shared" si="34"/>
        <v>0.59181636726546905</v>
      </c>
      <c r="BM19" s="62">
        <f t="shared" si="34"/>
        <v>0.60147261849976985</v>
      </c>
      <c r="BN19" s="62">
        <f t="shared" si="34"/>
        <v>0.59576664945792468</v>
      </c>
      <c r="BO19" s="62">
        <f t="shared" si="34"/>
        <v>0.5856502242152466</v>
      </c>
      <c r="BP19" s="62">
        <f t="shared" si="34"/>
        <v>0.59749620637329282</v>
      </c>
      <c r="BQ19" s="62">
        <f t="shared" si="34"/>
        <v>0.62143593266918584</v>
      </c>
      <c r="BR19" s="62">
        <f t="shared" si="34"/>
        <v>0.64733395696912999</v>
      </c>
      <c r="BS19" s="62">
        <f t="shared" si="34"/>
        <v>0.63496637848222859</v>
      </c>
      <c r="BT19" s="62">
        <f t="shared" si="34"/>
        <v>0.60987110971392644</v>
      </c>
      <c r="BU19" s="62">
        <f t="shared" si="34"/>
        <v>0.55963718820861674</v>
      </c>
      <c r="BV19" s="62">
        <f t="shared" si="34"/>
        <v>0.59009009009009006</v>
      </c>
      <c r="BW19" s="62">
        <f t="shared" si="34"/>
        <v>0.60139588987979842</v>
      </c>
      <c r="BX19" s="62">
        <f t="shared" si="34"/>
        <v>0.64067684140676839</v>
      </c>
      <c r="BY19" s="62">
        <f t="shared" si="34"/>
        <v>0.65378421900161032</v>
      </c>
      <c r="BZ19" s="62">
        <f t="shared" si="34"/>
        <v>0.65779220779220782</v>
      </c>
      <c r="CA19" s="62">
        <f t="shared" si="34"/>
        <v>0.6598551474392137</v>
      </c>
      <c r="CB19" s="62">
        <f t="shared" si="34"/>
        <v>0.65488785442234443</v>
      </c>
      <c r="CC19" s="62">
        <f t="shared" si="34"/>
        <v>0.65480711573056172</v>
      </c>
      <c r="CD19" s="62">
        <f t="shared" si="34"/>
        <v>0.66172054407348524</v>
      </c>
      <c r="CE19" s="62">
        <f t="shared" si="34"/>
        <v>0.6665129860150607</v>
      </c>
      <c r="CF19" s="62">
        <f t="shared" si="34"/>
        <v>0.67028016331127693</v>
      </c>
      <c r="CG19" s="62">
        <f t="shared" si="34"/>
        <v>0.6704173753761612</v>
      </c>
      <c r="CH19" s="62">
        <f t="shared" si="34"/>
        <v>0.67121138996138996</v>
      </c>
      <c r="CI19" s="62">
        <f t="shared" si="34"/>
        <v>0.45853221957040574</v>
      </c>
      <c r="CJ19" s="62">
        <f t="shared" si="34"/>
        <v>0.56128814702411056</v>
      </c>
      <c r="CK19" s="62">
        <f t="shared" si="34"/>
        <v>0.6608824987605354</v>
      </c>
      <c r="CL19" s="62">
        <f t="shared" si="34"/>
        <v>0.66768631813125701</v>
      </c>
      <c r="CM19" s="62">
        <f t="shared" si="34"/>
        <v>0.7117790775153624</v>
      </c>
      <c r="CN19" s="62">
        <f>(CN15+CN20)/CN5</f>
        <v>0.74961368653421634</v>
      </c>
      <c r="CO19" s="62">
        <f>(CO15+CO20)/CO5</f>
        <v>0.76727141112066233</v>
      </c>
      <c r="CP19" s="62">
        <f>(CP15+CP20)/CP5</f>
        <v>0.78943326677929659</v>
      </c>
      <c r="CQ19" s="62">
        <f t="shared" si="34"/>
        <v>0.75662450066577891</v>
      </c>
      <c r="CR19" s="62">
        <f t="shared" si="34"/>
        <v>0.75029929878570212</v>
      </c>
      <c r="CS19" s="62">
        <f t="shared" si="34"/>
        <v>0.7346368004881646</v>
      </c>
      <c r="CT19" s="62">
        <f t="shared" si="34"/>
        <v>0.60955017929281463</v>
      </c>
      <c r="CU19" s="62">
        <f t="shared" si="34"/>
        <v>0.72652589692574288</v>
      </c>
      <c r="CV19" s="62">
        <f t="shared" si="34"/>
        <v>0.73618566466687718</v>
      </c>
      <c r="CW19" s="62">
        <f>(CW15+CW20)/CW5</f>
        <v>0.75166967575263843</v>
      </c>
      <c r="CX19" s="62">
        <f>(CX15+CX20)/CX5</f>
        <v>0.75109967530478461</v>
      </c>
      <c r="CY19" s="63">
        <f t="shared" ref="CY19:DQ19" si="35">(CY15+CY20)/CY5</f>
        <v>0.75048422949537996</v>
      </c>
      <c r="CZ19" s="63">
        <f t="shared" si="35"/>
        <v>0.74977677127242459</v>
      </c>
      <c r="DA19" s="63">
        <f t="shared" si="35"/>
        <v>0.75049201219045958</v>
      </c>
      <c r="DB19" s="63">
        <f t="shared" si="35"/>
        <v>0.75142545702397112</v>
      </c>
      <c r="DC19" s="63">
        <f t="shared" si="35"/>
        <v>0.75170604125563845</v>
      </c>
      <c r="DD19" s="63">
        <f t="shared" si="35"/>
        <v>0.7519798785390106</v>
      </c>
      <c r="DE19" s="63">
        <f t="shared" si="35"/>
        <v>0.75224938552435761</v>
      </c>
      <c r="DF19" s="63">
        <f t="shared" si="35"/>
        <v>0.75274085256138901</v>
      </c>
      <c r="DG19" s="63">
        <f t="shared" si="35"/>
        <v>0.75262946817666354</v>
      </c>
      <c r="DH19" s="63">
        <f t="shared" si="35"/>
        <v>0.75260427102116345</v>
      </c>
      <c r="DI19" s="63">
        <f t="shared" si="35"/>
        <v>0.75263703616308475</v>
      </c>
      <c r="DJ19" s="63">
        <f t="shared" si="35"/>
        <v>0.75298799220917356</v>
      </c>
      <c r="DK19" s="63">
        <f t="shared" si="35"/>
        <v>0.75278970770719156</v>
      </c>
      <c r="DL19" s="63">
        <f t="shared" si="35"/>
        <v>0.75257774754613271</v>
      </c>
      <c r="DM19" s="63">
        <f t="shared" si="35"/>
        <v>0.75245170603692002</v>
      </c>
      <c r="DN19" s="63">
        <f t="shared" si="35"/>
        <v>0.75284719011103562</v>
      </c>
      <c r="DO19" s="63">
        <f t="shared" si="35"/>
        <v>0.75274441571890915</v>
      </c>
      <c r="DP19" s="63">
        <f t="shared" si="35"/>
        <v>0.75268348823989439</v>
      </c>
      <c r="DQ19" s="63">
        <f t="shared" si="35"/>
        <v>0.75265580526157305</v>
      </c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>
        <f t="shared" ref="ED19:EW19" si="36">(ED15+ED20)/ED5</f>
        <v>0.51905336011385894</v>
      </c>
      <c r="EE19" s="62">
        <f t="shared" si="36"/>
        <v>0.52260511817434818</v>
      </c>
      <c r="EF19" s="62">
        <f t="shared" si="36"/>
        <v>0.55068275772233644</v>
      </c>
      <c r="EG19" s="62">
        <f t="shared" si="36"/>
        <v>0.55823819124910001</v>
      </c>
      <c r="EH19" s="62">
        <f t="shared" si="36"/>
        <v>0.56806387225548904</v>
      </c>
      <c r="EI19" s="62">
        <f t="shared" si="36"/>
        <v>0.59160636758321272</v>
      </c>
      <c r="EJ19" s="62">
        <f t="shared" si="36"/>
        <v>0.60160592958616432</v>
      </c>
      <c r="EK19" s="62">
        <f t="shared" si="36"/>
        <v>0.61736087401843631</v>
      </c>
      <c r="EL19" s="62">
        <f t="shared" si="36"/>
        <v>0.62483971423337603</v>
      </c>
      <c r="EM19" s="62">
        <f t="shared" si="36"/>
        <v>0.65655172413793106</v>
      </c>
      <c r="EN19" s="62">
        <f t="shared" si="36"/>
        <v>0.66760793638998295</v>
      </c>
      <c r="EO19" s="62">
        <f t="shared" si="36"/>
        <v>0.59186624156595236</v>
      </c>
      <c r="EP19" s="62">
        <f t="shared" si="36"/>
        <v>0.73796001444469983</v>
      </c>
      <c r="EQ19" s="62">
        <f t="shared" si="36"/>
        <v>0.75484493896411409</v>
      </c>
      <c r="ER19" s="62">
        <f t="shared" si="36"/>
        <v>0.71313988274412099</v>
      </c>
      <c r="ES19" s="625">
        <f t="shared" si="36"/>
        <v>0.7504183207021683</v>
      </c>
      <c r="ET19" s="625">
        <f t="shared" si="36"/>
        <v>0.75187150267735792</v>
      </c>
      <c r="EU19" s="625">
        <f t="shared" si="36"/>
        <v>0.7526509860960493</v>
      </c>
      <c r="EV19" s="625">
        <f t="shared" si="36"/>
        <v>0.7526967513016769</v>
      </c>
      <c r="EW19" s="625">
        <f t="shared" si="36"/>
        <v>0.75272926262209694</v>
      </c>
    </row>
    <row r="20" spans="1:153" s="628" customFormat="1" ht="11.25" hidden="1" customHeight="1" outlineLevel="1">
      <c r="A20" s="626" t="s">
        <v>231</v>
      </c>
      <c r="B20" s="627"/>
      <c r="C20" s="627"/>
      <c r="D20" s="627"/>
      <c r="E20" s="627"/>
      <c r="F20" s="627"/>
      <c r="G20" s="627"/>
      <c r="H20" s="627"/>
      <c r="I20" s="627"/>
      <c r="J20" s="627"/>
      <c r="K20" s="627"/>
      <c r="L20" s="627"/>
      <c r="M20" s="627"/>
      <c r="N20" s="627"/>
      <c r="O20" s="627"/>
      <c r="P20" s="627"/>
      <c r="Q20" s="627"/>
      <c r="R20" s="627"/>
      <c r="S20" s="627"/>
      <c r="T20" s="627"/>
      <c r="U20" s="627"/>
      <c r="V20" s="627"/>
      <c r="W20" s="627"/>
      <c r="X20" s="627"/>
      <c r="Y20" s="627"/>
      <c r="Z20" s="627"/>
      <c r="AA20" s="627"/>
      <c r="AB20" s="627"/>
      <c r="AC20" s="627"/>
      <c r="AD20" s="627"/>
      <c r="AE20" s="627"/>
      <c r="AF20" s="627"/>
      <c r="AG20" s="627"/>
      <c r="AH20" s="627"/>
      <c r="AI20" s="627"/>
      <c r="AJ20" s="627"/>
      <c r="AK20" s="627"/>
      <c r="AL20" s="627">
        <v>1.8029999999999999</v>
      </c>
      <c r="AM20" s="627">
        <v>2.2890000000000001</v>
      </c>
      <c r="AN20" s="627">
        <v>2.4900000000000002</v>
      </c>
      <c r="AO20" s="627">
        <v>1.726</v>
      </c>
      <c r="AP20" s="627">
        <v>2.4769999999999999</v>
      </c>
      <c r="AQ20" s="627">
        <v>2.7480000000000002</v>
      </c>
      <c r="AR20" s="627">
        <v>3.0489999999999999</v>
      </c>
      <c r="AS20" s="627">
        <v>3.048</v>
      </c>
      <c r="AT20" s="627">
        <v>2.5259999999999998</v>
      </c>
      <c r="AU20" s="627">
        <v>2.649</v>
      </c>
      <c r="AV20" s="627">
        <v>2.4889999999999999</v>
      </c>
      <c r="AW20" s="627">
        <v>2.8260000000000001</v>
      </c>
      <c r="AX20" s="627">
        <v>2.653</v>
      </c>
      <c r="AY20" s="627">
        <v>2.1680000000000001</v>
      </c>
      <c r="AZ20" s="627">
        <v>3.09</v>
      </c>
      <c r="BA20" s="627">
        <v>2.7770000000000001</v>
      </c>
      <c r="BB20" s="627">
        <v>2.919</v>
      </c>
      <c r="BC20" s="627">
        <v>3</v>
      </c>
      <c r="BD20" s="627">
        <v>4</v>
      </c>
      <c r="BE20" s="627">
        <v>4</v>
      </c>
      <c r="BF20" s="627">
        <v>2</v>
      </c>
      <c r="BG20" s="627">
        <v>3</v>
      </c>
      <c r="BH20" s="627">
        <v>4</v>
      </c>
      <c r="BI20" s="627">
        <v>5</v>
      </c>
      <c r="BJ20" s="627">
        <v>4</v>
      </c>
      <c r="BK20" s="627">
        <v>4</v>
      </c>
      <c r="BL20" s="627">
        <v>3</v>
      </c>
      <c r="BM20" s="627">
        <v>4</v>
      </c>
      <c r="BN20" s="627">
        <v>4</v>
      </c>
      <c r="BO20" s="627">
        <v>4</v>
      </c>
      <c r="BP20" s="627">
        <v>6</v>
      </c>
      <c r="BQ20" s="627">
        <v>7</v>
      </c>
      <c r="BR20" s="627">
        <v>8</v>
      </c>
      <c r="BS20" s="627">
        <v>8</v>
      </c>
      <c r="BT20" s="627">
        <v>5</v>
      </c>
      <c r="BU20" s="627">
        <v>6</v>
      </c>
      <c r="BV20" s="627">
        <v>4</v>
      </c>
      <c r="BW20" s="627">
        <v>8</v>
      </c>
      <c r="BX20" s="627">
        <v>15</v>
      </c>
      <c r="BY20" s="627">
        <v>12</v>
      </c>
      <c r="BZ20" s="627">
        <v>21</v>
      </c>
      <c r="CA20" s="627">
        <v>14</v>
      </c>
      <c r="CB20" s="627">
        <v>28</v>
      </c>
      <c r="CC20" s="627">
        <v>26</v>
      </c>
      <c r="CD20" s="627">
        <v>25</v>
      </c>
      <c r="CE20" s="627">
        <v>32</v>
      </c>
      <c r="CF20" s="627">
        <v>44</v>
      </c>
      <c r="CG20" s="627">
        <v>39</v>
      </c>
      <c r="CH20" s="627">
        <v>38</v>
      </c>
      <c r="CI20" s="627">
        <v>38</v>
      </c>
      <c r="CJ20" s="627">
        <v>32</v>
      </c>
      <c r="CK20" s="627">
        <v>30</v>
      </c>
      <c r="CL20" s="627">
        <v>27</v>
      </c>
      <c r="CM20" s="627">
        <v>31</v>
      </c>
      <c r="CN20" s="627">
        <v>38</v>
      </c>
      <c r="CO20" s="627">
        <v>45</v>
      </c>
      <c r="CP20" s="627">
        <v>36</v>
      </c>
      <c r="CQ20" s="627">
        <v>40</v>
      </c>
      <c r="CR20" s="627">
        <v>50</v>
      </c>
      <c r="CS20" s="627">
        <v>53</v>
      </c>
      <c r="CT20" s="627">
        <v>64</v>
      </c>
      <c r="CU20" s="627">
        <v>58</v>
      </c>
      <c r="CV20" s="627">
        <v>70</v>
      </c>
      <c r="CW20" s="627">
        <v>69</v>
      </c>
      <c r="CX20" s="627">
        <v>69</v>
      </c>
      <c r="CY20" s="627">
        <f t="shared" ref="CY20:DQ20" si="37">CX20+1</f>
        <v>70</v>
      </c>
      <c r="CZ20" s="627">
        <f t="shared" si="37"/>
        <v>71</v>
      </c>
      <c r="DA20" s="627">
        <f t="shared" si="37"/>
        <v>72</v>
      </c>
      <c r="DB20" s="627">
        <f t="shared" si="37"/>
        <v>73</v>
      </c>
      <c r="DC20" s="627">
        <f t="shared" si="37"/>
        <v>74</v>
      </c>
      <c r="DD20" s="627">
        <f t="shared" si="37"/>
        <v>75</v>
      </c>
      <c r="DE20" s="627">
        <f t="shared" si="37"/>
        <v>76</v>
      </c>
      <c r="DF20" s="627">
        <f t="shared" si="37"/>
        <v>77</v>
      </c>
      <c r="DG20" s="627">
        <f t="shared" si="37"/>
        <v>78</v>
      </c>
      <c r="DH20" s="627">
        <f t="shared" si="37"/>
        <v>79</v>
      </c>
      <c r="DI20" s="627">
        <f t="shared" si="37"/>
        <v>80</v>
      </c>
      <c r="DJ20" s="627">
        <f t="shared" si="37"/>
        <v>81</v>
      </c>
      <c r="DK20" s="627">
        <f t="shared" si="37"/>
        <v>82</v>
      </c>
      <c r="DL20" s="627">
        <f t="shared" si="37"/>
        <v>83</v>
      </c>
      <c r="DM20" s="627">
        <f t="shared" si="37"/>
        <v>84</v>
      </c>
      <c r="DN20" s="627">
        <f t="shared" si="37"/>
        <v>85</v>
      </c>
      <c r="DO20" s="627">
        <f t="shared" si="37"/>
        <v>86</v>
      </c>
      <c r="DP20" s="627">
        <f t="shared" si="37"/>
        <v>87</v>
      </c>
      <c r="DQ20" s="627">
        <f t="shared" si="37"/>
        <v>88</v>
      </c>
      <c r="DT20" s="64"/>
      <c r="DU20" s="64"/>
      <c r="DV20" s="64"/>
      <c r="DW20" s="64"/>
      <c r="DX20" s="64"/>
      <c r="DY20" s="64"/>
      <c r="DZ20" s="64"/>
      <c r="EA20" s="64"/>
      <c r="EB20" s="64"/>
      <c r="EC20" s="64"/>
      <c r="ED20" s="627">
        <f>SUM(AP20:AS20)</f>
        <v>11.321999999999999</v>
      </c>
      <c r="EE20" s="627">
        <f>SUM(AT20:AW20)</f>
        <v>10.49</v>
      </c>
      <c r="EF20" s="627">
        <f>SUM(AX20:BA20)</f>
        <v>10.687999999999999</v>
      </c>
      <c r="EG20" s="627">
        <f>SUM(BB20:BE20)</f>
        <v>13.919</v>
      </c>
      <c r="EH20" s="627">
        <f>SUM(BF20:BI20)</f>
        <v>14</v>
      </c>
      <c r="EI20" s="627">
        <f>SUM(BJ20:BM20)</f>
        <v>15</v>
      </c>
      <c r="EJ20" s="627">
        <f>SUM(BN20:BQ20)</f>
        <v>21</v>
      </c>
      <c r="EK20" s="627">
        <f>SUM(BR20:BU20)</f>
        <v>27</v>
      </c>
      <c r="EL20" s="627">
        <f>BV20+BW20+BX20+BY20</f>
        <v>39</v>
      </c>
      <c r="EM20" s="627">
        <f>CC20+CB20+CA20+BZ20</f>
        <v>89</v>
      </c>
      <c r="EN20" s="627">
        <f>+CD20+CE20+CF20+CG20</f>
        <v>140</v>
      </c>
      <c r="EO20" s="627">
        <f>SUM(CH20:CK20)</f>
        <v>138</v>
      </c>
      <c r="EP20" s="627">
        <f>SUM(CL20:CO20)</f>
        <v>141</v>
      </c>
      <c r="EQ20" s="627">
        <f>SUM(CP20:CS20)</f>
        <v>179</v>
      </c>
      <c r="ER20" s="627">
        <f>SUM(CT20:CW20)</f>
        <v>261</v>
      </c>
      <c r="ES20" s="627">
        <f>SUM(CX20:DA20)</f>
        <v>282</v>
      </c>
      <c r="ET20" s="627">
        <f>SUM(DB20:DE20)</f>
        <v>298</v>
      </c>
      <c r="EU20" s="627">
        <f>SUM(DF20:DI20)</f>
        <v>314</v>
      </c>
      <c r="EV20" s="627">
        <f>SUM(DJ20:DM20)</f>
        <v>330</v>
      </c>
      <c r="EW20" s="627">
        <f>SUM(DN20:DQ20)</f>
        <v>346</v>
      </c>
    </row>
    <row r="21" spans="1:153" s="49" customFormat="1" ht="11.25" customHeight="1" collapsed="1">
      <c r="A21" s="619" t="s">
        <v>232</v>
      </c>
      <c r="B21" s="35">
        <f>B30+B35</f>
        <v>51.715000000000003</v>
      </c>
      <c r="C21" s="35">
        <f t="shared" ref="C21:BN21" si="38">C30+C35</f>
        <v>54.171999999999997</v>
      </c>
      <c r="D21" s="35">
        <f t="shared" si="38"/>
        <v>69.204999999999998</v>
      </c>
      <c r="E21" s="35">
        <f t="shared" si="38"/>
        <v>76.013000000000005</v>
      </c>
      <c r="F21" s="35">
        <f t="shared" si="38"/>
        <v>89.97399999999999</v>
      </c>
      <c r="G21" s="35">
        <f t="shared" si="38"/>
        <v>93.137</v>
      </c>
      <c r="H21" s="35">
        <f t="shared" si="38"/>
        <v>96.472000000000008</v>
      </c>
      <c r="I21" s="35">
        <f t="shared" si="38"/>
        <v>96.775000000000006</v>
      </c>
      <c r="J21" s="35">
        <f t="shared" si="38"/>
        <v>100.22</v>
      </c>
      <c r="K21" s="35">
        <f t="shared" si="38"/>
        <v>105.34200000000001</v>
      </c>
      <c r="L21" s="35">
        <f t="shared" si="38"/>
        <v>115.27000000000001</v>
      </c>
      <c r="M21" s="35">
        <f t="shared" si="38"/>
        <v>114.389</v>
      </c>
      <c r="N21" s="35">
        <f t="shared" si="38"/>
        <v>124.956</v>
      </c>
      <c r="O21" s="35">
        <f t="shared" si="38"/>
        <v>136.29400000000001</v>
      </c>
      <c r="P21" s="35">
        <f t="shared" si="38"/>
        <v>137.98399999999998</v>
      </c>
      <c r="Q21" s="35">
        <f t="shared" si="38"/>
        <v>136.65899999999999</v>
      </c>
      <c r="R21" s="35">
        <f t="shared" si="38"/>
        <v>133.971</v>
      </c>
      <c r="S21" s="35">
        <f t="shared" si="38"/>
        <v>137.49699999999999</v>
      </c>
      <c r="T21" s="35">
        <f t="shared" si="38"/>
        <v>142.47399999999999</v>
      </c>
      <c r="U21" s="35">
        <f t="shared" si="38"/>
        <v>142.59800000000001</v>
      </c>
      <c r="V21" s="35">
        <f t="shared" si="38"/>
        <v>187.16399999999999</v>
      </c>
      <c r="W21" s="35">
        <f t="shared" si="38"/>
        <v>196.31200000000001</v>
      </c>
      <c r="X21" s="35">
        <f t="shared" si="38"/>
        <v>214.82900000000001</v>
      </c>
      <c r="Y21" s="35">
        <f t="shared" si="38"/>
        <v>233.792</v>
      </c>
      <c r="Z21" s="35">
        <f t="shared" si="38"/>
        <v>238.892</v>
      </c>
      <c r="AA21" s="35">
        <f t="shared" si="38"/>
        <v>239.232</v>
      </c>
      <c r="AB21" s="35">
        <f t="shared" si="38"/>
        <v>267.71199999999999</v>
      </c>
      <c r="AC21" s="35">
        <f t="shared" si="38"/>
        <v>283.09800000000001</v>
      </c>
      <c r="AD21" s="35">
        <f t="shared" si="38"/>
        <v>311.86400000000003</v>
      </c>
      <c r="AE21" s="35">
        <f t="shared" si="38"/>
        <v>305.30899999999997</v>
      </c>
      <c r="AF21" s="35">
        <f t="shared" si="38"/>
        <v>298.209</v>
      </c>
      <c r="AG21" s="35">
        <f t="shared" si="38"/>
        <v>298.21899999999999</v>
      </c>
      <c r="AH21" s="35">
        <f t="shared" si="38"/>
        <v>291.83199999999999</v>
      </c>
      <c r="AI21" s="35">
        <f t="shared" si="38"/>
        <v>267.76900000000001</v>
      </c>
      <c r="AJ21" s="35">
        <f t="shared" si="38"/>
        <v>283.93799999999999</v>
      </c>
      <c r="AK21" s="35">
        <f t="shared" si="38"/>
        <v>304.43900000000002</v>
      </c>
      <c r="AL21" s="35">
        <f t="shared" si="38"/>
        <v>308.98399999999998</v>
      </c>
      <c r="AM21" s="35">
        <f t="shared" si="38"/>
        <v>296.79399999999998</v>
      </c>
      <c r="AN21" s="35">
        <f t="shared" si="38"/>
        <v>288.279</v>
      </c>
      <c r="AO21" s="35">
        <f t="shared" si="38"/>
        <v>303.58100000000002</v>
      </c>
      <c r="AP21" s="35">
        <f t="shared" si="38"/>
        <v>329.64100000000002</v>
      </c>
      <c r="AQ21" s="35">
        <f t="shared" si="38"/>
        <v>343.69200000000001</v>
      </c>
      <c r="AR21" s="35">
        <f t="shared" si="38"/>
        <v>353.214</v>
      </c>
      <c r="AS21" s="35">
        <f t="shared" si="38"/>
        <v>362.64400000000001</v>
      </c>
      <c r="AT21" s="35">
        <f t="shared" si="38"/>
        <v>381.02499999999998</v>
      </c>
      <c r="AU21" s="35">
        <f t="shared" si="38"/>
        <v>372.11</v>
      </c>
      <c r="AV21" s="35">
        <f t="shared" si="38"/>
        <v>375.37299999999999</v>
      </c>
      <c r="AW21" s="35">
        <f t="shared" si="38"/>
        <v>393.33100000000002</v>
      </c>
      <c r="AX21" s="35">
        <f t="shared" si="38"/>
        <v>426.92599999999999</v>
      </c>
      <c r="AY21" s="35">
        <f t="shared" si="38"/>
        <v>431.04</v>
      </c>
      <c r="AZ21" s="35">
        <f t="shared" si="38"/>
        <v>436.61499999999995</v>
      </c>
      <c r="BA21" s="35">
        <f t="shared" si="38"/>
        <v>441.22300000000001</v>
      </c>
      <c r="BB21" s="35">
        <f t="shared" si="38"/>
        <v>443.40199999999999</v>
      </c>
      <c r="BC21" s="35">
        <f t="shared" si="38"/>
        <v>446.62200000000001</v>
      </c>
      <c r="BD21" s="35">
        <f t="shared" si="38"/>
        <v>453.81099999999998</v>
      </c>
      <c r="BE21" s="35">
        <f t="shared" si="38"/>
        <v>459.298</v>
      </c>
      <c r="BF21" s="35">
        <f t="shared" si="38"/>
        <v>468</v>
      </c>
      <c r="BG21" s="35">
        <f t="shared" si="38"/>
        <v>465</v>
      </c>
      <c r="BH21" s="35">
        <f t="shared" si="38"/>
        <v>477</v>
      </c>
      <c r="BI21" s="35">
        <f t="shared" si="38"/>
        <v>501</v>
      </c>
      <c r="BJ21" s="35">
        <f>BJ30+BJ35</f>
        <v>492</v>
      </c>
      <c r="BK21" s="620">
        <f t="shared" si="38"/>
        <v>502</v>
      </c>
      <c r="BL21" s="35">
        <f t="shared" si="38"/>
        <v>540</v>
      </c>
      <c r="BM21" s="35">
        <f t="shared" si="38"/>
        <v>566</v>
      </c>
      <c r="BN21" s="35">
        <f t="shared" si="38"/>
        <v>590</v>
      </c>
      <c r="BO21" s="35">
        <f t="shared" ref="BO21:DQ21" si="39">BO30+BO35</f>
        <v>610</v>
      </c>
      <c r="BP21" s="35">
        <f t="shared" si="39"/>
        <v>671</v>
      </c>
      <c r="BQ21" s="35">
        <f t="shared" si="39"/>
        <v>726</v>
      </c>
      <c r="BR21" s="35">
        <f t="shared" si="39"/>
        <v>769</v>
      </c>
      <c r="BS21" s="35">
        <f t="shared" si="39"/>
        <v>816</v>
      </c>
      <c r="BT21" s="35">
        <f t="shared" si="39"/>
        <v>865</v>
      </c>
      <c r="BU21" s="35">
        <f t="shared" si="39"/>
        <v>905</v>
      </c>
      <c r="BV21" s="35">
        <f t="shared" si="39"/>
        <v>927</v>
      </c>
      <c r="BW21" s="35">
        <f t="shared" si="39"/>
        <v>965</v>
      </c>
      <c r="BX21" s="35">
        <f t="shared" si="39"/>
        <v>982</v>
      </c>
      <c r="BY21" s="35">
        <f t="shared" si="39"/>
        <v>1018</v>
      </c>
      <c r="BZ21" s="35">
        <f t="shared" si="39"/>
        <v>1024</v>
      </c>
      <c r="CA21" s="35">
        <f t="shared" si="39"/>
        <v>1395</v>
      </c>
      <c r="CB21" s="35">
        <f t="shared" si="39"/>
        <v>1457</v>
      </c>
      <c r="CC21" s="35">
        <f t="shared" si="39"/>
        <v>1578</v>
      </c>
      <c r="CD21" s="35">
        <f t="shared" si="39"/>
        <v>1593</v>
      </c>
      <c r="CE21" s="35">
        <f t="shared" si="39"/>
        <v>1699</v>
      </c>
      <c r="CF21" s="35">
        <f t="shared" si="39"/>
        <v>1890</v>
      </c>
      <c r="CG21" s="35">
        <f t="shared" si="39"/>
        <v>1959</v>
      </c>
      <c r="CH21" s="35">
        <f t="shared" si="39"/>
        <v>2148</v>
      </c>
      <c r="CI21" s="35">
        <f t="shared" si="39"/>
        <v>2360</v>
      </c>
      <c r="CJ21" s="35">
        <f t="shared" si="39"/>
        <v>2506</v>
      </c>
      <c r="CK21" s="35">
        <f t="shared" si="39"/>
        <v>2484</v>
      </c>
      <c r="CL21" s="35">
        <f t="shared" si="39"/>
        <v>2458</v>
      </c>
      <c r="CM21" s="35">
        <f t="shared" si="39"/>
        <v>2649</v>
      </c>
      <c r="CN21" s="35">
        <f t="shared" si="39"/>
        <v>2967</v>
      </c>
      <c r="CO21" s="35">
        <f t="shared" si="39"/>
        <v>3158</v>
      </c>
      <c r="CP21" s="35">
        <f t="shared" si="39"/>
        <v>3476</v>
      </c>
      <c r="CQ21" s="35">
        <f t="shared" si="39"/>
        <v>3906</v>
      </c>
      <c r="CR21" s="35">
        <f t="shared" si="39"/>
        <v>4248</v>
      </c>
      <c r="CS21" s="35">
        <f t="shared" si="39"/>
        <v>4646</v>
      </c>
      <c r="CT21" s="35">
        <f t="shared" si="39"/>
        <v>4993</v>
      </c>
      <c r="CU21" s="35">
        <f t="shared" si="39"/>
        <v>5361</v>
      </c>
      <c r="CV21" s="35">
        <f t="shared" si="39"/>
        <v>5800</v>
      </c>
      <c r="CW21" s="35">
        <f>CW30+CW35</f>
        <v>6666</v>
      </c>
      <c r="CX21" s="35">
        <f>CX30+CX35</f>
        <v>7449</v>
      </c>
      <c r="CY21" s="48">
        <f t="shared" si="39"/>
        <v>8320.32</v>
      </c>
      <c r="CZ21" s="48">
        <f t="shared" si="39"/>
        <v>8711.52</v>
      </c>
      <c r="DA21" s="48">
        <f t="shared" si="39"/>
        <v>9047.2005600000011</v>
      </c>
      <c r="DB21" s="48">
        <f t="shared" si="39"/>
        <v>9731.4856632000028</v>
      </c>
      <c r="DC21" s="48">
        <f t="shared" si="39"/>
        <v>10552.032054648003</v>
      </c>
      <c r="DD21" s="48">
        <f t="shared" si="39"/>
        <v>11247.135535359364</v>
      </c>
      <c r="DE21" s="48">
        <f t="shared" si="39"/>
        <v>11891.776791721886</v>
      </c>
      <c r="DF21" s="48">
        <f t="shared" si="39"/>
        <v>12336.05351260136</v>
      </c>
      <c r="DG21" s="48">
        <f t="shared" si="39"/>
        <v>12781.462296397629</v>
      </c>
      <c r="DH21" s="48">
        <f t="shared" si="39"/>
        <v>13132.563705106317</v>
      </c>
      <c r="DI21" s="48">
        <f t="shared" si="39"/>
        <v>13493.874731474432</v>
      </c>
      <c r="DJ21" s="48">
        <f t="shared" si="39"/>
        <v>13747.255954287459</v>
      </c>
      <c r="DK21" s="48">
        <f t="shared" si="39"/>
        <v>14022.20107337321</v>
      </c>
      <c r="DL21" s="48">
        <f t="shared" si="39"/>
        <v>14162.423084106942</v>
      </c>
      <c r="DM21" s="48">
        <f t="shared" si="39"/>
        <v>14428.507141971508</v>
      </c>
      <c r="DN21" s="48">
        <f t="shared" si="39"/>
        <v>14699.741236955189</v>
      </c>
      <c r="DO21" s="48">
        <f t="shared" si="39"/>
        <v>15105.714657395234</v>
      </c>
      <c r="DP21" s="48">
        <f t="shared" si="39"/>
        <v>15523.517092281794</v>
      </c>
      <c r="DQ21" s="48">
        <f t="shared" si="39"/>
        <v>15953.499910166598</v>
      </c>
      <c r="DT21" s="35">
        <f>SUM(B21:E21)</f>
        <v>251.10499999999999</v>
      </c>
      <c r="DU21" s="35">
        <f>SUM(F21:I21)</f>
        <v>376.35799999999995</v>
      </c>
      <c r="DV21" s="35">
        <f>SUM(J21:M21)</f>
        <v>435.221</v>
      </c>
      <c r="DW21" s="35">
        <f>SUM(N21:Q21)</f>
        <v>535.89300000000003</v>
      </c>
      <c r="DX21" s="35">
        <f>SUM(R21:U21)</f>
        <v>556.54</v>
      </c>
      <c r="DY21" s="35">
        <f>SUM(V21:Y21)</f>
        <v>832.09700000000009</v>
      </c>
      <c r="DZ21" s="35">
        <f>SUM(Z21:AC21)</f>
        <v>1028.934</v>
      </c>
      <c r="EA21" s="35">
        <f>SUM(AD21:AG21)</f>
        <v>1213.6010000000001</v>
      </c>
      <c r="EB21" s="35">
        <f>SUM(AH21:AK21)</f>
        <v>1147.9780000000001</v>
      </c>
      <c r="EC21" s="35">
        <f>SUM(AL21:AO21)</f>
        <v>1197.6379999999999</v>
      </c>
      <c r="ED21" s="35">
        <f>SUM(AP21:AS21)</f>
        <v>1389.191</v>
      </c>
      <c r="EE21" s="35">
        <f>SUM(AT21:AW21)</f>
        <v>1521.8389999999999</v>
      </c>
      <c r="EF21" s="35">
        <f>SUM(AX21:BA21)</f>
        <v>1735.8039999999999</v>
      </c>
      <c r="EG21" s="35">
        <f>SUM(BB21:BE21)</f>
        <v>1803.133</v>
      </c>
      <c r="EH21" s="35">
        <f>SUM(BF21:BI21)</f>
        <v>1911</v>
      </c>
      <c r="EI21" s="35">
        <f>SUM(BJ21:BM21)</f>
        <v>2100</v>
      </c>
      <c r="EJ21" s="35">
        <f>SUM(BN21:BQ21)</f>
        <v>2597</v>
      </c>
      <c r="EK21" s="35">
        <f>SUM(BR21:BU21)</f>
        <v>3355</v>
      </c>
      <c r="EL21" s="35">
        <f>BV21+BW21+BX21+BY21</f>
        <v>3892</v>
      </c>
      <c r="EM21" s="35">
        <f>CC21+CB21+CA21+BZ21</f>
        <v>5454</v>
      </c>
      <c r="EN21" s="35">
        <f>+CD21+CE21+CF21+CG21</f>
        <v>7141</v>
      </c>
      <c r="EO21" s="35">
        <f>SUM(CH21:CK21)</f>
        <v>9498</v>
      </c>
      <c r="EP21" s="35">
        <f>SUM(CL21:CO21)</f>
        <v>11232</v>
      </c>
      <c r="EQ21" s="35">
        <f>SUM(CP21:CS21)</f>
        <v>16276</v>
      </c>
      <c r="ER21" s="35">
        <f>SUM(CT21:CW21)</f>
        <v>22820</v>
      </c>
      <c r="ES21" s="48">
        <f>SUM(CX21:DA21)</f>
        <v>33528.040560000001</v>
      </c>
      <c r="ET21" s="48">
        <f>SUM(DB21:DE21)</f>
        <v>43422.430044929257</v>
      </c>
      <c r="EU21" s="48">
        <f>SUM(DF21:DI21)</f>
        <v>51743.954245579742</v>
      </c>
      <c r="EV21" s="48">
        <f>SUM(DJ21:DM21)</f>
        <v>56360.387253739122</v>
      </c>
      <c r="EW21" s="48">
        <f>SUM(DN21:DQ21)</f>
        <v>61282.472896798812</v>
      </c>
    </row>
    <row r="22" spans="1:153" s="52" customFormat="1" ht="11.25" customHeight="1">
      <c r="A22" s="51" t="s">
        <v>223</v>
      </c>
      <c r="C22" s="52">
        <f t="shared" ref="C22:BN22" si="40">C21/B21-1</f>
        <v>4.7510393502852022E-2</v>
      </c>
      <c r="D22" s="52">
        <f t="shared" si="40"/>
        <v>0.27750498412463998</v>
      </c>
      <c r="E22" s="52">
        <f t="shared" si="40"/>
        <v>9.83743949136624E-2</v>
      </c>
      <c r="F22" s="52">
        <f t="shared" si="40"/>
        <v>0.18366595187665236</v>
      </c>
      <c r="G22" s="52">
        <f t="shared" si="40"/>
        <v>3.5154600217840892E-2</v>
      </c>
      <c r="H22" s="52">
        <f t="shared" si="40"/>
        <v>3.580746642043442E-2</v>
      </c>
      <c r="I22" s="52">
        <f t="shared" si="40"/>
        <v>3.1408076954970721E-3</v>
      </c>
      <c r="J22" s="52">
        <f t="shared" si="40"/>
        <v>3.5598036683027523E-2</v>
      </c>
      <c r="K22" s="52">
        <f t="shared" si="40"/>
        <v>5.1107563360606845E-2</v>
      </c>
      <c r="L22" s="52">
        <f t="shared" si="40"/>
        <v>9.4245410187769219E-2</v>
      </c>
      <c r="M22" s="52">
        <f t="shared" si="40"/>
        <v>-7.6429253058039048E-3</v>
      </c>
      <c r="N22" s="52">
        <f t="shared" si="40"/>
        <v>9.237776359615002E-2</v>
      </c>
      <c r="O22" s="52">
        <f t="shared" si="40"/>
        <v>9.0735939050545777E-2</v>
      </c>
      <c r="P22" s="52">
        <f t="shared" si="40"/>
        <v>1.2399665429145612E-2</v>
      </c>
      <c r="Q22" s="52">
        <f t="shared" si="40"/>
        <v>-9.602562615955379E-3</v>
      </c>
      <c r="R22" s="52">
        <f t="shared" si="40"/>
        <v>-1.9669396088073166E-2</v>
      </c>
      <c r="S22" s="52">
        <f t="shared" si="40"/>
        <v>2.6319128766673305E-2</v>
      </c>
      <c r="T22" s="52">
        <f t="shared" si="40"/>
        <v>3.6197153392437675E-2</v>
      </c>
      <c r="U22" s="52">
        <f t="shared" si="40"/>
        <v>8.7033423642224328E-4</v>
      </c>
      <c r="V22" s="52">
        <f t="shared" si="40"/>
        <v>0.3125289274744385</v>
      </c>
      <c r="W22" s="52">
        <f t="shared" si="40"/>
        <v>4.8876920775362986E-2</v>
      </c>
      <c r="X22" s="52">
        <f t="shared" si="40"/>
        <v>9.4324340845185262E-2</v>
      </c>
      <c r="Y22" s="52">
        <f t="shared" si="40"/>
        <v>8.8270205605388341E-2</v>
      </c>
      <c r="Z22" s="52">
        <f t="shared" si="40"/>
        <v>2.181426225020533E-2</v>
      </c>
      <c r="AA22" s="52">
        <f t="shared" si="40"/>
        <v>1.4232372787703618E-3</v>
      </c>
      <c r="AB22" s="52">
        <f t="shared" si="40"/>
        <v>0.11904761904761907</v>
      </c>
      <c r="AC22" s="52">
        <f t="shared" si="40"/>
        <v>5.7472208940951619E-2</v>
      </c>
      <c r="AD22" s="52">
        <f t="shared" si="40"/>
        <v>0.10161145610354017</v>
      </c>
      <c r="AE22" s="52">
        <f t="shared" si="40"/>
        <v>-2.101877741579683E-2</v>
      </c>
      <c r="AF22" s="52">
        <f t="shared" si="40"/>
        <v>-2.3255128410888504E-2</v>
      </c>
      <c r="AG22" s="52">
        <f t="shared" si="40"/>
        <v>3.3533528498441711E-5</v>
      </c>
      <c r="AH22" s="52">
        <f t="shared" si="40"/>
        <v>-2.1417146459481118E-2</v>
      </c>
      <c r="AI22" s="52">
        <f t="shared" si="40"/>
        <v>-8.2454974094684608E-2</v>
      </c>
      <c r="AJ22" s="52">
        <f t="shared" si="40"/>
        <v>6.0384137073372868E-2</v>
      </c>
      <c r="AK22" s="52">
        <f t="shared" si="40"/>
        <v>7.2202382210200922E-2</v>
      </c>
      <c r="AL22" s="52">
        <f t="shared" si="40"/>
        <v>1.4929099097027443E-2</v>
      </c>
      <c r="AM22" s="52">
        <f t="shared" si="40"/>
        <v>-3.9451881003547129E-2</v>
      </c>
      <c r="AN22" s="52">
        <f t="shared" si="40"/>
        <v>-2.8689933084900643E-2</v>
      </c>
      <c r="AO22" s="52">
        <f t="shared" si="40"/>
        <v>5.3080522688090381E-2</v>
      </c>
      <c r="AP22" s="52">
        <f t="shared" si="40"/>
        <v>8.584199933460912E-2</v>
      </c>
      <c r="AQ22" s="52">
        <f t="shared" si="40"/>
        <v>4.262515888496865E-2</v>
      </c>
      <c r="AR22" s="52">
        <f t="shared" si="40"/>
        <v>2.7705038231905288E-2</v>
      </c>
      <c r="AS22" s="52">
        <f t="shared" si="40"/>
        <v>2.6697696014314376E-2</v>
      </c>
      <c r="AT22" s="52">
        <f t="shared" si="40"/>
        <v>5.0686072291282747E-2</v>
      </c>
      <c r="AU22" s="52">
        <f t="shared" si="40"/>
        <v>-2.3397414867790678E-2</v>
      </c>
      <c r="AV22" s="52">
        <f t="shared" si="40"/>
        <v>8.7689124183707445E-3</v>
      </c>
      <c r="AW22" s="52">
        <f t="shared" si="40"/>
        <v>4.7840414734144465E-2</v>
      </c>
      <c r="AX22" s="52">
        <f t="shared" si="40"/>
        <v>8.5411523627682451E-2</v>
      </c>
      <c r="AY22" s="52">
        <f t="shared" si="40"/>
        <v>9.6363304179178932E-3</v>
      </c>
      <c r="AZ22" s="52">
        <f t="shared" si="40"/>
        <v>1.2933834446918979E-2</v>
      </c>
      <c r="BA22" s="52">
        <f t="shared" si="40"/>
        <v>1.0553920502044178E-2</v>
      </c>
      <c r="BB22" s="52">
        <f t="shared" si="40"/>
        <v>4.9385458147013228E-3</v>
      </c>
      <c r="BC22" s="52">
        <f t="shared" si="40"/>
        <v>7.2620330986328252E-3</v>
      </c>
      <c r="BD22" s="52">
        <f t="shared" si="40"/>
        <v>1.6096385757978782E-2</v>
      </c>
      <c r="BE22" s="52">
        <f t="shared" si="40"/>
        <v>1.2090936535253727E-2</v>
      </c>
      <c r="BF22" s="52">
        <f t="shared" si="40"/>
        <v>1.8946305013302966E-2</v>
      </c>
      <c r="BG22" s="52">
        <f t="shared" si="40"/>
        <v>-6.4102564102563875E-3</v>
      </c>
      <c r="BH22" s="52">
        <f t="shared" si="40"/>
        <v>2.5806451612903292E-2</v>
      </c>
      <c r="BI22" s="52">
        <f t="shared" si="40"/>
        <v>5.031446540880502E-2</v>
      </c>
      <c r="BJ22" s="52">
        <f t="shared" si="40"/>
        <v>-1.7964071856287456E-2</v>
      </c>
      <c r="BK22" s="621">
        <f t="shared" si="40"/>
        <v>2.0325203252032464E-2</v>
      </c>
      <c r="BL22" s="621">
        <f t="shared" si="40"/>
        <v>7.5697211155378419E-2</v>
      </c>
      <c r="BM22" s="52">
        <f t="shared" si="40"/>
        <v>4.8148148148148051E-2</v>
      </c>
      <c r="BN22" s="52">
        <f t="shared" si="40"/>
        <v>4.2402826855123754E-2</v>
      </c>
      <c r="BO22" s="52">
        <f t="shared" ref="BO22:DQ22" si="41">BO21/BN21-1</f>
        <v>3.3898305084745672E-2</v>
      </c>
      <c r="BP22" s="52">
        <f t="shared" si="41"/>
        <v>0.10000000000000009</v>
      </c>
      <c r="BQ22" s="52">
        <f t="shared" si="41"/>
        <v>8.1967213114754189E-2</v>
      </c>
      <c r="BR22" s="52">
        <f t="shared" si="41"/>
        <v>5.9228650137741035E-2</v>
      </c>
      <c r="BS22" s="52">
        <f t="shared" si="41"/>
        <v>6.1118335500650156E-2</v>
      </c>
      <c r="BT22" s="52">
        <f t="shared" si="41"/>
        <v>6.0049019607843146E-2</v>
      </c>
      <c r="BU22" s="52">
        <f t="shared" si="41"/>
        <v>4.6242774566473965E-2</v>
      </c>
      <c r="BV22" s="52">
        <f t="shared" si="41"/>
        <v>2.4309392265193353E-2</v>
      </c>
      <c r="BW22" s="52">
        <f t="shared" si="41"/>
        <v>4.0992448759439082E-2</v>
      </c>
      <c r="BX22" s="52">
        <f t="shared" si="41"/>
        <v>1.7616580310880758E-2</v>
      </c>
      <c r="BY22" s="52">
        <f t="shared" si="41"/>
        <v>3.6659877800407248E-2</v>
      </c>
      <c r="BZ22" s="52">
        <f t="shared" si="41"/>
        <v>5.893909626718985E-3</v>
      </c>
      <c r="CA22" s="52">
        <f t="shared" si="41"/>
        <v>0.3623046875</v>
      </c>
      <c r="CB22" s="52">
        <f t="shared" si="41"/>
        <v>4.4444444444444509E-2</v>
      </c>
      <c r="CC22" s="52">
        <f t="shared" si="41"/>
        <v>8.3047357584076886E-2</v>
      </c>
      <c r="CD22" s="52">
        <f t="shared" si="41"/>
        <v>9.5057034220531467E-3</v>
      </c>
      <c r="CE22" s="52">
        <f t="shared" si="41"/>
        <v>6.6541117388575044E-2</v>
      </c>
      <c r="CF22" s="52">
        <f t="shared" si="41"/>
        <v>0.11241907004120066</v>
      </c>
      <c r="CG22" s="52">
        <f t="shared" si="41"/>
        <v>3.65079365079366E-2</v>
      </c>
      <c r="CH22" s="52">
        <f t="shared" si="41"/>
        <v>9.6477794793261795E-2</v>
      </c>
      <c r="CI22" s="52">
        <f t="shared" si="41"/>
        <v>9.8696461824953508E-2</v>
      </c>
      <c r="CJ22" s="52">
        <f t="shared" si="41"/>
        <v>6.1864406779660985E-2</v>
      </c>
      <c r="CK22" s="52">
        <f t="shared" si="41"/>
        <v>-8.7789305666400308E-3</v>
      </c>
      <c r="CL22" s="52">
        <f t="shared" si="41"/>
        <v>-1.046698872785834E-2</v>
      </c>
      <c r="CM22" s="52">
        <f t="shared" si="41"/>
        <v>7.770545158665576E-2</v>
      </c>
      <c r="CN22" s="52">
        <f t="shared" si="41"/>
        <v>0.12004530011325021</v>
      </c>
      <c r="CO22" s="52">
        <f t="shared" si="41"/>
        <v>6.4374789349511241E-2</v>
      </c>
      <c r="CP22" s="52">
        <f t="shared" si="41"/>
        <v>0.10069664344521856</v>
      </c>
      <c r="CQ22" s="52">
        <f t="shared" si="41"/>
        <v>0.12370540851553513</v>
      </c>
      <c r="CR22" s="52">
        <f t="shared" si="41"/>
        <v>8.7557603686635899E-2</v>
      </c>
      <c r="CS22" s="52">
        <f t="shared" si="41"/>
        <v>9.3691148775894462E-2</v>
      </c>
      <c r="CT22" s="52">
        <f t="shared" si="41"/>
        <v>7.4687903572965952E-2</v>
      </c>
      <c r="CU22" s="52">
        <f t="shared" si="41"/>
        <v>7.3703184458241644E-2</v>
      </c>
      <c r="CV22" s="52">
        <f t="shared" si="41"/>
        <v>8.188770751725416E-2</v>
      </c>
      <c r="CW22" s="52">
        <f t="shared" si="41"/>
        <v>0.14931034482758632</v>
      </c>
      <c r="CX22" s="52">
        <f t="shared" si="41"/>
        <v>0.11746174617461747</v>
      </c>
      <c r="CY22" s="53">
        <f t="shared" si="41"/>
        <v>0.11697140555779306</v>
      </c>
      <c r="CZ22" s="53">
        <f t="shared" si="41"/>
        <v>4.7017422406830489E-2</v>
      </c>
      <c r="DA22" s="53">
        <f t="shared" si="41"/>
        <v>3.853294947380026E-2</v>
      </c>
      <c r="DB22" s="53">
        <f t="shared" si="41"/>
        <v>7.5635009820098631E-2</v>
      </c>
      <c r="DC22" s="53">
        <f t="shared" si="41"/>
        <v>8.4318717598375503E-2</v>
      </c>
      <c r="DD22" s="53">
        <f t="shared" si="41"/>
        <v>6.5873897758411237E-2</v>
      </c>
      <c r="DE22" s="53">
        <f t="shared" si="41"/>
        <v>5.731603876701441E-2</v>
      </c>
      <c r="DF22" s="53">
        <f t="shared" si="41"/>
        <v>3.7359994949513808E-2</v>
      </c>
      <c r="DG22" s="53">
        <f t="shared" si="41"/>
        <v>3.6106262293794433E-2</v>
      </c>
      <c r="DH22" s="53">
        <f t="shared" si="41"/>
        <v>2.7469580597804022E-2</v>
      </c>
      <c r="DI22" s="53">
        <f t="shared" si="41"/>
        <v>2.7512604125242257E-2</v>
      </c>
      <c r="DJ22" s="53">
        <f t="shared" si="41"/>
        <v>1.8777499262092157E-2</v>
      </c>
      <c r="DK22" s="53">
        <f t="shared" si="41"/>
        <v>2.0000000000000018E-2</v>
      </c>
      <c r="DL22" s="53">
        <f t="shared" si="41"/>
        <v>1.0000000000000009E-2</v>
      </c>
      <c r="DM22" s="53">
        <f t="shared" si="41"/>
        <v>1.8788031983253184E-2</v>
      </c>
      <c r="DN22" s="53">
        <f t="shared" si="41"/>
        <v>1.8798486379417723E-2</v>
      </c>
      <c r="DO22" s="53">
        <f t="shared" si="41"/>
        <v>2.7617725638559243E-2</v>
      </c>
      <c r="DP22" s="53">
        <f t="shared" si="41"/>
        <v>2.7658567923631416E-2</v>
      </c>
      <c r="DQ22" s="53">
        <f t="shared" si="41"/>
        <v>2.7698801459019151E-2</v>
      </c>
      <c r="DT22" s="54" t="s">
        <v>224</v>
      </c>
      <c r="DU22" s="54" t="s">
        <v>224</v>
      </c>
      <c r="DV22" s="54" t="s">
        <v>224</v>
      </c>
      <c r="DW22" s="54" t="s">
        <v>224</v>
      </c>
      <c r="DX22" s="54" t="s">
        <v>224</v>
      </c>
      <c r="DY22" s="54" t="s">
        <v>224</v>
      </c>
      <c r="DZ22" s="54" t="s">
        <v>224</v>
      </c>
      <c r="EA22" s="54" t="s">
        <v>224</v>
      </c>
      <c r="EB22" s="54" t="s">
        <v>224</v>
      </c>
      <c r="EC22" s="54" t="s">
        <v>224</v>
      </c>
      <c r="ED22" s="54" t="s">
        <v>224</v>
      </c>
      <c r="EE22" s="54" t="s">
        <v>224</v>
      </c>
      <c r="EF22" s="54" t="s">
        <v>224</v>
      </c>
      <c r="EG22" s="54" t="s">
        <v>224</v>
      </c>
      <c r="EH22" s="54" t="s">
        <v>224</v>
      </c>
      <c r="EI22" s="54" t="s">
        <v>224</v>
      </c>
      <c r="EJ22" s="54" t="s">
        <v>224</v>
      </c>
      <c r="EK22" s="54" t="s">
        <v>224</v>
      </c>
      <c r="EL22" s="54" t="s">
        <v>224</v>
      </c>
      <c r="EM22" s="54" t="s">
        <v>224</v>
      </c>
      <c r="EN22" s="54" t="s">
        <v>224</v>
      </c>
      <c r="EO22" s="54" t="s">
        <v>224</v>
      </c>
      <c r="EP22" s="54" t="s">
        <v>224</v>
      </c>
      <c r="EQ22" s="54" t="s">
        <v>224</v>
      </c>
      <c r="ER22" s="54" t="s">
        <v>224</v>
      </c>
      <c r="ES22" s="55" t="s">
        <v>224</v>
      </c>
      <c r="ET22" s="55" t="s">
        <v>224</v>
      </c>
      <c r="EU22" s="55" t="s">
        <v>224</v>
      </c>
      <c r="EV22" s="55" t="s">
        <v>224</v>
      </c>
      <c r="EW22" s="55" t="s">
        <v>224</v>
      </c>
    </row>
    <row r="23" spans="1:153" s="52" customFormat="1" ht="11.25" customHeight="1">
      <c r="A23" s="51" t="s">
        <v>225</v>
      </c>
      <c r="F23" s="52">
        <f t="shared" ref="F23:BQ23" si="42">F21/B21-1</f>
        <v>0.73980469883012634</v>
      </c>
      <c r="G23" s="52">
        <f t="shared" si="42"/>
        <v>0.71928302444067049</v>
      </c>
      <c r="H23" s="52">
        <f t="shared" si="42"/>
        <v>0.39400332345928768</v>
      </c>
      <c r="I23" s="52">
        <f t="shared" si="42"/>
        <v>0.2731374896399299</v>
      </c>
      <c r="J23" s="52">
        <f t="shared" si="42"/>
        <v>0.11387734234334368</v>
      </c>
      <c r="K23" s="52">
        <f t="shared" si="42"/>
        <v>0.13104351654015067</v>
      </c>
      <c r="L23" s="52">
        <f t="shared" si="42"/>
        <v>0.19485446554440666</v>
      </c>
      <c r="M23" s="52">
        <f t="shared" si="42"/>
        <v>0.18200981658486159</v>
      </c>
      <c r="N23" s="52">
        <f t="shared" si="42"/>
        <v>0.24681700259429262</v>
      </c>
      <c r="O23" s="52">
        <f t="shared" si="42"/>
        <v>0.29382392587951611</v>
      </c>
      <c r="P23" s="52">
        <f t="shared" si="42"/>
        <v>0.19705040340071101</v>
      </c>
      <c r="Q23" s="52">
        <f t="shared" si="42"/>
        <v>0.19468655202860408</v>
      </c>
      <c r="R23" s="52">
        <f t="shared" si="42"/>
        <v>7.2145395179103122E-2</v>
      </c>
      <c r="S23" s="52">
        <f t="shared" si="42"/>
        <v>8.826507403113748E-3</v>
      </c>
      <c r="T23" s="52">
        <f t="shared" si="42"/>
        <v>3.2540004638218933E-2</v>
      </c>
      <c r="U23" s="52">
        <f t="shared" si="42"/>
        <v>4.3458535478819726E-2</v>
      </c>
      <c r="V23" s="52">
        <f t="shared" si="42"/>
        <v>0.3970486149987682</v>
      </c>
      <c r="W23" s="52">
        <f t="shared" si="42"/>
        <v>0.42775478737717942</v>
      </c>
      <c r="X23" s="52">
        <f t="shared" si="42"/>
        <v>0.50784704577677342</v>
      </c>
      <c r="Y23" s="52">
        <f t="shared" si="42"/>
        <v>0.63951808580765501</v>
      </c>
      <c r="Z23" s="52">
        <f t="shared" si="42"/>
        <v>0.27637793592784954</v>
      </c>
      <c r="AA23" s="52">
        <f t="shared" si="42"/>
        <v>0.21863156607848722</v>
      </c>
      <c r="AB23" s="52">
        <f t="shared" si="42"/>
        <v>0.24616322749721853</v>
      </c>
      <c r="AC23" s="52">
        <f t="shared" si="42"/>
        <v>0.21089686558992615</v>
      </c>
      <c r="AD23" s="52">
        <f t="shared" si="42"/>
        <v>0.30546020796008255</v>
      </c>
      <c r="AE23" s="52">
        <f t="shared" si="42"/>
        <v>0.27620468833600853</v>
      </c>
      <c r="AF23" s="52">
        <f t="shared" si="42"/>
        <v>0.11391719459717908</v>
      </c>
      <c r="AG23" s="52">
        <f t="shared" si="42"/>
        <v>5.3412599170605146E-2</v>
      </c>
      <c r="AH23" s="52">
        <f t="shared" si="42"/>
        <v>-6.4233127260600931E-2</v>
      </c>
      <c r="AI23" s="52">
        <f t="shared" si="42"/>
        <v>-0.12295739725982513</v>
      </c>
      <c r="AJ23" s="52">
        <f t="shared" si="42"/>
        <v>-4.7855698520165468E-2</v>
      </c>
      <c r="AK23" s="52">
        <f t="shared" si="42"/>
        <v>2.0857155312035802E-2</v>
      </c>
      <c r="AL23" s="52">
        <f t="shared" si="42"/>
        <v>5.8773540941363445E-2</v>
      </c>
      <c r="AM23" s="52">
        <f t="shared" si="42"/>
        <v>0.10839566940161105</v>
      </c>
      <c r="AN23" s="52">
        <f t="shared" si="42"/>
        <v>1.528854890856457E-2</v>
      </c>
      <c r="AO23" s="52">
        <f t="shared" si="42"/>
        <v>-2.8182985754124923E-3</v>
      </c>
      <c r="AP23" s="52">
        <f t="shared" si="42"/>
        <v>6.6854594412655732E-2</v>
      </c>
      <c r="AQ23" s="52">
        <f t="shared" si="42"/>
        <v>0.15801532375991445</v>
      </c>
      <c r="AR23" s="52">
        <f t="shared" si="42"/>
        <v>0.22525053854078858</v>
      </c>
      <c r="AS23" s="52">
        <f t="shared" si="42"/>
        <v>0.19455433640445219</v>
      </c>
      <c r="AT23" s="52">
        <f t="shared" si="42"/>
        <v>0.15587866800549666</v>
      </c>
      <c r="AU23" s="52">
        <f t="shared" si="42"/>
        <v>8.2684496584150891E-2</v>
      </c>
      <c r="AV23" s="52">
        <f t="shared" si="42"/>
        <v>6.2735338916350969E-2</v>
      </c>
      <c r="AW23" s="52">
        <f t="shared" si="42"/>
        <v>8.4620178467036622E-2</v>
      </c>
      <c r="AX23" s="52">
        <f t="shared" si="42"/>
        <v>0.12046716094744436</v>
      </c>
      <c r="AY23" s="52">
        <f t="shared" si="42"/>
        <v>0.15836714949880415</v>
      </c>
      <c r="AZ23" s="52">
        <f t="shared" si="42"/>
        <v>0.16314972041143072</v>
      </c>
      <c r="BA23" s="52">
        <f t="shared" si="42"/>
        <v>0.12176004433924614</v>
      </c>
      <c r="BB23" s="52">
        <f t="shared" si="42"/>
        <v>3.8592168197767229E-2</v>
      </c>
      <c r="BC23" s="52">
        <f t="shared" si="42"/>
        <v>3.6149777282850737E-2</v>
      </c>
      <c r="BD23" s="52">
        <f t="shared" si="42"/>
        <v>3.9384812706847017E-2</v>
      </c>
      <c r="BE23" s="52">
        <f t="shared" si="42"/>
        <v>4.0965679486336892E-2</v>
      </c>
      <c r="BF23" s="52">
        <f t="shared" si="42"/>
        <v>5.5475618062164944E-2</v>
      </c>
      <c r="BG23" s="52">
        <f t="shared" si="42"/>
        <v>4.114889100850383E-2</v>
      </c>
      <c r="BH23" s="52">
        <f t="shared" si="42"/>
        <v>5.1098364737743207E-2</v>
      </c>
      <c r="BI23" s="52">
        <f t="shared" si="42"/>
        <v>9.0795082930907656E-2</v>
      </c>
      <c r="BJ23" s="52">
        <f t="shared" si="42"/>
        <v>5.1282051282051322E-2</v>
      </c>
      <c r="BK23" s="621">
        <f t="shared" si="42"/>
        <v>7.9569892473118298E-2</v>
      </c>
      <c r="BL23" s="621">
        <f t="shared" si="42"/>
        <v>0.13207547169811318</v>
      </c>
      <c r="BM23" s="52">
        <f t="shared" si="42"/>
        <v>0.12974051896207595</v>
      </c>
      <c r="BN23" s="52">
        <f t="shared" si="42"/>
        <v>0.19918699186991873</v>
      </c>
      <c r="BO23" s="52">
        <f t="shared" si="42"/>
        <v>0.21513944223107573</v>
      </c>
      <c r="BP23" s="52">
        <f t="shared" si="42"/>
        <v>0.24259259259259269</v>
      </c>
      <c r="BQ23" s="52">
        <f t="shared" si="42"/>
        <v>0.28268551236749118</v>
      </c>
      <c r="BR23" s="52">
        <f t="shared" ref="BR23:DQ23" si="43">BR21/BN21-1</f>
        <v>0.30338983050847457</v>
      </c>
      <c r="BS23" s="52">
        <f t="shared" si="43"/>
        <v>0.3377049180327869</v>
      </c>
      <c r="BT23" s="52">
        <f t="shared" si="43"/>
        <v>0.28912071535022354</v>
      </c>
      <c r="BU23" s="52">
        <f t="shared" si="43"/>
        <v>0.24655647382920121</v>
      </c>
      <c r="BV23" s="52">
        <f t="shared" si="43"/>
        <v>0.20546163849154753</v>
      </c>
      <c r="BW23" s="52">
        <f t="shared" si="43"/>
        <v>0.18259803921568629</v>
      </c>
      <c r="BX23" s="52">
        <f t="shared" si="43"/>
        <v>0.1352601156069364</v>
      </c>
      <c r="BY23" s="52">
        <f t="shared" si="43"/>
        <v>0.12486187845303864</v>
      </c>
      <c r="BZ23" s="52">
        <f t="shared" si="43"/>
        <v>0.1046386192017259</v>
      </c>
      <c r="CA23" s="52">
        <f t="shared" si="43"/>
        <v>0.44559585492227982</v>
      </c>
      <c r="CB23" s="52">
        <f t="shared" si="43"/>
        <v>0.4837067209775967</v>
      </c>
      <c r="CC23" s="52">
        <f t="shared" si="43"/>
        <v>0.55009823182711193</v>
      </c>
      <c r="CD23" s="52">
        <f t="shared" si="43"/>
        <v>0.5556640625</v>
      </c>
      <c r="CE23" s="52">
        <f t="shared" si="43"/>
        <v>0.21792114695340503</v>
      </c>
      <c r="CF23" s="52">
        <f t="shared" si="43"/>
        <v>0.29718599862731643</v>
      </c>
      <c r="CG23" s="52">
        <f t="shared" si="43"/>
        <v>0.2414448669201521</v>
      </c>
      <c r="CH23" s="52">
        <f t="shared" si="43"/>
        <v>0.34839924670433153</v>
      </c>
      <c r="CI23" s="52">
        <f t="shared" si="43"/>
        <v>0.38905238375515006</v>
      </c>
      <c r="CJ23" s="52">
        <f t="shared" si="43"/>
        <v>0.32592592592592595</v>
      </c>
      <c r="CK23" s="52">
        <f t="shared" si="43"/>
        <v>0.26799387442572731</v>
      </c>
      <c r="CL23" s="52">
        <f t="shared" si="43"/>
        <v>0.14432029795158297</v>
      </c>
      <c r="CM23" s="52">
        <f t="shared" si="43"/>
        <v>0.12245762711864416</v>
      </c>
      <c r="CN23" s="52">
        <f t="shared" si="43"/>
        <v>0.18395849960095778</v>
      </c>
      <c r="CO23" s="52">
        <f t="shared" si="43"/>
        <v>0.27133655394524969</v>
      </c>
      <c r="CP23" s="52">
        <f t="shared" si="43"/>
        <v>0.41415785191212362</v>
      </c>
      <c r="CQ23" s="52">
        <f t="shared" si="43"/>
        <v>0.47451868629671567</v>
      </c>
      <c r="CR23" s="52">
        <f t="shared" si="43"/>
        <v>0.43174924165824069</v>
      </c>
      <c r="CS23" s="52">
        <f t="shared" si="43"/>
        <v>0.47118429385687133</v>
      </c>
      <c r="CT23" s="52">
        <f t="shared" si="43"/>
        <v>0.43642117376294598</v>
      </c>
      <c r="CU23" s="52">
        <f t="shared" si="43"/>
        <v>0.37250384024577565</v>
      </c>
      <c r="CV23" s="52">
        <f t="shared" si="43"/>
        <v>0.36534839924670437</v>
      </c>
      <c r="CW23" s="52">
        <f t="shared" si="43"/>
        <v>0.43478260869565211</v>
      </c>
      <c r="CX23" s="52">
        <f t="shared" si="43"/>
        <v>0.49188864410174249</v>
      </c>
      <c r="CY23" s="53">
        <f t="shared" si="43"/>
        <v>0.55200895355344137</v>
      </c>
      <c r="CZ23" s="53">
        <f t="shared" si="43"/>
        <v>0.50198620689655171</v>
      </c>
      <c r="DA23" s="53">
        <f t="shared" si="43"/>
        <v>0.35721580558055832</v>
      </c>
      <c r="DB23" s="53">
        <f t="shared" si="43"/>
        <v>0.30641504405960562</v>
      </c>
      <c r="DC23" s="53">
        <f t="shared" si="43"/>
        <v>0.26822430563343769</v>
      </c>
      <c r="DD23" s="53">
        <f t="shared" si="43"/>
        <v>0.29106465178974084</v>
      </c>
      <c r="DE23" s="53">
        <f t="shared" si="43"/>
        <v>0.31441507379625122</v>
      </c>
      <c r="DF23" s="53">
        <f t="shared" si="43"/>
        <v>0.26764339377805735</v>
      </c>
      <c r="DG23" s="53">
        <f t="shared" si="43"/>
        <v>0.2112797070937249</v>
      </c>
      <c r="DH23" s="53">
        <f t="shared" si="43"/>
        <v>0.1676362984885742</v>
      </c>
      <c r="DI23" s="53">
        <f t="shared" si="43"/>
        <v>0.13472317617564089</v>
      </c>
      <c r="DJ23" s="53">
        <f t="shared" si="43"/>
        <v>0.11439658884784709</v>
      </c>
      <c r="DK23" s="53">
        <f t="shared" si="43"/>
        <v>9.707330414965698E-2</v>
      </c>
      <c r="DL23" s="53">
        <f t="shared" si="43"/>
        <v>7.8420284273982732E-2</v>
      </c>
      <c r="DM23" s="53">
        <f t="shared" si="43"/>
        <v>6.9263456871809126E-2</v>
      </c>
      <c r="DN23" s="53">
        <f t="shared" si="43"/>
        <v>6.9285484014769638E-2</v>
      </c>
      <c r="DO23" s="53">
        <f t="shared" si="43"/>
        <v>7.727129131527799E-2</v>
      </c>
      <c r="DP23" s="53">
        <f t="shared" si="43"/>
        <v>9.6106012374554073E-2</v>
      </c>
      <c r="DQ23" s="53">
        <f t="shared" si="43"/>
        <v>0.10569303900879623</v>
      </c>
      <c r="DU23" s="52">
        <f t="shared" ref="DU23:ET23" si="44">DU21/DT21-1</f>
        <v>0.4988072718583858</v>
      </c>
      <c r="DV23" s="52">
        <f t="shared" si="44"/>
        <v>0.15640161760876636</v>
      </c>
      <c r="DW23" s="52">
        <f t="shared" si="44"/>
        <v>0.23131236773960828</v>
      </c>
      <c r="DX23" s="52">
        <f t="shared" si="44"/>
        <v>3.852821365459147E-2</v>
      </c>
      <c r="DY23" s="52">
        <f t="shared" si="44"/>
        <v>0.49512523807812592</v>
      </c>
      <c r="DZ23" s="52">
        <f t="shared" si="44"/>
        <v>0.2365553535224858</v>
      </c>
      <c r="EA23" s="52">
        <f t="shared" si="44"/>
        <v>0.17947409649209778</v>
      </c>
      <c r="EB23" s="52">
        <f t="shared" si="44"/>
        <v>-5.4072961376927076E-2</v>
      </c>
      <c r="EC23" s="52">
        <f t="shared" si="44"/>
        <v>4.3258668720132176E-2</v>
      </c>
      <c r="ED23" s="52">
        <f t="shared" si="44"/>
        <v>0.15994231979947204</v>
      </c>
      <c r="EE23" s="52">
        <f t="shared" si="44"/>
        <v>9.548578993097423E-2</v>
      </c>
      <c r="EF23" s="52">
        <f t="shared" si="44"/>
        <v>0.14059634429134737</v>
      </c>
      <c r="EG23" s="52">
        <f t="shared" si="44"/>
        <v>3.8788365506704725E-2</v>
      </c>
      <c r="EH23" s="52">
        <f t="shared" si="44"/>
        <v>5.9821987618217776E-2</v>
      </c>
      <c r="EI23" s="52">
        <f t="shared" si="44"/>
        <v>9.8901098901098994E-2</v>
      </c>
      <c r="EJ23" s="52">
        <f t="shared" si="44"/>
        <v>0.23666666666666658</v>
      </c>
      <c r="EK23" s="52">
        <f t="shared" si="44"/>
        <v>0.29187524066230264</v>
      </c>
      <c r="EL23" s="52">
        <f t="shared" si="44"/>
        <v>0.16005961251862888</v>
      </c>
      <c r="EM23" s="52">
        <f t="shared" si="44"/>
        <v>0.40133607399794458</v>
      </c>
      <c r="EN23" s="52">
        <f t="shared" si="44"/>
        <v>0.30931426475980928</v>
      </c>
      <c r="EO23" s="52">
        <f>EO21/EN21-1</f>
        <v>0.33006581711244931</v>
      </c>
      <c r="EP23" s="52">
        <f t="shared" si="44"/>
        <v>0.18256475047378395</v>
      </c>
      <c r="EQ23" s="52">
        <f t="shared" si="44"/>
        <v>0.44907407407407418</v>
      </c>
      <c r="ER23" s="52">
        <f t="shared" si="44"/>
        <v>0.40206438928483657</v>
      </c>
      <c r="ES23" s="65">
        <f t="shared" si="44"/>
        <v>0.46923928834355833</v>
      </c>
      <c r="ET23" s="65">
        <f t="shared" si="44"/>
        <v>0.29510789535173654</v>
      </c>
      <c r="EU23" s="65">
        <f>EU21/ET21-1</f>
        <v>0.19164114472728011</v>
      </c>
      <c r="EV23" s="65">
        <f>EV21/EU21-1</f>
        <v>8.9216857804286231E-2</v>
      </c>
      <c r="EW23" s="65">
        <f>EW21/EV21-1</f>
        <v>8.7332360242665663E-2</v>
      </c>
    </row>
    <row r="24" spans="1:153" s="52" customFormat="1" ht="11.25" customHeight="1">
      <c r="A24" s="51" t="s">
        <v>228</v>
      </c>
      <c r="B24" s="52">
        <f t="shared" ref="B24:BM24" si="45">B21/B$5</f>
        <v>0.21464562615177729</v>
      </c>
      <c r="C24" s="52">
        <f t="shared" si="45"/>
        <v>0.20845406445406445</v>
      </c>
      <c r="D24" s="52">
        <f t="shared" si="45"/>
        <v>0.18961520757529263</v>
      </c>
      <c r="E24" s="52">
        <f t="shared" si="45"/>
        <v>0.1509128666952558</v>
      </c>
      <c r="F24" s="52">
        <f t="shared" si="45"/>
        <v>0.15435448314905514</v>
      </c>
      <c r="G24" s="52">
        <f t="shared" si="45"/>
        <v>0.21797395181202242</v>
      </c>
      <c r="H24" s="52">
        <f t="shared" si="45"/>
        <v>0.22419498772960514</v>
      </c>
      <c r="I24" s="52">
        <f t="shared" si="45"/>
        <v>0.22579960241537331</v>
      </c>
      <c r="J24" s="52">
        <f t="shared" si="45"/>
        <v>0.24746717763461676</v>
      </c>
      <c r="K24" s="52">
        <f t="shared" si="45"/>
        <v>0.22911691396207703</v>
      </c>
      <c r="L24" s="52">
        <f t="shared" si="45"/>
        <v>0.23714740088341368</v>
      </c>
      <c r="M24" s="52">
        <f t="shared" si="45"/>
        <v>0.24228849082540629</v>
      </c>
      <c r="N24" s="52">
        <f t="shared" si="45"/>
        <v>0.26479058285036183</v>
      </c>
      <c r="O24" s="52">
        <f t="shared" si="45"/>
        <v>0.2988503730860565</v>
      </c>
      <c r="P24" s="52">
        <f t="shared" si="45"/>
        <v>0.26762298023045394</v>
      </c>
      <c r="Q24" s="52">
        <f t="shared" si="45"/>
        <v>0.24124411272498744</v>
      </c>
      <c r="R24" s="52">
        <f t="shared" si="45"/>
        <v>0.22946290631433633</v>
      </c>
      <c r="S24" s="52">
        <f t="shared" si="45"/>
        <v>0.23920342651162463</v>
      </c>
      <c r="T24" s="52">
        <f t="shared" si="45"/>
        <v>0.24420695388359914</v>
      </c>
      <c r="U24" s="52">
        <f t="shared" si="45"/>
        <v>0.225055001941245</v>
      </c>
      <c r="V24" s="52">
        <f t="shared" si="45"/>
        <v>0.27451170199191266</v>
      </c>
      <c r="W24" s="52">
        <f t="shared" si="45"/>
        <v>0.28553683607289398</v>
      </c>
      <c r="X24" s="52">
        <f t="shared" si="45"/>
        <v>0.26180396113930282</v>
      </c>
      <c r="Y24" s="52">
        <f t="shared" si="45"/>
        <v>0.26601340580493427</v>
      </c>
      <c r="Z24" s="52">
        <f t="shared" si="45"/>
        <v>0.28295352252807127</v>
      </c>
      <c r="AA24" s="52">
        <f t="shared" si="45"/>
        <v>0.25579388678785309</v>
      </c>
      <c r="AB24" s="52">
        <f t="shared" si="45"/>
        <v>0.23997196120104303</v>
      </c>
      <c r="AC24" s="52">
        <f t="shared" si="45"/>
        <v>0.23537951161108478</v>
      </c>
      <c r="AD24" s="52">
        <f t="shared" si="45"/>
        <v>0.27038949598920747</v>
      </c>
      <c r="AE24" s="52">
        <f t="shared" si="45"/>
        <v>0.34201546809816769</v>
      </c>
      <c r="AF24" s="52">
        <f t="shared" si="45"/>
        <v>0.33220892213600994</v>
      </c>
      <c r="AG24" s="52">
        <f t="shared" si="45"/>
        <v>0.61981751673109697</v>
      </c>
      <c r="AH24" s="52">
        <f t="shared" si="45"/>
        <v>0.43935317683155406</v>
      </c>
      <c r="AI24" s="52">
        <f t="shared" si="45"/>
        <v>0.34483207129243293</v>
      </c>
      <c r="AJ24" s="52">
        <f t="shared" si="45"/>
        <v>0.31436682218674367</v>
      </c>
      <c r="AK24" s="52">
        <f t="shared" si="45"/>
        <v>0.30986536222325362</v>
      </c>
      <c r="AL24" s="52">
        <f t="shared" si="45"/>
        <v>0.30842482579084118</v>
      </c>
      <c r="AM24" s="52">
        <f t="shared" si="45"/>
        <v>0.3658667074289208</v>
      </c>
      <c r="AN24" s="52">
        <f t="shared" si="45"/>
        <v>0.34159841310468386</v>
      </c>
      <c r="AO24" s="52">
        <f t="shared" si="45"/>
        <v>0.34249686363349191</v>
      </c>
      <c r="AP24" s="52">
        <f t="shared" si="45"/>
        <v>0.3426482710160399</v>
      </c>
      <c r="AQ24" s="52">
        <f t="shared" si="45"/>
        <v>0.3381074787731046</v>
      </c>
      <c r="AR24" s="52">
        <f t="shared" si="45"/>
        <v>0.33128927573205275</v>
      </c>
      <c r="AS24" s="52">
        <f t="shared" si="45"/>
        <v>0.38045140863245047</v>
      </c>
      <c r="AT24" s="52">
        <f t="shared" si="45"/>
        <v>0.41197370028663272</v>
      </c>
      <c r="AU24" s="52">
        <f t="shared" si="45"/>
        <v>0.35633504744941447</v>
      </c>
      <c r="AV24" s="52">
        <f t="shared" si="45"/>
        <v>0.31174311317072362</v>
      </c>
      <c r="AW24" s="52">
        <f t="shared" si="45"/>
        <v>0.3553440141945719</v>
      </c>
      <c r="AX24" s="52">
        <f t="shared" si="45"/>
        <v>0.44716514146798231</v>
      </c>
      <c r="AY24" s="52">
        <f t="shared" si="45"/>
        <v>0.44107985976804015</v>
      </c>
      <c r="AZ24" s="52">
        <f t="shared" si="45"/>
        <v>0.41425870069935766</v>
      </c>
      <c r="BA24" s="52">
        <f t="shared" si="45"/>
        <v>0.38561095875086737</v>
      </c>
      <c r="BB24" s="52">
        <f t="shared" si="45"/>
        <v>0.40207401792005165</v>
      </c>
      <c r="BC24" s="52">
        <f t="shared" si="45"/>
        <v>0.40498030510761462</v>
      </c>
      <c r="BD24" s="52">
        <f t="shared" si="45"/>
        <v>0.37034247279623822</v>
      </c>
      <c r="BE24" s="52">
        <f t="shared" si="45"/>
        <v>0.36728737143286683</v>
      </c>
      <c r="BF24" s="52">
        <f t="shared" si="45"/>
        <v>0.40660295395308427</v>
      </c>
      <c r="BG24" s="52">
        <f t="shared" si="45"/>
        <v>0.40329575021682568</v>
      </c>
      <c r="BH24" s="52">
        <f t="shared" si="45"/>
        <v>0.36551724137931035</v>
      </c>
      <c r="BI24" s="52">
        <f t="shared" si="45"/>
        <v>0.35760171306209848</v>
      </c>
      <c r="BJ24" s="52">
        <f t="shared" si="45"/>
        <v>0.37701149425287356</v>
      </c>
      <c r="BK24" s="621">
        <f t="shared" si="45"/>
        <v>0.35154061624649857</v>
      </c>
      <c r="BL24" s="621">
        <f t="shared" si="45"/>
        <v>0.26946107784431139</v>
      </c>
      <c r="BM24" s="52">
        <f t="shared" si="45"/>
        <v>0.26046939714680167</v>
      </c>
      <c r="BN24" s="52">
        <f t="shared" ref="BN24:DQ24" si="46">BN21/BN$5</f>
        <v>0.30459473412493548</v>
      </c>
      <c r="BO24" s="52">
        <f t="shared" si="46"/>
        <v>0.273542600896861</v>
      </c>
      <c r="BP24" s="52">
        <f t="shared" si="46"/>
        <v>0.25455235204855842</v>
      </c>
      <c r="BQ24" s="52">
        <f t="shared" si="46"/>
        <v>0.24939883201648919</v>
      </c>
      <c r="BR24" s="52">
        <f t="shared" si="46"/>
        <v>0.23978796382912379</v>
      </c>
      <c r="BS24" s="52">
        <f t="shared" si="46"/>
        <v>0.26128722382324687</v>
      </c>
      <c r="BT24" s="52">
        <f t="shared" si="46"/>
        <v>0.27192706696007546</v>
      </c>
      <c r="BU24" s="52">
        <f t="shared" si="46"/>
        <v>0.41043083900226757</v>
      </c>
      <c r="BV24" s="52">
        <f t="shared" si="46"/>
        <v>0.41756756756756758</v>
      </c>
      <c r="BW24" s="52">
        <f t="shared" si="46"/>
        <v>0.37417603722373011</v>
      </c>
      <c r="BX24" s="52">
        <f t="shared" si="46"/>
        <v>0.32581287325812874</v>
      </c>
      <c r="BY24" s="52">
        <f t="shared" si="46"/>
        <v>0.32785829307568437</v>
      </c>
      <c r="BZ24" s="52">
        <f t="shared" si="46"/>
        <v>0.33246753246753247</v>
      </c>
      <c r="CA24" s="52">
        <f t="shared" si="46"/>
        <v>0.36083807553026381</v>
      </c>
      <c r="CB24" s="52">
        <f t="shared" si="46"/>
        <v>0.30829454083791791</v>
      </c>
      <c r="CC24" s="52">
        <f t="shared" si="46"/>
        <v>0.31541075354787129</v>
      </c>
      <c r="CD24" s="52">
        <f t="shared" si="46"/>
        <v>0.28139904610492844</v>
      </c>
      <c r="CE24" s="52">
        <f t="shared" si="46"/>
        <v>0.26110342707853079</v>
      </c>
      <c r="CF24" s="52">
        <f t="shared" si="46"/>
        <v>0.26608475292130085</v>
      </c>
      <c r="CG24" s="52">
        <f t="shared" si="46"/>
        <v>0.25631296611278293</v>
      </c>
      <c r="CH24" s="52">
        <f t="shared" si="46"/>
        <v>0.25916988416988418</v>
      </c>
      <c r="CI24" s="52">
        <f t="shared" si="46"/>
        <v>0.35202863961813841</v>
      </c>
      <c r="CJ24" s="52">
        <f t="shared" si="46"/>
        <v>0.42252571235879277</v>
      </c>
      <c r="CK24" s="52">
        <f t="shared" si="46"/>
        <v>0.41051065939514131</v>
      </c>
      <c r="CL24" s="52">
        <f t="shared" si="46"/>
        <v>0.34176863181312572</v>
      </c>
      <c r="CM24" s="52">
        <f t="shared" si="46"/>
        <v>0.19612053009550603</v>
      </c>
      <c r="CN24" s="52">
        <f t="shared" si="46"/>
        <v>0.16374172185430463</v>
      </c>
      <c r="CO24" s="52">
        <f t="shared" si="46"/>
        <v>0.14287653259738498</v>
      </c>
      <c r="CP24" s="52">
        <f t="shared" si="46"/>
        <v>0.13346644140684993</v>
      </c>
      <c r="CQ24" s="52">
        <f t="shared" si="46"/>
        <v>0.13002663115845539</v>
      </c>
      <c r="CR24" s="52">
        <f t="shared" si="46"/>
        <v>0.1210877373011801</v>
      </c>
      <c r="CS24" s="52">
        <f t="shared" si="46"/>
        <v>0.11812565152170044</v>
      </c>
      <c r="CT24" s="52">
        <f t="shared" si="46"/>
        <v>0.11331759793018928</v>
      </c>
      <c r="CU24" s="52">
        <f t="shared" si="46"/>
        <v>0.11469096977087478</v>
      </c>
      <c r="CV24" s="52">
        <f t="shared" si="46"/>
        <v>0.10174367610426972</v>
      </c>
      <c r="CW24" s="52">
        <f>CW21/CW$5</f>
        <v>9.7846668721652208E-2</v>
      </c>
      <c r="CX24" s="52">
        <f>CX21/CX$5</f>
        <v>9.1269987134717886E-2</v>
      </c>
      <c r="CY24" s="53">
        <f t="shared" si="46"/>
        <v>8.9418025025948547E-2</v>
      </c>
      <c r="CZ24" s="53">
        <f t="shared" si="46"/>
        <v>7.8725152694477094E-2</v>
      </c>
      <c r="DA24" s="53">
        <f t="shared" si="46"/>
        <v>7.2070893234830541E-2</v>
      </c>
      <c r="DB24" s="53">
        <f t="shared" si="46"/>
        <v>7.1005941687141264E-2</v>
      </c>
      <c r="DC24" s="53">
        <f t="shared" si="46"/>
        <v>7.0132433158928614E-2</v>
      </c>
      <c r="DD24" s="53">
        <f t="shared" si="46"/>
        <v>6.6870348535160828E-2</v>
      </c>
      <c r="DE24" s="53">
        <f t="shared" si="46"/>
        <v>6.6280357266727416E-2</v>
      </c>
      <c r="DF24" s="53">
        <f t="shared" si="46"/>
        <v>6.7018929804765356E-2</v>
      </c>
      <c r="DG24" s="53">
        <f t="shared" si="46"/>
        <v>6.7361776861431855E-2</v>
      </c>
      <c r="DH24" s="53">
        <f t="shared" si="46"/>
        <v>6.4680468757460058E-2</v>
      </c>
      <c r="DI24" s="53">
        <f t="shared" si="46"/>
        <v>6.329992859096277E-2</v>
      </c>
      <c r="DJ24" s="53">
        <f t="shared" si="46"/>
        <v>6.4031932593661758E-2</v>
      </c>
      <c r="DK24" s="53">
        <f t="shared" si="46"/>
        <v>6.457219925212597E-2</v>
      </c>
      <c r="DL24" s="53">
        <f t="shared" si="46"/>
        <v>6.3222946497181479E-2</v>
      </c>
      <c r="DM24" s="53">
        <f t="shared" si="46"/>
        <v>6.3073490795062276E-2</v>
      </c>
      <c r="DN24" s="53">
        <f t="shared" si="46"/>
        <v>6.3202546536529458E-2</v>
      </c>
      <c r="DO24" s="53">
        <f t="shared" si="46"/>
        <v>6.3013556690391714E-2</v>
      </c>
      <c r="DP24" s="53">
        <f t="shared" si="46"/>
        <v>6.1072426696773527E-2</v>
      </c>
      <c r="DQ24" s="53">
        <f t="shared" si="46"/>
        <v>6.0328810208133653E-2</v>
      </c>
      <c r="DT24" s="52">
        <f>DT21/DT$5</f>
        <v>0.18335912187990835</v>
      </c>
      <c r="DU24" s="52">
        <f t="shared" ref="DU24:EW24" si="47">DU21/DU$5</f>
        <v>0.2013598119290646</v>
      </c>
      <c r="DV24" s="52">
        <f t="shared" si="47"/>
        <v>0.23874609491783896</v>
      </c>
      <c r="DW24" s="52">
        <f t="shared" si="47"/>
        <v>0.26660905567222032</v>
      </c>
      <c r="DX24" s="52">
        <f t="shared" si="47"/>
        <v>0.23426486738362418</v>
      </c>
      <c r="DY24" s="52">
        <f t="shared" si="47"/>
        <v>0.27114991636717112</v>
      </c>
      <c r="DZ24" s="52">
        <f t="shared" si="47"/>
        <v>0.25109056922393636</v>
      </c>
      <c r="EA24" s="52">
        <f t="shared" si="47"/>
        <v>0.35435064626018187</v>
      </c>
      <c r="EB24" s="52">
        <f t="shared" si="47"/>
        <v>0.34510656271184409</v>
      </c>
      <c r="EC24" s="52">
        <f t="shared" si="47"/>
        <v>0.33799987525784508</v>
      </c>
      <c r="ED24" s="52">
        <f t="shared" si="47"/>
        <v>0.34747756964228993</v>
      </c>
      <c r="EE24" s="52">
        <f t="shared" si="47"/>
        <v>0.35555665104964562</v>
      </c>
      <c r="EF24" s="52">
        <f t="shared" si="47"/>
        <v>0.42027504005896132</v>
      </c>
      <c r="EG24" s="52">
        <f t="shared" si="47"/>
        <v>0.38516080398897196</v>
      </c>
      <c r="EH24" s="52">
        <f t="shared" si="47"/>
        <v>0.38143712574850297</v>
      </c>
      <c r="EI24" s="52">
        <f t="shared" si="47"/>
        <v>0.30390738060781475</v>
      </c>
      <c r="EJ24" s="52">
        <f t="shared" si="47"/>
        <v>0.26734609841465923</v>
      </c>
      <c r="EK24" s="52">
        <f t="shared" si="47"/>
        <v>0.28636053260498462</v>
      </c>
      <c r="EL24" s="52">
        <f t="shared" si="47"/>
        <v>0.3564755449716065</v>
      </c>
      <c r="EM24" s="52">
        <f t="shared" si="47"/>
        <v>0.32707646176911542</v>
      </c>
      <c r="EN24" s="52">
        <f t="shared" si="47"/>
        <v>0.26532659582373486</v>
      </c>
      <c r="EO24" s="52">
        <f t="shared" si="47"/>
        <v>0.35211685326610809</v>
      </c>
      <c r="EP24" s="52">
        <f t="shared" si="47"/>
        <v>0.1843668953744132</v>
      </c>
      <c r="EQ24" s="52">
        <f t="shared" si="47"/>
        <v>0.12472317371280565</v>
      </c>
      <c r="ER24" s="52">
        <f t="shared" si="47"/>
        <v>0.1056784817864387</v>
      </c>
      <c r="ES24" s="65">
        <f t="shared" si="47"/>
        <v>8.1605720490791733E-2</v>
      </c>
      <c r="ET24" s="65">
        <f t="shared" si="47"/>
        <v>6.8368876660358374E-2</v>
      </c>
      <c r="EU24" s="65">
        <f t="shared" si="47"/>
        <v>6.5496777329825756E-2</v>
      </c>
      <c r="EV24" s="65">
        <f t="shared" si="47"/>
        <v>6.3711852155578896E-2</v>
      </c>
      <c r="EW24" s="65">
        <f t="shared" si="47"/>
        <v>6.1843535963177577E-2</v>
      </c>
    </row>
    <row r="25" spans="1:153" s="52" customFormat="1" ht="11.25" hidden="1" customHeight="1" outlineLevel="1">
      <c r="A25" s="622" t="s">
        <v>233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>
        <f t="shared" ref="AL25:CV25" si="48">+AL21-AL29</f>
        <v>285.60999999999996</v>
      </c>
      <c r="AM25" s="35">
        <f t="shared" si="48"/>
        <v>274.452</v>
      </c>
      <c r="AN25" s="35">
        <f t="shared" si="48"/>
        <v>265.58999999999997</v>
      </c>
      <c r="AO25" s="35">
        <f t="shared" si="48"/>
        <v>279.94100000000003</v>
      </c>
      <c r="AP25" s="35">
        <f t="shared" si="48"/>
        <v>300.37900000000002</v>
      </c>
      <c r="AQ25" s="35">
        <f t="shared" si="48"/>
        <v>310.49</v>
      </c>
      <c r="AR25" s="35">
        <f t="shared" si="48"/>
        <v>323.03399999999999</v>
      </c>
      <c r="AS25" s="35">
        <f t="shared" si="48"/>
        <v>330.25599999999997</v>
      </c>
      <c r="AT25" s="35">
        <f t="shared" si="48"/>
        <v>347.98199999999997</v>
      </c>
      <c r="AU25" s="35">
        <f t="shared" si="48"/>
        <v>342.50400000000002</v>
      </c>
      <c r="AV25" s="35">
        <f t="shared" si="48"/>
        <v>344.79300000000001</v>
      </c>
      <c r="AW25" s="35">
        <f t="shared" si="48"/>
        <v>360.38800000000003</v>
      </c>
      <c r="AX25" s="35">
        <f t="shared" si="48"/>
        <v>396.18200000000002</v>
      </c>
      <c r="AY25" s="35">
        <f t="shared" si="48"/>
        <v>400.798</v>
      </c>
      <c r="AZ25" s="35">
        <f t="shared" si="48"/>
        <v>405.40599999999995</v>
      </c>
      <c r="BA25" s="35">
        <f t="shared" si="48"/>
        <v>407.79599999999999</v>
      </c>
      <c r="BB25" s="35">
        <f t="shared" si="48"/>
        <v>410.79999999999995</v>
      </c>
      <c r="BC25" s="35">
        <f t="shared" si="48"/>
        <v>411.62200000000001</v>
      </c>
      <c r="BD25" s="35">
        <f t="shared" si="48"/>
        <v>415.81099999999998</v>
      </c>
      <c r="BE25" s="35">
        <f t="shared" si="48"/>
        <v>421.298</v>
      </c>
      <c r="BF25" s="35">
        <f t="shared" si="48"/>
        <v>425</v>
      </c>
      <c r="BG25" s="35">
        <f t="shared" si="48"/>
        <v>421</v>
      </c>
      <c r="BH25" s="35">
        <f t="shared" si="48"/>
        <v>430</v>
      </c>
      <c r="BI25" s="35">
        <f t="shared" si="48"/>
        <v>446</v>
      </c>
      <c r="BJ25" s="35">
        <f t="shared" si="48"/>
        <v>443</v>
      </c>
      <c r="BK25" s="35">
        <f t="shared" si="48"/>
        <v>448</v>
      </c>
      <c r="BL25" s="35">
        <f t="shared" si="48"/>
        <v>478</v>
      </c>
      <c r="BM25" s="35">
        <f t="shared" si="48"/>
        <v>499</v>
      </c>
      <c r="BN25" s="35">
        <f t="shared" si="48"/>
        <v>518</v>
      </c>
      <c r="BO25" s="35">
        <f t="shared" si="48"/>
        <v>533</v>
      </c>
      <c r="BP25" s="35">
        <f t="shared" si="48"/>
        <v>570</v>
      </c>
      <c r="BQ25" s="35">
        <f t="shared" si="48"/>
        <v>607</v>
      </c>
      <c r="BR25" s="35">
        <f t="shared" si="48"/>
        <v>648</v>
      </c>
      <c r="BS25" s="35">
        <f t="shared" si="48"/>
        <v>692</v>
      </c>
      <c r="BT25" s="35">
        <f t="shared" si="48"/>
        <v>730</v>
      </c>
      <c r="BU25" s="35">
        <f t="shared" si="48"/>
        <v>755</v>
      </c>
      <c r="BV25" s="35">
        <f t="shared" si="48"/>
        <v>753</v>
      </c>
      <c r="BW25" s="35">
        <f t="shared" si="48"/>
        <v>749</v>
      </c>
      <c r="BX25" s="35">
        <f t="shared" si="48"/>
        <v>774</v>
      </c>
      <c r="BY25" s="35">
        <f t="shared" si="48"/>
        <v>810</v>
      </c>
      <c r="BZ25" s="35">
        <f t="shared" si="48"/>
        <v>821</v>
      </c>
      <c r="CA25" s="35">
        <f t="shared" si="48"/>
        <v>1035</v>
      </c>
      <c r="CB25" s="35">
        <f t="shared" si="48"/>
        <v>1102</v>
      </c>
      <c r="CC25" s="35">
        <f t="shared" si="48"/>
        <v>1187</v>
      </c>
      <c r="CD25" s="35">
        <f t="shared" si="48"/>
        <v>1189</v>
      </c>
      <c r="CE25" s="35">
        <f t="shared" si="48"/>
        <v>1266</v>
      </c>
      <c r="CF25" s="35">
        <f t="shared" si="48"/>
        <v>1375</v>
      </c>
      <c r="CG25" s="35">
        <f t="shared" si="48"/>
        <v>1447</v>
      </c>
      <c r="CH25" s="35">
        <f t="shared" si="48"/>
        <v>1608</v>
      </c>
      <c r="CI25" s="35">
        <f t="shared" si="48"/>
        <v>1749</v>
      </c>
      <c r="CJ25" s="35">
        <f t="shared" si="48"/>
        <v>1793</v>
      </c>
      <c r="CK25" s="35">
        <f t="shared" si="48"/>
        <v>1775</v>
      </c>
      <c r="CL25" s="35">
        <f t="shared" si="48"/>
        <v>1750</v>
      </c>
      <c r="CM25" s="35">
        <f t="shared" si="48"/>
        <v>1838</v>
      </c>
      <c r="CN25" s="35">
        <f t="shared" si="48"/>
        <v>2026</v>
      </c>
      <c r="CO25" s="35">
        <f t="shared" si="48"/>
        <v>2210</v>
      </c>
      <c r="CP25" s="35">
        <f t="shared" si="48"/>
        <v>2501</v>
      </c>
      <c r="CQ25" s="35">
        <f t="shared" si="48"/>
        <v>2792</v>
      </c>
      <c r="CR25" s="35">
        <f t="shared" si="48"/>
        <v>3046</v>
      </c>
      <c r="CS25" s="35">
        <f t="shared" si="48"/>
        <v>3378</v>
      </c>
      <c r="CT25" s="35">
        <f t="shared" si="48"/>
        <v>3583</v>
      </c>
      <c r="CU25" s="35">
        <f t="shared" si="48"/>
        <v>3795</v>
      </c>
      <c r="CV25" s="35">
        <f t="shared" si="48"/>
        <v>4215</v>
      </c>
      <c r="CW25" s="35">
        <f>+CW21-CW29</f>
        <v>5102</v>
      </c>
      <c r="CX25" s="35">
        <f>+CX21-CX29</f>
        <v>5885</v>
      </c>
      <c r="CY25" s="48">
        <f t="shared" ref="CY25:DQ25" si="49">+CY21-CY29</f>
        <v>6725.04</v>
      </c>
      <c r="CZ25" s="48">
        <f t="shared" si="49"/>
        <v>7084.3344000000006</v>
      </c>
      <c r="DA25" s="48">
        <f t="shared" si="49"/>
        <v>7387.4712480000007</v>
      </c>
      <c r="DB25" s="48">
        <f t="shared" si="49"/>
        <v>8038.5617649600026</v>
      </c>
      <c r="DC25" s="48">
        <f t="shared" si="49"/>
        <v>8825.2496784432042</v>
      </c>
      <c r="DD25" s="48">
        <f t="shared" si="49"/>
        <v>9485.8175116304683</v>
      </c>
      <c r="DE25" s="48">
        <f t="shared" si="49"/>
        <v>10095.232407518411</v>
      </c>
      <c r="DF25" s="48">
        <f t="shared" si="49"/>
        <v>10503.578240713816</v>
      </c>
      <c r="DG25" s="48">
        <f t="shared" si="49"/>
        <v>10912.337519072335</v>
      </c>
      <c r="DH25" s="48">
        <f t="shared" si="49"/>
        <v>11226.056432234516</v>
      </c>
      <c r="DI25" s="48">
        <f t="shared" si="49"/>
        <v>11549.237313145197</v>
      </c>
      <c r="DJ25" s="48">
        <f t="shared" si="49"/>
        <v>11763.725787591637</v>
      </c>
      <c r="DK25" s="48">
        <f t="shared" si="49"/>
        <v>11999.000303343471</v>
      </c>
      <c r="DL25" s="48">
        <f t="shared" si="49"/>
        <v>12098.75829867661</v>
      </c>
      <c r="DM25" s="48">
        <f t="shared" si="49"/>
        <v>12323.569060832568</v>
      </c>
      <c r="DN25" s="48">
        <f t="shared" si="49"/>
        <v>12552.704394193472</v>
      </c>
      <c r="DO25" s="48">
        <f t="shared" si="49"/>
        <v>12915.737077778282</v>
      </c>
      <c r="DP25" s="48">
        <f t="shared" si="49"/>
        <v>13289.739961072502</v>
      </c>
      <c r="DQ25" s="48">
        <f t="shared" si="49"/>
        <v>13675.047236333121</v>
      </c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35">
        <f>SUM(AP25:AS25)</f>
        <v>1264.1590000000001</v>
      </c>
      <c r="EE25" s="35">
        <f>SUM(AT25:AW25)</f>
        <v>1395.6669999999999</v>
      </c>
      <c r="EF25" s="35">
        <f>SUM(AX25:BA25)</f>
        <v>1610.182</v>
      </c>
      <c r="EG25" s="35">
        <f>SUM(BB25:BE25)</f>
        <v>1659.5309999999999</v>
      </c>
      <c r="EH25" s="35">
        <f>SUM(BF25:BI25)</f>
        <v>1722</v>
      </c>
      <c r="EI25" s="35">
        <f>SUM(BJ25:BM25)</f>
        <v>1868</v>
      </c>
      <c r="EJ25" s="35">
        <f>SUM(BN25:BQ25)</f>
        <v>2228</v>
      </c>
      <c r="EK25" s="35">
        <f>SUM(BR25:BU25)</f>
        <v>2825</v>
      </c>
      <c r="EL25" s="35">
        <f>BV25+BW25+BX25+BY25</f>
        <v>3086</v>
      </c>
      <c r="EM25" s="35">
        <f>CC25+CB25+CA25+BZ25</f>
        <v>4145</v>
      </c>
      <c r="EN25" s="35">
        <f>+CD25+CE25+CF25+CG25</f>
        <v>5277</v>
      </c>
      <c r="EO25" s="35">
        <f>SUM(CH25:CK25)</f>
        <v>6925</v>
      </c>
      <c r="EP25" s="35">
        <f>SUM(CL25:CO25)</f>
        <v>7824</v>
      </c>
      <c r="EQ25" s="35">
        <f>SUM(CP25:CS25)</f>
        <v>11717</v>
      </c>
      <c r="ER25" s="35">
        <f>SUM(CT25:CW25)</f>
        <v>16695</v>
      </c>
      <c r="ES25" s="48">
        <f>SUM(CX25:DA25)</f>
        <v>27081.845648000002</v>
      </c>
      <c r="ET25" s="48">
        <f>SUM(DB25:DE25)</f>
        <v>36444.861362552081</v>
      </c>
      <c r="EU25" s="48">
        <f>SUM(DF25:DI25)</f>
        <v>44191.209505165862</v>
      </c>
      <c r="EV25" s="48">
        <f>SUM(DJ25:DM25)</f>
        <v>48185.053450444291</v>
      </c>
      <c r="EW25" s="48">
        <f>SUM(DN25:DQ25)</f>
        <v>52433.228669377379</v>
      </c>
    </row>
    <row r="26" spans="1:153" s="52" customFormat="1" ht="11.25" hidden="1" customHeight="1" outlineLevel="1">
      <c r="A26" s="58" t="s">
        <v>223</v>
      </c>
      <c r="AM26" s="52">
        <f t="shared" ref="AM26:CX26" si="50">AM25/AL25-1</f>
        <v>-3.9067259549735556E-2</v>
      </c>
      <c r="AN26" s="52">
        <f t="shared" si="50"/>
        <v>-3.2289799309168865E-2</v>
      </c>
      <c r="AO26" s="52">
        <f t="shared" si="50"/>
        <v>5.4034413946308479E-2</v>
      </c>
      <c r="AP26" s="52">
        <f t="shared" si="50"/>
        <v>7.3008241022215259E-2</v>
      </c>
      <c r="AQ26" s="52">
        <f t="shared" si="50"/>
        <v>3.3660808511913221E-2</v>
      </c>
      <c r="AR26" s="52">
        <f t="shared" si="50"/>
        <v>4.040065702599116E-2</v>
      </c>
      <c r="AS26" s="52">
        <f t="shared" si="50"/>
        <v>2.2356779781694813E-2</v>
      </c>
      <c r="AT26" s="52">
        <f t="shared" si="50"/>
        <v>5.367351388014141E-2</v>
      </c>
      <c r="AU26" s="52">
        <f t="shared" si="50"/>
        <v>-1.5742193561735784E-2</v>
      </c>
      <c r="AV26" s="52">
        <f t="shared" si="50"/>
        <v>6.6831336276365061E-3</v>
      </c>
      <c r="AW26" s="52">
        <f t="shared" si="50"/>
        <v>4.5230036572668331E-2</v>
      </c>
      <c r="AX26" s="52">
        <f t="shared" si="50"/>
        <v>9.932073209984793E-2</v>
      </c>
      <c r="AY26" s="52">
        <f t="shared" si="50"/>
        <v>1.1651210807154255E-2</v>
      </c>
      <c r="AZ26" s="52">
        <f t="shared" si="50"/>
        <v>1.1497063358599569E-2</v>
      </c>
      <c r="BA26" s="52">
        <f t="shared" si="50"/>
        <v>5.8953246868571618E-3</v>
      </c>
      <c r="BB26" s="52">
        <f t="shared" si="50"/>
        <v>7.3664283121952501E-3</v>
      </c>
      <c r="BC26" s="52">
        <f t="shared" si="50"/>
        <v>2.0009737098345415E-3</v>
      </c>
      <c r="BD26" s="52">
        <f t="shared" si="50"/>
        <v>1.0176812706803817E-2</v>
      </c>
      <c r="BE26" s="52">
        <f t="shared" si="50"/>
        <v>1.3195899098388475E-2</v>
      </c>
      <c r="BF26" s="52">
        <f t="shared" si="50"/>
        <v>8.7871293004002649E-3</v>
      </c>
      <c r="BG26" s="52">
        <f t="shared" si="50"/>
        <v>-9.4117647058823417E-3</v>
      </c>
      <c r="BH26" s="52">
        <f t="shared" si="50"/>
        <v>2.1377672209026199E-2</v>
      </c>
      <c r="BI26" s="52">
        <f t="shared" si="50"/>
        <v>3.7209302325581506E-2</v>
      </c>
      <c r="BJ26" s="52">
        <f t="shared" si="50"/>
        <v>-6.7264573991031584E-3</v>
      </c>
      <c r="BK26" s="52">
        <f t="shared" si="50"/>
        <v>1.1286681715575675E-2</v>
      </c>
      <c r="BL26" s="52">
        <f t="shared" si="50"/>
        <v>6.6964285714285809E-2</v>
      </c>
      <c r="BM26" s="52">
        <f t="shared" si="50"/>
        <v>4.3933054393305415E-2</v>
      </c>
      <c r="BN26" s="52">
        <f t="shared" si="50"/>
        <v>3.8076152304609145E-2</v>
      </c>
      <c r="BO26" s="52">
        <f t="shared" si="50"/>
        <v>2.8957528957529011E-2</v>
      </c>
      <c r="BP26" s="52">
        <f t="shared" si="50"/>
        <v>6.9418386491557182E-2</v>
      </c>
      <c r="BQ26" s="52">
        <f t="shared" si="50"/>
        <v>6.4912280701754366E-2</v>
      </c>
      <c r="BR26" s="52">
        <f t="shared" si="50"/>
        <v>6.7545304777594684E-2</v>
      </c>
      <c r="BS26" s="52">
        <f t="shared" si="50"/>
        <v>6.7901234567901314E-2</v>
      </c>
      <c r="BT26" s="52">
        <f t="shared" si="50"/>
        <v>5.4913294797687806E-2</v>
      </c>
      <c r="BU26" s="52">
        <f t="shared" si="50"/>
        <v>3.4246575342465668E-2</v>
      </c>
      <c r="BV26" s="52">
        <f t="shared" si="50"/>
        <v>-2.6490066225165476E-3</v>
      </c>
      <c r="BW26" s="52">
        <f t="shared" si="50"/>
        <v>-5.312084993359889E-3</v>
      </c>
      <c r="BX26" s="52">
        <f t="shared" si="50"/>
        <v>3.3377837116154829E-2</v>
      </c>
      <c r="BY26" s="52">
        <f t="shared" si="50"/>
        <v>4.6511627906976827E-2</v>
      </c>
      <c r="BZ26" s="52">
        <f t="shared" si="50"/>
        <v>1.3580246913580174E-2</v>
      </c>
      <c r="CA26" s="52">
        <f t="shared" si="50"/>
        <v>0.26065773447015839</v>
      </c>
      <c r="CB26" s="52">
        <f t="shared" si="50"/>
        <v>6.4734299516908234E-2</v>
      </c>
      <c r="CC26" s="52">
        <f t="shared" si="50"/>
        <v>7.7132486388384658E-2</v>
      </c>
      <c r="CD26" s="52">
        <f t="shared" si="50"/>
        <v>1.6849199663016012E-3</v>
      </c>
      <c r="CE26" s="52">
        <f t="shared" si="50"/>
        <v>6.4760302775441536E-2</v>
      </c>
      <c r="CF26" s="52">
        <f t="shared" si="50"/>
        <v>8.6097946287519767E-2</v>
      </c>
      <c r="CG26" s="52">
        <f t="shared" si="50"/>
        <v>5.236363636363639E-2</v>
      </c>
      <c r="CH26" s="52">
        <f t="shared" si="50"/>
        <v>0.11126468555632352</v>
      </c>
      <c r="CI26" s="52">
        <f t="shared" si="50"/>
        <v>8.7686567164179108E-2</v>
      </c>
      <c r="CJ26" s="52">
        <f t="shared" si="50"/>
        <v>2.515723270440251E-2</v>
      </c>
      <c r="CK26" s="52">
        <f t="shared" si="50"/>
        <v>-1.0039040713887393E-2</v>
      </c>
      <c r="CL26" s="52">
        <f t="shared" si="50"/>
        <v>-1.4084507042253502E-2</v>
      </c>
      <c r="CM26" s="52">
        <f t="shared" si="50"/>
        <v>5.0285714285714267E-2</v>
      </c>
      <c r="CN26" s="52">
        <f t="shared" si="50"/>
        <v>0.10228509249183904</v>
      </c>
      <c r="CO26" s="52">
        <f t="shared" si="50"/>
        <v>9.081934846989137E-2</v>
      </c>
      <c r="CP26" s="52">
        <f t="shared" si="50"/>
        <v>0.13167420814479636</v>
      </c>
      <c r="CQ26" s="52">
        <f t="shared" si="50"/>
        <v>0.11635345861655333</v>
      </c>
      <c r="CR26" s="52">
        <f t="shared" si="50"/>
        <v>9.0974212034383939E-2</v>
      </c>
      <c r="CS26" s="52">
        <f t="shared" si="50"/>
        <v>0.10899540380827322</v>
      </c>
      <c r="CT26" s="52">
        <f t="shared" si="50"/>
        <v>6.0686796921255226E-2</v>
      </c>
      <c r="CU26" s="52">
        <f t="shared" si="50"/>
        <v>5.9168294725090664E-2</v>
      </c>
      <c r="CV26" s="52">
        <f t="shared" si="50"/>
        <v>0.11067193675889331</v>
      </c>
      <c r="CW26" s="52">
        <f t="shared" si="50"/>
        <v>0.21043890865954928</v>
      </c>
      <c r="CX26" s="52">
        <f t="shared" si="50"/>
        <v>0.1534692277538221</v>
      </c>
      <c r="CY26" s="53">
        <f t="shared" ref="CY26:DQ26" si="51">CY25/CX25-1</f>
        <v>0.1427425658453696</v>
      </c>
      <c r="CZ26" s="53">
        <f t="shared" si="51"/>
        <v>5.3426358802326934E-2</v>
      </c>
      <c r="DA26" s="53">
        <f t="shared" si="51"/>
        <v>4.2789742957362487E-2</v>
      </c>
      <c r="DB26" s="53">
        <f t="shared" si="51"/>
        <v>8.8134423147334884E-2</v>
      </c>
      <c r="DC26" s="53">
        <f t="shared" si="51"/>
        <v>9.786426185245789E-2</v>
      </c>
      <c r="DD26" s="53">
        <f t="shared" si="51"/>
        <v>7.4849761452164376E-2</v>
      </c>
      <c r="DE26" s="53">
        <f t="shared" si="51"/>
        <v>6.424484712474654E-2</v>
      </c>
      <c r="DF26" s="53">
        <f t="shared" si="51"/>
        <v>4.0449374190859588E-2</v>
      </c>
      <c r="DG26" s="53">
        <f t="shared" si="51"/>
        <v>3.891619303354088E-2</v>
      </c>
      <c r="DH26" s="53">
        <f t="shared" si="51"/>
        <v>2.8749011164094895E-2</v>
      </c>
      <c r="DI26" s="53">
        <f t="shared" si="51"/>
        <v>2.8788460387807913E-2</v>
      </c>
      <c r="DJ26" s="53">
        <f t="shared" si="51"/>
        <v>1.8571657039405665E-2</v>
      </c>
      <c r="DK26" s="53">
        <f t="shared" si="51"/>
        <v>2.000000000000024E-2</v>
      </c>
      <c r="DL26" s="53">
        <f t="shared" si="51"/>
        <v>8.3138588891726872E-3</v>
      </c>
      <c r="DM26" s="53">
        <f t="shared" si="51"/>
        <v>1.8581308643924821E-2</v>
      </c>
      <c r="DN26" s="53">
        <f t="shared" si="51"/>
        <v>1.8593260785883414E-2</v>
      </c>
      <c r="DO26" s="53">
        <f t="shared" si="51"/>
        <v>2.892067495453321E-2</v>
      </c>
      <c r="DP26" s="53">
        <f t="shared" si="51"/>
        <v>2.8957145925314398E-2</v>
      </c>
      <c r="DQ26" s="53">
        <f t="shared" si="51"/>
        <v>2.8992837812420458E-2</v>
      </c>
      <c r="DT26" s="54" t="s">
        <v>224</v>
      </c>
      <c r="DU26" s="54" t="s">
        <v>224</v>
      </c>
      <c r="DV26" s="54" t="s">
        <v>224</v>
      </c>
      <c r="DW26" s="54" t="s">
        <v>224</v>
      </c>
      <c r="DX26" s="54" t="s">
        <v>224</v>
      </c>
      <c r="DY26" s="54" t="s">
        <v>224</v>
      </c>
      <c r="DZ26" s="54" t="s">
        <v>224</v>
      </c>
      <c r="EA26" s="54" t="s">
        <v>224</v>
      </c>
      <c r="EB26" s="54" t="s">
        <v>224</v>
      </c>
      <c r="EC26" s="54" t="s">
        <v>224</v>
      </c>
      <c r="ED26" s="54" t="s">
        <v>224</v>
      </c>
      <c r="EE26" s="54" t="s">
        <v>224</v>
      </c>
      <c r="EF26" s="54" t="s">
        <v>224</v>
      </c>
      <c r="EG26" s="54" t="s">
        <v>224</v>
      </c>
      <c r="EH26" s="54" t="s">
        <v>224</v>
      </c>
      <c r="EI26" s="54" t="s">
        <v>224</v>
      </c>
      <c r="EJ26" s="54" t="s">
        <v>224</v>
      </c>
      <c r="EK26" s="54" t="s">
        <v>224</v>
      </c>
      <c r="EL26" s="54" t="s">
        <v>224</v>
      </c>
      <c r="EM26" s="54" t="s">
        <v>224</v>
      </c>
      <c r="EN26" s="54" t="s">
        <v>224</v>
      </c>
      <c r="EO26" s="54" t="s">
        <v>224</v>
      </c>
      <c r="EP26" s="54" t="s">
        <v>224</v>
      </c>
      <c r="EQ26" s="54" t="s">
        <v>224</v>
      </c>
      <c r="ER26" s="54" t="s">
        <v>224</v>
      </c>
      <c r="ES26" s="55" t="s">
        <v>224</v>
      </c>
      <c r="ET26" s="55" t="s">
        <v>224</v>
      </c>
      <c r="EU26" s="55" t="s">
        <v>224</v>
      </c>
      <c r="EV26" s="55" t="s">
        <v>224</v>
      </c>
      <c r="EW26" s="55" t="s">
        <v>224</v>
      </c>
    </row>
    <row r="27" spans="1:153" s="52" customFormat="1" ht="11.25" hidden="1" customHeight="1" outlineLevel="1">
      <c r="A27" s="58" t="s">
        <v>225</v>
      </c>
      <c r="AP27" s="52">
        <f t="shared" ref="AP27:DA27" si="52">AP25/AL25-1</f>
        <v>5.1710374286614735E-2</v>
      </c>
      <c r="AQ27" s="52">
        <f t="shared" si="52"/>
        <v>0.13130893562444435</v>
      </c>
      <c r="AR27" s="52">
        <f t="shared" si="52"/>
        <v>0.21628826386535649</v>
      </c>
      <c r="AS27" s="52">
        <f t="shared" si="52"/>
        <v>0.17973430115631484</v>
      </c>
      <c r="AT27" s="52">
        <f t="shared" si="52"/>
        <v>0.15847645807463229</v>
      </c>
      <c r="AU27" s="52">
        <f t="shared" si="52"/>
        <v>0.10310799059551035</v>
      </c>
      <c r="AV27" s="52">
        <f t="shared" si="52"/>
        <v>6.7358234736900835E-2</v>
      </c>
      <c r="AW27" s="52">
        <f t="shared" si="52"/>
        <v>9.1238312097282392E-2</v>
      </c>
      <c r="AX27" s="52">
        <f t="shared" si="52"/>
        <v>0.1385129115873811</v>
      </c>
      <c r="AY27" s="52">
        <f t="shared" si="52"/>
        <v>0.17019947212295317</v>
      </c>
      <c r="AZ27" s="52">
        <f t="shared" si="52"/>
        <v>0.17579533227182664</v>
      </c>
      <c r="BA27" s="52">
        <f t="shared" si="52"/>
        <v>0.13154711033663702</v>
      </c>
      <c r="BB27" s="52">
        <f t="shared" si="52"/>
        <v>3.6897183617630169E-2</v>
      </c>
      <c r="BC27" s="52">
        <f t="shared" si="52"/>
        <v>2.7006122785043774E-2</v>
      </c>
      <c r="BD27" s="52">
        <f t="shared" si="52"/>
        <v>2.5665629023744252E-2</v>
      </c>
      <c r="BE27" s="52">
        <f t="shared" si="52"/>
        <v>3.3109692100952381E-2</v>
      </c>
      <c r="BF27" s="52">
        <f t="shared" si="52"/>
        <v>3.4566699123661282E-2</v>
      </c>
      <c r="BG27" s="52">
        <f t="shared" si="52"/>
        <v>2.2783038807449474E-2</v>
      </c>
      <c r="BH27" s="52">
        <f t="shared" si="52"/>
        <v>3.4123676381817791E-2</v>
      </c>
      <c r="BI27" s="52">
        <f t="shared" si="52"/>
        <v>5.8633081571713985E-2</v>
      </c>
      <c r="BJ27" s="52">
        <f t="shared" si="52"/>
        <v>4.2352941176470482E-2</v>
      </c>
      <c r="BK27" s="52">
        <f t="shared" si="52"/>
        <v>6.4133016627078376E-2</v>
      </c>
      <c r="BL27" s="52">
        <f t="shared" si="52"/>
        <v>0.1116279069767443</v>
      </c>
      <c r="BM27" s="52">
        <f t="shared" si="52"/>
        <v>0.1188340807174888</v>
      </c>
      <c r="BN27" s="52">
        <f t="shared" si="52"/>
        <v>0.16930022573363424</v>
      </c>
      <c r="BO27" s="52">
        <f t="shared" si="52"/>
        <v>0.18973214285714279</v>
      </c>
      <c r="BP27" s="52">
        <f t="shared" si="52"/>
        <v>0.19246861924686187</v>
      </c>
      <c r="BQ27" s="52">
        <f t="shared" si="52"/>
        <v>0.21643286573146292</v>
      </c>
      <c r="BR27" s="52">
        <f t="shared" si="52"/>
        <v>0.25096525096525091</v>
      </c>
      <c r="BS27" s="52">
        <f t="shared" si="52"/>
        <v>0.29831144465290804</v>
      </c>
      <c r="BT27" s="52">
        <f t="shared" si="52"/>
        <v>0.2807017543859649</v>
      </c>
      <c r="BU27" s="52">
        <f t="shared" si="52"/>
        <v>0.24382207578253712</v>
      </c>
      <c r="BV27" s="52">
        <f t="shared" si="52"/>
        <v>0.16203703703703698</v>
      </c>
      <c r="BW27" s="52">
        <f t="shared" si="52"/>
        <v>8.236994219653182E-2</v>
      </c>
      <c r="BX27" s="52">
        <f t="shared" si="52"/>
        <v>6.02739726027397E-2</v>
      </c>
      <c r="BY27" s="52">
        <f t="shared" si="52"/>
        <v>7.2847682119205226E-2</v>
      </c>
      <c r="BZ27" s="52">
        <f t="shared" si="52"/>
        <v>9.0305444887118114E-2</v>
      </c>
      <c r="CA27" s="52">
        <f t="shared" si="52"/>
        <v>0.38184245660881166</v>
      </c>
      <c r="CB27" s="52">
        <f t="shared" si="52"/>
        <v>0.42377260981912146</v>
      </c>
      <c r="CC27" s="52">
        <f t="shared" si="52"/>
        <v>0.46543209876543212</v>
      </c>
      <c r="CD27" s="52">
        <f t="shared" si="52"/>
        <v>0.44823386114494523</v>
      </c>
      <c r="CE27" s="52">
        <f t="shared" si="52"/>
        <v>0.22318840579710142</v>
      </c>
      <c r="CF27" s="52">
        <f t="shared" si="52"/>
        <v>0.24773139745916506</v>
      </c>
      <c r="CG27" s="52">
        <f t="shared" si="52"/>
        <v>0.21903959561920816</v>
      </c>
      <c r="CH27" s="52">
        <f t="shared" si="52"/>
        <v>0.35239697224558442</v>
      </c>
      <c r="CI27" s="52">
        <f t="shared" si="52"/>
        <v>0.38151658767772512</v>
      </c>
      <c r="CJ27" s="52">
        <f t="shared" si="52"/>
        <v>0.30400000000000005</v>
      </c>
      <c r="CK27" s="52">
        <f t="shared" si="52"/>
        <v>0.22667588113337933</v>
      </c>
      <c r="CL27" s="52">
        <f t="shared" si="52"/>
        <v>8.83084577114428E-2</v>
      </c>
      <c r="CM27" s="52">
        <f t="shared" si="52"/>
        <v>5.0886220697541562E-2</v>
      </c>
      <c r="CN27" s="52">
        <f t="shared" si="52"/>
        <v>0.12994980479643048</v>
      </c>
      <c r="CO27" s="52">
        <f t="shared" si="52"/>
        <v>0.24507042253521116</v>
      </c>
      <c r="CP27" s="52">
        <f t="shared" si="52"/>
        <v>0.42914285714285705</v>
      </c>
      <c r="CQ27" s="52">
        <f t="shared" si="52"/>
        <v>0.5190424374319913</v>
      </c>
      <c r="CR27" s="52">
        <f t="shared" si="52"/>
        <v>0.5034550839091807</v>
      </c>
      <c r="CS27" s="52">
        <f t="shared" si="52"/>
        <v>0.52850678733031664</v>
      </c>
      <c r="CT27" s="52">
        <f t="shared" si="52"/>
        <v>0.43262694922031186</v>
      </c>
      <c r="CU27" s="52">
        <f t="shared" si="52"/>
        <v>0.35924068767908302</v>
      </c>
      <c r="CV27" s="52">
        <f t="shared" si="52"/>
        <v>0.38378200919238337</v>
      </c>
      <c r="CW27" s="52">
        <f t="shared" si="52"/>
        <v>0.51036116044997049</v>
      </c>
      <c r="CX27" s="52">
        <f t="shared" si="52"/>
        <v>0.64247837008093778</v>
      </c>
      <c r="CY27" s="53">
        <f t="shared" si="52"/>
        <v>0.77207905138339927</v>
      </c>
      <c r="CZ27" s="53">
        <f t="shared" si="52"/>
        <v>0.68074362989323856</v>
      </c>
      <c r="DA27" s="53">
        <f t="shared" si="52"/>
        <v>0.44795594825558616</v>
      </c>
      <c r="DB27" s="53">
        <f t="shared" ref="DB27:DQ27" si="53">DB25/CX25-1</f>
        <v>0.36594082667119832</v>
      </c>
      <c r="DC27" s="53">
        <f t="shared" si="53"/>
        <v>0.31229697941472523</v>
      </c>
      <c r="DD27" s="53">
        <f t="shared" si="53"/>
        <v>0.33898500212390692</v>
      </c>
      <c r="DE27" s="53">
        <f t="shared" si="53"/>
        <v>0.36653424001500912</v>
      </c>
      <c r="DF27" s="53">
        <f t="shared" si="53"/>
        <v>0.30664894390670616</v>
      </c>
      <c r="DG27" s="53">
        <f t="shared" si="53"/>
        <v>0.2364905149060097</v>
      </c>
      <c r="DH27" s="53">
        <f t="shared" si="53"/>
        <v>0.18345692592866758</v>
      </c>
      <c r="DI27" s="53">
        <f t="shared" si="53"/>
        <v>0.14402886896827827</v>
      </c>
      <c r="DJ27" s="53">
        <f t="shared" si="53"/>
        <v>0.11997316704827843</v>
      </c>
      <c r="DK27" s="53">
        <f t="shared" si="53"/>
        <v>9.9581119294733345E-2</v>
      </c>
      <c r="DL27" s="53">
        <f t="shared" si="53"/>
        <v>7.7738952383689774E-2</v>
      </c>
      <c r="DM27" s="53">
        <f t="shared" si="53"/>
        <v>6.7046137047165555E-2</v>
      </c>
      <c r="DN27" s="53">
        <f t="shared" si="53"/>
        <v>6.7068768929827272E-2</v>
      </c>
      <c r="DO27" s="53">
        <f t="shared" si="53"/>
        <v>7.6401096029588889E-2</v>
      </c>
      <c r="DP27" s="53">
        <f t="shared" si="53"/>
        <v>9.8438338298415751E-2</v>
      </c>
      <c r="DQ27" s="53">
        <f t="shared" si="53"/>
        <v>0.1096661339608096</v>
      </c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E27" s="52">
        <f>EE25/ED25-1</f>
        <v>0.10402805343315191</v>
      </c>
      <c r="EF27" s="52">
        <f t="shared" ref="EF27:ET27" si="54">EF25/EE25-1</f>
        <v>0.15370070367788302</v>
      </c>
      <c r="EG27" s="52">
        <f t="shared" si="54"/>
        <v>3.0648088228535597E-2</v>
      </c>
      <c r="EH27" s="52">
        <f t="shared" si="54"/>
        <v>3.7642562868665852E-2</v>
      </c>
      <c r="EI27" s="52">
        <f t="shared" si="54"/>
        <v>8.478513356562134E-2</v>
      </c>
      <c r="EJ27" s="52">
        <f t="shared" si="54"/>
        <v>0.19271948608137035</v>
      </c>
      <c r="EK27" s="52">
        <f t="shared" si="54"/>
        <v>0.26795332136445249</v>
      </c>
      <c r="EL27" s="52">
        <f t="shared" si="54"/>
        <v>9.2389380530973453E-2</v>
      </c>
      <c r="EM27" s="52">
        <f t="shared" si="54"/>
        <v>0.34316267012313673</v>
      </c>
      <c r="EN27" s="52">
        <f t="shared" si="54"/>
        <v>0.27310012062726186</v>
      </c>
      <c r="EO27" s="52">
        <f t="shared" si="54"/>
        <v>0.31229865453856354</v>
      </c>
      <c r="EP27" s="52">
        <f>EP25/EO25-1</f>
        <v>0.12981949458483744</v>
      </c>
      <c r="EQ27" s="52">
        <f t="shared" si="54"/>
        <v>0.49757157464212676</v>
      </c>
      <c r="ER27" s="52">
        <f t="shared" si="54"/>
        <v>0.42485277801485011</v>
      </c>
      <c r="ES27" s="65">
        <f t="shared" si="54"/>
        <v>0.62215307864630143</v>
      </c>
      <c r="ET27" s="65">
        <f t="shared" si="54"/>
        <v>0.34573034040032424</v>
      </c>
      <c r="EU27" s="65">
        <f>EU25/ET25-1</f>
        <v>0.21254980408769852</v>
      </c>
      <c r="EV27" s="65">
        <f>EV25/EU25-1</f>
        <v>9.0376434363299341E-2</v>
      </c>
      <c r="EW27" s="65">
        <f>EW25/EV25-1</f>
        <v>8.8163754416130447E-2</v>
      </c>
    </row>
    <row r="28" spans="1:153" ht="11.25" customHeight="1" collapsed="1">
      <c r="A28" s="58" t="s">
        <v>228</v>
      </c>
      <c r="AL28" s="52">
        <f t="shared" ref="AL28:CV28" si="55">AL25/AL5</f>
        <v>0.28509312616226778</v>
      </c>
      <c r="AM28" s="52">
        <f t="shared" si="55"/>
        <v>0.33832506582775318</v>
      </c>
      <c r="AN28" s="52">
        <f t="shared" si="55"/>
        <v>0.31471290845490996</v>
      </c>
      <c r="AO28" s="52">
        <f t="shared" si="55"/>
        <v>0.31582646642057099</v>
      </c>
      <c r="AP28" s="52">
        <f t="shared" si="55"/>
        <v>0.31223162470544336</v>
      </c>
      <c r="AQ28" s="52">
        <f t="shared" si="55"/>
        <v>0.30544496550475791</v>
      </c>
      <c r="AR28" s="52">
        <f t="shared" si="55"/>
        <v>0.30298261081618488</v>
      </c>
      <c r="AS28" s="52">
        <f t="shared" si="55"/>
        <v>0.34647301598625252</v>
      </c>
      <c r="AT28" s="52">
        <f t="shared" si="55"/>
        <v>0.37624678741065026</v>
      </c>
      <c r="AU28" s="52">
        <f t="shared" si="55"/>
        <v>0.32798414203223308</v>
      </c>
      <c r="AV28" s="52">
        <f t="shared" si="55"/>
        <v>0.28634676233898898</v>
      </c>
      <c r="AW28" s="52">
        <f t="shared" si="55"/>
        <v>0.3255825718988673</v>
      </c>
      <c r="AX28" s="52">
        <f t="shared" si="55"/>
        <v>0.41496367069953149</v>
      </c>
      <c r="AY28" s="52">
        <f t="shared" si="55"/>
        <v>0.41013345776566196</v>
      </c>
      <c r="AZ28" s="52">
        <f t="shared" si="55"/>
        <v>0.38464771667424114</v>
      </c>
      <c r="BA28" s="52">
        <f t="shared" si="55"/>
        <v>0.3563971201292061</v>
      </c>
      <c r="BB28" s="52">
        <f t="shared" si="55"/>
        <v>0.37251073870112716</v>
      </c>
      <c r="BC28" s="52">
        <f t="shared" si="55"/>
        <v>0.37324360006673774</v>
      </c>
      <c r="BD28" s="52">
        <f t="shared" si="55"/>
        <v>0.33933173492021262</v>
      </c>
      <c r="BE28" s="52">
        <f t="shared" si="55"/>
        <v>0.33689986677478223</v>
      </c>
      <c r="BF28" s="52">
        <f t="shared" si="55"/>
        <v>0.36924413553431801</v>
      </c>
      <c r="BG28" s="52">
        <f t="shared" si="55"/>
        <v>0.36513443191673894</v>
      </c>
      <c r="BH28" s="52">
        <f t="shared" si="55"/>
        <v>0.32950191570881227</v>
      </c>
      <c r="BI28" s="52">
        <f t="shared" si="55"/>
        <v>0.31834403997144894</v>
      </c>
      <c r="BJ28" s="52">
        <f t="shared" si="55"/>
        <v>0.33946360153256705</v>
      </c>
      <c r="BK28" s="52">
        <f t="shared" si="55"/>
        <v>0.31372549019607843</v>
      </c>
      <c r="BL28" s="52">
        <f t="shared" si="55"/>
        <v>0.23852295409181637</v>
      </c>
      <c r="BM28" s="52">
        <f t="shared" si="55"/>
        <v>0.22963644730786931</v>
      </c>
      <c r="BN28" s="52">
        <f t="shared" si="55"/>
        <v>0.26742385131646879</v>
      </c>
      <c r="BO28" s="52">
        <f t="shared" si="55"/>
        <v>0.2390134529147982</v>
      </c>
      <c r="BP28" s="52">
        <f t="shared" si="55"/>
        <v>0.21623672230652505</v>
      </c>
      <c r="BQ28" s="52">
        <f t="shared" si="55"/>
        <v>0.20851940913775335</v>
      </c>
      <c r="BR28" s="52">
        <f t="shared" si="55"/>
        <v>0.20205799812909261</v>
      </c>
      <c r="BS28" s="52">
        <f t="shared" si="55"/>
        <v>0.22158181235991034</v>
      </c>
      <c r="BT28" s="52">
        <f t="shared" si="55"/>
        <v>0.22948758252121973</v>
      </c>
      <c r="BU28" s="52">
        <f t="shared" si="55"/>
        <v>0.34240362811791381</v>
      </c>
      <c r="BV28" s="52">
        <f t="shared" si="55"/>
        <v>0.33918918918918917</v>
      </c>
      <c r="BW28" s="52">
        <f t="shared" si="55"/>
        <v>0.29042264443582783</v>
      </c>
      <c r="BX28" s="52">
        <f t="shared" si="55"/>
        <v>0.25680159256801594</v>
      </c>
      <c r="BY28" s="52">
        <f t="shared" si="55"/>
        <v>0.2608695652173913</v>
      </c>
      <c r="BZ28" s="52">
        <f t="shared" si="55"/>
        <v>0.26655844155844155</v>
      </c>
      <c r="CA28" s="52">
        <f t="shared" si="55"/>
        <v>0.26771857216761513</v>
      </c>
      <c r="CB28" s="52">
        <f t="shared" si="55"/>
        <v>0.2331781633516716</v>
      </c>
      <c r="CC28" s="52">
        <f t="shared" si="55"/>
        <v>0.23725764541275235</v>
      </c>
      <c r="CD28" s="52">
        <f t="shared" si="55"/>
        <v>0.21003356297473944</v>
      </c>
      <c r="CE28" s="52">
        <f t="shared" si="55"/>
        <v>0.19455970493314892</v>
      </c>
      <c r="CF28" s="52">
        <f t="shared" si="55"/>
        <v>0.19358017738983527</v>
      </c>
      <c r="CG28" s="52">
        <f t="shared" si="55"/>
        <v>0.18932356404553186</v>
      </c>
      <c r="CH28" s="52">
        <f t="shared" si="55"/>
        <v>0.19401544401544402</v>
      </c>
      <c r="CI28" s="52">
        <f t="shared" si="55"/>
        <v>0.2608890214797136</v>
      </c>
      <c r="CJ28" s="52">
        <f t="shared" si="55"/>
        <v>0.30230989715056483</v>
      </c>
      <c r="CK28" s="52">
        <f t="shared" si="55"/>
        <v>0.29333994381094036</v>
      </c>
      <c r="CL28" s="52">
        <f t="shared" si="55"/>
        <v>0.24332591768631814</v>
      </c>
      <c r="CM28" s="52">
        <f t="shared" si="55"/>
        <v>0.13607758939808989</v>
      </c>
      <c r="CN28" s="52">
        <f>CN25/CN5</f>
        <v>0.11181015452538631</v>
      </c>
      <c r="CO28" s="52">
        <f>CO25/CO5</f>
        <v>9.9986427181830526E-2</v>
      </c>
      <c r="CP28" s="52">
        <f>CP25/CP5</f>
        <v>9.602979573030257E-2</v>
      </c>
      <c r="CQ28" s="52">
        <f t="shared" si="55"/>
        <v>9.2942743009320899E-2</v>
      </c>
      <c r="CR28" s="52">
        <f t="shared" si="55"/>
        <v>8.6825152499857478E-2</v>
      </c>
      <c r="CS28" s="52">
        <f t="shared" si="55"/>
        <v>8.5886450891154556E-2</v>
      </c>
      <c r="CT28" s="52">
        <f t="shared" si="55"/>
        <v>8.1317234805501334E-2</v>
      </c>
      <c r="CU28" s="52">
        <f t="shared" si="55"/>
        <v>8.1188627174122327E-2</v>
      </c>
      <c r="CV28" s="52">
        <f t="shared" si="55"/>
        <v>7.3939585306809816E-2</v>
      </c>
      <c r="CW28" s="52">
        <f>CW25/CW5</f>
        <v>7.4889544527133145E-2</v>
      </c>
      <c r="CX28" s="52">
        <f>CX25/CX5</f>
        <v>7.2106843104821419E-2</v>
      </c>
      <c r="CY28" s="53">
        <f t="shared" ref="CY28:DQ28" si="56">CY25/CY5</f>
        <v>7.2273637915429331E-2</v>
      </c>
      <c r="CZ28" s="53">
        <f t="shared" si="56"/>
        <v>6.4020435857202518E-2</v>
      </c>
      <c r="DA28" s="53">
        <f t="shared" si="56"/>
        <v>5.8849325607300156E-2</v>
      </c>
      <c r="DB28" s="53">
        <f t="shared" si="56"/>
        <v>5.8653495230402669E-2</v>
      </c>
      <c r="DC28" s="53">
        <f t="shared" si="56"/>
        <v>5.8655643764050414E-2</v>
      </c>
      <c r="DD28" s="53">
        <f t="shared" si="56"/>
        <v>5.6398353265100391E-2</v>
      </c>
      <c r="DE28" s="53">
        <f t="shared" si="56"/>
        <v>5.6267084589642684E-2</v>
      </c>
      <c r="DF28" s="53">
        <f t="shared" si="56"/>
        <v>5.7063514850529969E-2</v>
      </c>
      <c r="DG28" s="53">
        <f t="shared" si="56"/>
        <v>5.7510981760166627E-2</v>
      </c>
      <c r="DH28" s="53">
        <f t="shared" si="56"/>
        <v>5.5290544073454385E-2</v>
      </c>
      <c r="DI28" s="53">
        <f t="shared" si="56"/>
        <v>5.4177611082824428E-2</v>
      </c>
      <c r="DJ28" s="53">
        <f t="shared" si="56"/>
        <v>5.4793051004950945E-2</v>
      </c>
      <c r="DK28" s="53">
        <f t="shared" si="56"/>
        <v>5.5255365000084586E-2</v>
      </c>
      <c r="DL28" s="53">
        <f t="shared" si="56"/>
        <v>5.401047151726128E-2</v>
      </c>
      <c r="DM28" s="53">
        <f t="shared" si="56"/>
        <v>5.3871860205111165E-2</v>
      </c>
      <c r="DN28" s="53">
        <f t="shared" si="56"/>
        <v>5.3971214244152431E-2</v>
      </c>
      <c r="DO28" s="53">
        <f t="shared" si="56"/>
        <v>5.3878055359025012E-2</v>
      </c>
      <c r="DP28" s="53">
        <f t="shared" si="56"/>
        <v>5.2284328658698323E-2</v>
      </c>
      <c r="DQ28" s="53">
        <f t="shared" si="56"/>
        <v>5.1712748547562332E-2</v>
      </c>
      <c r="ED28" s="52">
        <f t="shared" ref="ED28:EW28" si="57">ED25/ED5</f>
        <v>0.31620338525186786</v>
      </c>
      <c r="EE28" s="52">
        <f t="shared" si="57"/>
        <v>0.32607830690401923</v>
      </c>
      <c r="EF28" s="52">
        <f t="shared" si="57"/>
        <v>0.38985928396997499</v>
      </c>
      <c r="EG28" s="52">
        <f t="shared" si="57"/>
        <v>0.35448649334498489</v>
      </c>
      <c r="EH28" s="52">
        <f t="shared" si="57"/>
        <v>0.34371257485029938</v>
      </c>
      <c r="EI28" s="52">
        <f t="shared" si="57"/>
        <v>0.27033285094066573</v>
      </c>
      <c r="EJ28" s="52">
        <f t="shared" si="57"/>
        <v>0.22935968704961909</v>
      </c>
      <c r="EK28" s="52">
        <f t="shared" si="57"/>
        <v>0.2411232502560601</v>
      </c>
      <c r="EL28" s="52">
        <f t="shared" si="57"/>
        <v>0.28265250045795931</v>
      </c>
      <c r="EM28" s="52">
        <f t="shared" si="57"/>
        <v>0.24857571214392804</v>
      </c>
      <c r="EN28" s="52">
        <f t="shared" si="57"/>
        <v>0.19606896039236085</v>
      </c>
      <c r="EO28" s="52">
        <f t="shared" si="57"/>
        <v>0.25672870171276041</v>
      </c>
      <c r="EP28" s="52">
        <f t="shared" si="57"/>
        <v>0.12842651258986901</v>
      </c>
      <c r="EQ28" s="52">
        <f t="shared" si="57"/>
        <v>8.9787504693594491E-2</v>
      </c>
      <c r="ER28" s="52">
        <f t="shared" si="57"/>
        <v>7.7313858607563277E-2</v>
      </c>
      <c r="ES28" s="53">
        <f t="shared" si="57"/>
        <v>6.59159762817184E-2</v>
      </c>
      <c r="ET28" s="53">
        <f t="shared" si="57"/>
        <v>5.7382652901323661E-2</v>
      </c>
      <c r="EU28" s="53">
        <f t="shared" si="57"/>
        <v>5.5936618124672648E-2</v>
      </c>
      <c r="EV28" s="53">
        <f t="shared" si="57"/>
        <v>5.4470154502703545E-2</v>
      </c>
      <c r="EW28" s="53">
        <f t="shared" si="57"/>
        <v>5.2913273724134242E-2</v>
      </c>
    </row>
    <row r="29" spans="1:153" s="628" customFormat="1" ht="11.25" hidden="1" customHeight="1" outlineLevel="2">
      <c r="A29" s="629" t="s">
        <v>234</v>
      </c>
      <c r="B29" s="627"/>
      <c r="C29" s="627"/>
      <c r="D29" s="627"/>
      <c r="E29" s="627"/>
      <c r="F29" s="627"/>
      <c r="G29" s="627"/>
      <c r="H29" s="627"/>
      <c r="I29" s="627"/>
      <c r="J29" s="627"/>
      <c r="K29" s="627"/>
      <c r="L29" s="627"/>
      <c r="M29" s="627"/>
      <c r="N29" s="627"/>
      <c r="O29" s="627"/>
      <c r="P29" s="627"/>
      <c r="Q29" s="627"/>
      <c r="R29" s="627"/>
      <c r="S29" s="627"/>
      <c r="T29" s="627"/>
      <c r="U29" s="627"/>
      <c r="V29" s="627"/>
      <c r="W29" s="627"/>
      <c r="X29" s="627"/>
      <c r="Y29" s="627"/>
      <c r="Z29" s="627"/>
      <c r="AA29" s="627"/>
      <c r="AB29" s="627"/>
      <c r="AC29" s="627"/>
      <c r="AD29" s="627"/>
      <c r="AE29" s="627"/>
      <c r="AF29" s="627"/>
      <c r="AG29" s="627"/>
      <c r="AH29" s="627"/>
      <c r="AI29" s="627"/>
      <c r="AJ29" s="627"/>
      <c r="AK29" s="627"/>
      <c r="AL29" s="627">
        <f t="shared" ref="AL29:BZ29" si="58">+AL34+AL39</f>
        <v>23.374000000000002</v>
      </c>
      <c r="AM29" s="627">
        <f t="shared" si="58"/>
        <v>22.341999999999999</v>
      </c>
      <c r="AN29" s="627">
        <f t="shared" si="58"/>
        <v>22.689</v>
      </c>
      <c r="AO29" s="627">
        <f t="shared" si="58"/>
        <v>23.64</v>
      </c>
      <c r="AP29" s="627">
        <f t="shared" si="58"/>
        <v>29.262</v>
      </c>
      <c r="AQ29" s="627">
        <f t="shared" si="58"/>
        <v>33.201999999999998</v>
      </c>
      <c r="AR29" s="627">
        <f t="shared" si="58"/>
        <v>30.18</v>
      </c>
      <c r="AS29" s="627">
        <f t="shared" si="58"/>
        <v>32.388000000000005</v>
      </c>
      <c r="AT29" s="627">
        <f t="shared" si="58"/>
        <v>33.042999999999999</v>
      </c>
      <c r="AU29" s="627">
        <f t="shared" si="58"/>
        <v>29.606000000000002</v>
      </c>
      <c r="AV29" s="627">
        <f t="shared" si="58"/>
        <v>30.58</v>
      </c>
      <c r="AW29" s="627">
        <f t="shared" si="58"/>
        <v>32.942999999999998</v>
      </c>
      <c r="AX29" s="627">
        <f t="shared" si="58"/>
        <v>30.744</v>
      </c>
      <c r="AY29" s="627">
        <f t="shared" si="58"/>
        <v>30.241999999999997</v>
      </c>
      <c r="AZ29" s="627">
        <f t="shared" si="58"/>
        <v>31.209000000000003</v>
      </c>
      <c r="BA29" s="627">
        <f t="shared" si="58"/>
        <v>33.427</v>
      </c>
      <c r="BB29" s="627">
        <f t="shared" si="58"/>
        <v>32.602000000000004</v>
      </c>
      <c r="BC29" s="627">
        <f t="shared" si="58"/>
        <v>35</v>
      </c>
      <c r="BD29" s="627">
        <f t="shared" si="58"/>
        <v>38</v>
      </c>
      <c r="BE29" s="627">
        <f t="shared" si="58"/>
        <v>38</v>
      </c>
      <c r="BF29" s="627">
        <f t="shared" si="58"/>
        <v>43</v>
      </c>
      <c r="BG29" s="627">
        <f t="shared" si="58"/>
        <v>44</v>
      </c>
      <c r="BH29" s="627">
        <f t="shared" si="58"/>
        <v>47</v>
      </c>
      <c r="BI29" s="627">
        <f t="shared" si="58"/>
        <v>55</v>
      </c>
      <c r="BJ29" s="627">
        <f t="shared" si="58"/>
        <v>49</v>
      </c>
      <c r="BK29" s="627">
        <f t="shared" si="58"/>
        <v>54</v>
      </c>
      <c r="BL29" s="627">
        <f t="shared" si="58"/>
        <v>62</v>
      </c>
      <c r="BM29" s="627">
        <f t="shared" si="58"/>
        <v>67</v>
      </c>
      <c r="BN29" s="627">
        <f t="shared" si="58"/>
        <v>72</v>
      </c>
      <c r="BO29" s="627">
        <f t="shared" si="58"/>
        <v>77</v>
      </c>
      <c r="BP29" s="627">
        <f t="shared" si="58"/>
        <v>101</v>
      </c>
      <c r="BQ29" s="627">
        <f t="shared" si="58"/>
        <v>119</v>
      </c>
      <c r="BR29" s="627">
        <f t="shared" si="58"/>
        <v>121</v>
      </c>
      <c r="BS29" s="627">
        <f t="shared" si="58"/>
        <v>124</v>
      </c>
      <c r="BT29" s="627">
        <f t="shared" si="58"/>
        <v>135</v>
      </c>
      <c r="BU29" s="627">
        <f t="shared" si="58"/>
        <v>150</v>
      </c>
      <c r="BV29" s="627">
        <f t="shared" si="58"/>
        <v>174</v>
      </c>
      <c r="BW29" s="627">
        <f t="shared" si="58"/>
        <v>216</v>
      </c>
      <c r="BX29" s="627">
        <f t="shared" si="58"/>
        <v>208</v>
      </c>
      <c r="BY29" s="627">
        <f t="shared" si="58"/>
        <v>208</v>
      </c>
      <c r="BZ29" s="627">
        <f t="shared" si="58"/>
        <v>203</v>
      </c>
      <c r="CA29" s="627">
        <f>132+228</f>
        <v>360</v>
      </c>
      <c r="CB29" s="627">
        <f t="shared" ref="CB29:CS29" si="59">+CB34+CB39</f>
        <v>355</v>
      </c>
      <c r="CC29" s="627">
        <f t="shared" si="59"/>
        <v>391</v>
      </c>
      <c r="CD29" s="627">
        <f t="shared" si="59"/>
        <v>404</v>
      </c>
      <c r="CE29" s="627">
        <f t="shared" si="59"/>
        <v>433</v>
      </c>
      <c r="CF29" s="627">
        <f t="shared" si="59"/>
        <v>515</v>
      </c>
      <c r="CG29" s="627">
        <f t="shared" si="59"/>
        <v>512</v>
      </c>
      <c r="CH29" s="627">
        <f t="shared" si="59"/>
        <v>540</v>
      </c>
      <c r="CI29" s="627">
        <f t="shared" si="59"/>
        <v>611</v>
      </c>
      <c r="CJ29" s="627">
        <f t="shared" si="59"/>
        <v>713</v>
      </c>
      <c r="CK29" s="627">
        <f t="shared" si="59"/>
        <v>709</v>
      </c>
      <c r="CL29" s="627">
        <f t="shared" si="59"/>
        <v>708</v>
      </c>
      <c r="CM29" s="627">
        <f t="shared" si="59"/>
        <v>811</v>
      </c>
      <c r="CN29" s="627">
        <f t="shared" si="59"/>
        <v>941</v>
      </c>
      <c r="CO29" s="627">
        <f t="shared" si="59"/>
        <v>948</v>
      </c>
      <c r="CP29" s="627">
        <f t="shared" si="59"/>
        <v>975</v>
      </c>
      <c r="CQ29" s="627">
        <f t="shared" si="59"/>
        <v>1114</v>
      </c>
      <c r="CR29" s="627">
        <f t="shared" si="59"/>
        <v>1202</v>
      </c>
      <c r="CS29" s="627">
        <f t="shared" si="59"/>
        <v>1268</v>
      </c>
      <c r="CT29" s="627">
        <f>+CT34+CT39</f>
        <v>1410</v>
      </c>
      <c r="CU29" s="627">
        <f>+CU34+CU39</f>
        <v>1566</v>
      </c>
      <c r="CV29" s="627">
        <f>+CV34+CV39</f>
        <v>1585</v>
      </c>
      <c r="CW29" s="627">
        <f>+CW34+CW39</f>
        <v>1564</v>
      </c>
      <c r="CX29" s="627">
        <f>+CX34+CX39</f>
        <v>1564</v>
      </c>
      <c r="CY29" s="627">
        <f t="shared" ref="CY29:DQ29" si="60">CX29*1.02</f>
        <v>1595.28</v>
      </c>
      <c r="CZ29" s="627">
        <f t="shared" si="60"/>
        <v>1627.1856</v>
      </c>
      <c r="DA29" s="627">
        <f t="shared" si="60"/>
        <v>1659.7293120000002</v>
      </c>
      <c r="DB29" s="627">
        <f t="shared" si="60"/>
        <v>1692.9238982400002</v>
      </c>
      <c r="DC29" s="627">
        <f t="shared" si="60"/>
        <v>1726.7823762048001</v>
      </c>
      <c r="DD29" s="627">
        <f t="shared" si="60"/>
        <v>1761.3180237288962</v>
      </c>
      <c r="DE29" s="627">
        <f t="shared" si="60"/>
        <v>1796.544384203474</v>
      </c>
      <c r="DF29" s="627">
        <f t="shared" si="60"/>
        <v>1832.4752718875436</v>
      </c>
      <c r="DG29" s="627">
        <f t="shared" si="60"/>
        <v>1869.1247773252944</v>
      </c>
      <c r="DH29" s="627">
        <f t="shared" si="60"/>
        <v>1906.5072728718003</v>
      </c>
      <c r="DI29" s="627">
        <f t="shared" si="60"/>
        <v>1944.6374183292364</v>
      </c>
      <c r="DJ29" s="627">
        <f t="shared" si="60"/>
        <v>1983.5301666958212</v>
      </c>
      <c r="DK29" s="627">
        <f t="shared" si="60"/>
        <v>2023.2007700297377</v>
      </c>
      <c r="DL29" s="627">
        <f t="shared" si="60"/>
        <v>2063.6647854303324</v>
      </c>
      <c r="DM29" s="627">
        <f t="shared" si="60"/>
        <v>2104.9380811389392</v>
      </c>
      <c r="DN29" s="627">
        <f t="shared" si="60"/>
        <v>2147.0368427617182</v>
      </c>
      <c r="DO29" s="627">
        <f t="shared" si="60"/>
        <v>2189.9775796169524</v>
      </c>
      <c r="DP29" s="627">
        <f t="shared" si="60"/>
        <v>2233.7771312092914</v>
      </c>
      <c r="DQ29" s="627">
        <f t="shared" si="60"/>
        <v>2278.4526738334771</v>
      </c>
      <c r="DS29" s="627"/>
      <c r="DT29" s="64"/>
      <c r="DU29" s="64"/>
      <c r="DV29" s="64"/>
      <c r="DW29" s="64"/>
      <c r="DX29" s="64"/>
      <c r="DY29" s="64"/>
      <c r="DZ29" s="64"/>
      <c r="EA29" s="64"/>
      <c r="EB29" s="64"/>
      <c r="EC29" s="64"/>
      <c r="ED29" s="627">
        <f>SUM(AP29:AS29)</f>
        <v>125.03200000000001</v>
      </c>
      <c r="EE29" s="627">
        <f>SUM(AT29:AW29)</f>
        <v>126.172</v>
      </c>
      <c r="EF29" s="627">
        <f>SUM(AX29:BA29)</f>
        <v>125.62199999999999</v>
      </c>
      <c r="EG29" s="627">
        <f>SUM(BB29:BE29)</f>
        <v>143.602</v>
      </c>
      <c r="EH29" s="627">
        <f>SUM(BF29:BI29)</f>
        <v>189</v>
      </c>
      <c r="EI29" s="627">
        <f>SUM(BJ29:BM29)</f>
        <v>232</v>
      </c>
      <c r="EJ29" s="627">
        <f>SUM(BN29:BQ29)</f>
        <v>369</v>
      </c>
      <c r="EK29" s="627">
        <f>SUM(BR29:BU29)</f>
        <v>530</v>
      </c>
      <c r="EL29" s="627">
        <f>BV29+BW29+BX29+BY29</f>
        <v>806</v>
      </c>
      <c r="EM29" s="627">
        <f>CC29+CB29+CA29+BZ29</f>
        <v>1309</v>
      </c>
      <c r="EN29" s="627">
        <f>+CD29+CE29+CF29+CG29</f>
        <v>1864</v>
      </c>
      <c r="EO29" s="627">
        <f>SUM(CH29:CK29)</f>
        <v>2573</v>
      </c>
      <c r="EP29" s="627">
        <f>SUM(CL29:CO29)</f>
        <v>3408</v>
      </c>
      <c r="EQ29" s="627">
        <f>SUM(CP29:CS29)</f>
        <v>4559</v>
      </c>
      <c r="ER29" s="627">
        <f>SUM(CT29:CW29)</f>
        <v>6125</v>
      </c>
      <c r="ES29" s="627">
        <f>SUM(CX29:DA29)</f>
        <v>6446.1949119999999</v>
      </c>
      <c r="ET29" s="627">
        <f>SUM(DB29:DE29)</f>
        <v>6977.5686823771703</v>
      </c>
      <c r="EU29" s="627">
        <f>SUM(DF29:DI29)</f>
        <v>7552.7447404138748</v>
      </c>
      <c r="EV29" s="627">
        <f>SUM(DJ29:DM29)</f>
        <v>8175.3338032948304</v>
      </c>
      <c r="EW29" s="627">
        <f>SUM(DN29:DQ29)</f>
        <v>8849.2442274214391</v>
      </c>
    </row>
    <row r="30" spans="1:153" s="49" customFormat="1" ht="11.25" hidden="1" customHeight="1" outlineLevel="1">
      <c r="A30" s="624" t="s">
        <v>235</v>
      </c>
      <c r="B30" s="35">
        <f>NVDA!V19</f>
        <v>32.593000000000004</v>
      </c>
      <c r="C30" s="35">
        <f>NVDA!W19</f>
        <v>33.893999999999998</v>
      </c>
      <c r="D30" s="35">
        <f>NVDA!X19</f>
        <v>44.308</v>
      </c>
      <c r="E30" s="35">
        <f>NVDA!Y19</f>
        <v>43.125</v>
      </c>
      <c r="F30" s="35">
        <f>NVDA!AA19</f>
        <v>52.491999999999997</v>
      </c>
      <c r="G30" s="35">
        <f>NVDA!AB19</f>
        <v>57.228999999999999</v>
      </c>
      <c r="H30" s="35">
        <f>NVDA!AC19</f>
        <v>57.779000000000003</v>
      </c>
      <c r="I30" s="35">
        <f>NVDA!AD19</f>
        <v>57.372999999999998</v>
      </c>
      <c r="J30" s="35">
        <f>NVDA!AF19</f>
        <v>59.31</v>
      </c>
      <c r="K30" s="35">
        <f>NVDA!AG19</f>
        <v>65.62</v>
      </c>
      <c r="L30" s="35">
        <f>NVDA!AH19</f>
        <v>73.052000000000007</v>
      </c>
      <c r="M30" s="35">
        <f>NVDA!AI19</f>
        <v>71.989999999999995</v>
      </c>
      <c r="N30" s="35">
        <f>NVDA!AK19</f>
        <v>77.75</v>
      </c>
      <c r="O30" s="35">
        <f>NVDA!AL19</f>
        <v>85.42</v>
      </c>
      <c r="P30" s="35">
        <f>NVDA!AM19</f>
        <v>87.88</v>
      </c>
      <c r="Q30" s="35">
        <f>NVDA!AN19</f>
        <v>84.054000000000002</v>
      </c>
      <c r="R30" s="35">
        <f>NVDA!AP19</f>
        <v>85.912999999999997</v>
      </c>
      <c r="S30" s="35">
        <f>NVDA!AQ19</f>
        <v>85.813999999999993</v>
      </c>
      <c r="T30" s="35">
        <f>NVDA!AR19</f>
        <v>87.936999999999998</v>
      </c>
      <c r="U30" s="35">
        <f>NVDA!AS19</f>
        <v>92.435000000000002</v>
      </c>
      <c r="V30" s="35">
        <f>NVDA!AU19</f>
        <v>123.202</v>
      </c>
      <c r="W30" s="35">
        <f>NVDA!AV19</f>
        <v>127.25700000000001</v>
      </c>
      <c r="X30" s="35">
        <f>NVDA!AW19</f>
        <v>140.732</v>
      </c>
      <c r="Y30" s="35">
        <f>NVDA!AX19</f>
        <v>148.876</v>
      </c>
      <c r="Z30" s="35">
        <f>NVDA!AZ19</f>
        <v>158.321</v>
      </c>
      <c r="AA30" s="35">
        <f>NVDA!BA19</f>
        <v>157.952</v>
      </c>
      <c r="AB30" s="35">
        <f>NVDA!BB19</f>
        <v>179.529</v>
      </c>
      <c r="AC30" s="35">
        <f>NVDA!BC19</f>
        <v>191.83500000000001</v>
      </c>
      <c r="AD30" s="35">
        <f>NVDA!BE19</f>
        <v>218.83</v>
      </c>
      <c r="AE30" s="35">
        <f>NVDA!BF19</f>
        <v>212.91</v>
      </c>
      <c r="AF30" s="35">
        <f>NVDA!BG19</f>
        <v>212.36</v>
      </c>
      <c r="AG30" s="35">
        <f>NVDA!BH19</f>
        <v>211.779</v>
      </c>
      <c r="AH30" s="35">
        <f>NVDA!BJ19</f>
        <v>211.34100000000001</v>
      </c>
      <c r="AI30" s="35">
        <f>NVDA!BK19</f>
        <v>192.85499999999999</v>
      </c>
      <c r="AJ30" s="35">
        <f>NVDA!BL19</f>
        <v>197.94800000000001</v>
      </c>
      <c r="AK30" s="35">
        <f>NVDA!BM19</f>
        <v>216.251</v>
      </c>
      <c r="AL30" s="35">
        <f>NVDA!BO19</f>
        <v>218.10499999999999</v>
      </c>
      <c r="AM30" s="35">
        <f>NVDA!BP19</f>
        <v>210.63499999999999</v>
      </c>
      <c r="AN30" s="35">
        <f>NVDA!BQ19</f>
        <v>204.52699999999999</v>
      </c>
      <c r="AO30" s="35">
        <f>NVDA!BR19</f>
        <v>215.56299999999999</v>
      </c>
      <c r="AP30" s="35">
        <f>NVDA!BT19</f>
        <v>231.524</v>
      </c>
      <c r="AQ30" s="35">
        <f>NVDA!BU19</f>
        <v>247.721</v>
      </c>
      <c r="AR30" s="35">
        <f>NVDA!BV19</f>
        <v>256.49799999999999</v>
      </c>
      <c r="AS30" s="35">
        <f>NVDA!BW19</f>
        <v>266.86200000000002</v>
      </c>
      <c r="AT30" s="35">
        <f>NVDA!BY19</f>
        <v>283.90199999999999</v>
      </c>
      <c r="AU30" s="35">
        <f>NVDA!BZ19</f>
        <v>281.19299999999998</v>
      </c>
      <c r="AV30" s="35">
        <f>NVDA!CA19</f>
        <v>284.18</v>
      </c>
      <c r="AW30" s="35">
        <f>NVDA!CB19</f>
        <v>298.00700000000001</v>
      </c>
      <c r="AX30" s="35">
        <f>NVDA!CD19</f>
        <v>327.161</v>
      </c>
      <c r="AY30" s="35">
        <f>NVDA!CE19</f>
        <v>331.738</v>
      </c>
      <c r="AZ30" s="35">
        <f>NVDA!CF19</f>
        <v>340.29399999999998</v>
      </c>
      <c r="BA30" s="35">
        <f>NVDA!CG19</f>
        <v>336.64100000000002</v>
      </c>
      <c r="BB30" s="35">
        <f>NVDA!CI19</f>
        <v>334.26299999999998</v>
      </c>
      <c r="BC30" s="35">
        <f>NVDA!CJ19</f>
        <v>337.12400000000002</v>
      </c>
      <c r="BD30" s="35">
        <f>NVDA!CK19</f>
        <v>340.08499999999998</v>
      </c>
      <c r="BE30" s="35">
        <f>NVDA!CL19</f>
        <v>343.66849999999999</v>
      </c>
      <c r="BF30" s="35">
        <f>NVDA!CN19</f>
        <v>334.5</v>
      </c>
      <c r="BG30" s="35">
        <f>NVDA!CO19</f>
        <v>320</v>
      </c>
      <c r="BH30" s="35">
        <f>NVDA!CP19</f>
        <v>329</v>
      </c>
      <c r="BI30" s="35">
        <f>NVDA!CQ19</f>
        <v>344</v>
      </c>
      <c r="BJ30" s="35">
        <f>NVDA!CS19</f>
        <v>346</v>
      </c>
      <c r="BK30" s="620">
        <f>NVDA!CT19</f>
        <v>350</v>
      </c>
      <c r="BL30" s="620">
        <f>NVDA!CU19</f>
        <v>373</v>
      </c>
      <c r="BM30" s="35">
        <f>NVDA!CV19</f>
        <v>394</v>
      </c>
      <c r="BN30" s="35">
        <f>NVDA!CX19</f>
        <v>411</v>
      </c>
      <c r="BO30" s="35">
        <f>NVDA!CY19</f>
        <v>416</v>
      </c>
      <c r="BP30" s="35">
        <f>NVDA!CZ19</f>
        <v>462</v>
      </c>
      <c r="BQ30" s="35">
        <f>NVDA!DA19</f>
        <v>508</v>
      </c>
      <c r="BR30" s="35">
        <f>NVDA!DC19</f>
        <v>542</v>
      </c>
      <c r="BS30" s="35">
        <f>NVDA!DD19</f>
        <v>581</v>
      </c>
      <c r="BT30" s="35">
        <f>NVDA!DE19</f>
        <v>605</v>
      </c>
      <c r="BU30" s="35">
        <f>NVDA!DF19</f>
        <v>647</v>
      </c>
      <c r="BV30" s="35">
        <f>NVDA!DH19</f>
        <v>674</v>
      </c>
      <c r="BW30" s="35">
        <f>NVDA!DI19</f>
        <v>704</v>
      </c>
      <c r="BX30" s="35">
        <f>NVDA!DJ19</f>
        <v>712</v>
      </c>
      <c r="BY30" s="35">
        <f>NVDA!DK19</f>
        <v>738</v>
      </c>
      <c r="BZ30" s="35">
        <f>NVDA!DM19</f>
        <v>735</v>
      </c>
      <c r="CA30" s="35">
        <f>NVDA!DN19</f>
        <v>997</v>
      </c>
      <c r="CB30" s="35">
        <f>NVDA!DO19</f>
        <v>1047</v>
      </c>
      <c r="CC30" s="35">
        <f>NVDA!DP19</f>
        <v>1147</v>
      </c>
      <c r="CD30" s="35">
        <f>NVDA!DR19</f>
        <v>1153</v>
      </c>
      <c r="CE30" s="35">
        <f>NVDA!DS19</f>
        <v>1245</v>
      </c>
      <c r="CF30" s="35">
        <f>NVDA!DT19</f>
        <v>1403</v>
      </c>
      <c r="CG30" s="35">
        <f>NVDA!DU19</f>
        <v>1466</v>
      </c>
      <c r="CH30" s="35">
        <f>NVDA!DW19</f>
        <v>1618</v>
      </c>
      <c r="CI30" s="35">
        <f>NVDA!DX19</f>
        <v>1824</v>
      </c>
      <c r="CJ30" s="35">
        <f>NVDA!DY19</f>
        <v>1945</v>
      </c>
      <c r="CK30" s="35">
        <f>NVDA!DZ19</f>
        <v>1951</v>
      </c>
      <c r="CL30" s="35">
        <f>NVDA!EB19</f>
        <v>1875</v>
      </c>
      <c r="CM30" s="35">
        <f>NVDA!EC19</f>
        <v>2040</v>
      </c>
      <c r="CN30" s="35">
        <f>NVDA!ED19</f>
        <v>2294</v>
      </c>
      <c r="CO30" s="35">
        <f>NVDA!EE19</f>
        <v>2465</v>
      </c>
      <c r="CP30" s="35">
        <f>NVDA!EG19</f>
        <v>2720</v>
      </c>
      <c r="CQ30" s="35">
        <f>NVDA!EH19</f>
        <v>3090</v>
      </c>
      <c r="CR30" s="35">
        <f>NVDA!EI19</f>
        <v>3390</v>
      </c>
      <c r="CS30" s="35">
        <f>NVDA!EJ19</f>
        <v>3714</v>
      </c>
      <c r="CT30" s="35">
        <f>NVDA!EL19</f>
        <v>3989</v>
      </c>
      <c r="CU30" s="35">
        <f>NVDA!EM19</f>
        <v>4291</v>
      </c>
      <c r="CV30" s="35">
        <f>NVDA!EN19</f>
        <v>4705</v>
      </c>
      <c r="CW30" s="35">
        <f>NVDA!EO19</f>
        <v>5512</v>
      </c>
      <c r="CX30" s="35">
        <f>NVDA!EQ19</f>
        <v>6321</v>
      </c>
      <c r="CY30" s="48">
        <f>CX30*(1+CY31)</f>
        <v>7079.52</v>
      </c>
      <c r="CZ30" s="48">
        <f>CY30*(1+CZ31)</f>
        <v>7433.496000000001</v>
      </c>
      <c r="DA30" s="48">
        <f>CZ30*(1+DA31)</f>
        <v>7730.8358400000016</v>
      </c>
      <c r="DB30" s="48">
        <f t="shared" ref="DB30:DQ30" si="61">DA30*(1+DB31)</f>
        <v>8349.3027072000023</v>
      </c>
      <c r="DC30" s="48">
        <f t="shared" si="61"/>
        <v>9100.739950848003</v>
      </c>
      <c r="DD30" s="48">
        <f t="shared" si="61"/>
        <v>9737.7917474073638</v>
      </c>
      <c r="DE30" s="48">
        <f t="shared" si="61"/>
        <v>10322.059252251805</v>
      </c>
      <c r="DF30" s="48">
        <f t="shared" si="61"/>
        <v>10734.941622341878</v>
      </c>
      <c r="DG30" s="48">
        <f t="shared" si="61"/>
        <v>11164.339287235553</v>
      </c>
      <c r="DH30" s="48">
        <f t="shared" si="61"/>
        <v>11499.26946585262</v>
      </c>
      <c r="DI30" s="48">
        <f t="shared" si="61"/>
        <v>11844.247549828198</v>
      </c>
      <c r="DJ30" s="48">
        <f t="shared" si="61"/>
        <v>12081.132500824762</v>
      </c>
      <c r="DK30" s="48">
        <f t="shared" si="61"/>
        <v>12322.755150841258</v>
      </c>
      <c r="DL30" s="48">
        <f t="shared" si="61"/>
        <v>12445.982702349671</v>
      </c>
      <c r="DM30" s="48">
        <f t="shared" si="61"/>
        <v>12694.902356396664</v>
      </c>
      <c r="DN30" s="48">
        <f t="shared" si="61"/>
        <v>12948.800403524598</v>
      </c>
      <c r="DO30" s="48">
        <f t="shared" si="61"/>
        <v>13337.264415630336</v>
      </c>
      <c r="DP30" s="48">
        <f t="shared" si="61"/>
        <v>13737.382348099247</v>
      </c>
      <c r="DQ30" s="48">
        <f t="shared" si="61"/>
        <v>14149.503818542225</v>
      </c>
      <c r="DT30" s="35">
        <f>SUM(B30:E30)</f>
        <v>153.91999999999999</v>
      </c>
      <c r="DU30" s="35">
        <f>SUM(F30:I30)</f>
        <v>224.87299999999999</v>
      </c>
      <c r="DV30" s="35">
        <f>SUM(J30:M30)</f>
        <v>269.97200000000004</v>
      </c>
      <c r="DW30" s="35">
        <f>SUM(N30:Q30)</f>
        <v>335.10400000000004</v>
      </c>
      <c r="DX30" s="35">
        <f>SUM(R30:U30)</f>
        <v>352.09899999999999</v>
      </c>
      <c r="DY30" s="35">
        <f>SUM(V30:Y30)</f>
        <v>540.06700000000001</v>
      </c>
      <c r="DZ30" s="35">
        <f>SUM(Z30:AC30)</f>
        <v>687.63700000000006</v>
      </c>
      <c r="EA30" s="35">
        <f>SUM(AD30:AG30)</f>
        <v>855.87900000000002</v>
      </c>
      <c r="EB30" s="35">
        <f>SUM(AH30:AK30)</f>
        <v>818.39499999999998</v>
      </c>
      <c r="EC30" s="35">
        <f>SUM(AL30:AO30)</f>
        <v>848.83</v>
      </c>
      <c r="ED30" s="35">
        <f>SUM(AP30:AS30)</f>
        <v>1002.605</v>
      </c>
      <c r="EE30" s="35">
        <f>SUM(AT30:AW30)</f>
        <v>1147.2820000000002</v>
      </c>
      <c r="EF30" s="35">
        <f>SUM(AX30:BA30)</f>
        <v>1335.8340000000001</v>
      </c>
      <c r="EG30" s="35">
        <f>SUM(BB30:BE30)</f>
        <v>1355.1405</v>
      </c>
      <c r="EH30" s="35">
        <f>SUM(BF30:BI30)</f>
        <v>1327.5</v>
      </c>
      <c r="EI30" s="35">
        <f>SUM(BJ30:BM30)</f>
        <v>1463</v>
      </c>
      <c r="EJ30" s="35">
        <f>SUM(BN30:BQ30)</f>
        <v>1797</v>
      </c>
      <c r="EK30" s="35">
        <f>SUM(BR30:BU30)</f>
        <v>2375</v>
      </c>
      <c r="EL30" s="35">
        <f>BV30+BW30+BX30+BY30</f>
        <v>2828</v>
      </c>
      <c r="EM30" s="35">
        <f>CC30+CB30+CA30+BZ30</f>
        <v>3926</v>
      </c>
      <c r="EN30" s="35">
        <f>+CD30+CE30+CF30+CG30</f>
        <v>5267</v>
      </c>
      <c r="EO30" s="35">
        <f>SUM(CH30:CK30)</f>
        <v>7338</v>
      </c>
      <c r="EP30" s="35">
        <f>SUM(CL30:CO30)</f>
        <v>8674</v>
      </c>
      <c r="EQ30" s="35">
        <f>SUM(CP30:CS30)</f>
        <v>12914</v>
      </c>
      <c r="ER30" s="35">
        <f>SUM(CT30:CW30)</f>
        <v>18497</v>
      </c>
      <c r="ES30" s="48">
        <f>SUM(CX30:DA30)</f>
        <v>28564.851840000003</v>
      </c>
      <c r="ET30" s="48">
        <f>SUM(DB30:DE30)</f>
        <v>37509.893657707173</v>
      </c>
      <c r="EU30" s="48">
        <f>SUM(DF30:DI30)</f>
        <v>45242.797925258245</v>
      </c>
      <c r="EV30" s="48">
        <f>SUM(DJ30:DM30)</f>
        <v>49544.772710412355</v>
      </c>
      <c r="EW30" s="48">
        <f>SUM(DN30:DQ30)</f>
        <v>54172.950985796408</v>
      </c>
    </row>
    <row r="31" spans="1:153" s="52" customFormat="1" ht="11.25" hidden="1" customHeight="1" outlineLevel="1">
      <c r="A31" s="58" t="s">
        <v>223</v>
      </c>
      <c r="C31" s="52">
        <f t="shared" ref="C31:BN31" si="62">C30/B30-1</f>
        <v>3.9916546497714034E-2</v>
      </c>
      <c r="D31" s="52">
        <f t="shared" si="62"/>
        <v>0.30725202100666782</v>
      </c>
      <c r="E31" s="52">
        <f t="shared" si="62"/>
        <v>-2.6699467364809992E-2</v>
      </c>
      <c r="F31" s="52">
        <f t="shared" si="62"/>
        <v>0.21720579710144916</v>
      </c>
      <c r="G31" s="52">
        <f t="shared" si="62"/>
        <v>9.0242322639640271E-2</v>
      </c>
      <c r="H31" s="52">
        <f t="shared" si="62"/>
        <v>9.6105121529295179E-3</v>
      </c>
      <c r="I31" s="52">
        <f t="shared" si="62"/>
        <v>-7.0267744336178772E-3</v>
      </c>
      <c r="J31" s="52">
        <f t="shared" si="62"/>
        <v>3.3761525456225128E-2</v>
      </c>
      <c r="K31" s="52">
        <f t="shared" si="62"/>
        <v>0.10639015343112468</v>
      </c>
      <c r="L31" s="52">
        <f t="shared" si="62"/>
        <v>0.11325815300213349</v>
      </c>
      <c r="M31" s="52">
        <f t="shared" si="62"/>
        <v>-1.4537589662158568E-2</v>
      </c>
      <c r="N31" s="52">
        <f t="shared" si="62"/>
        <v>8.0011112654535532E-2</v>
      </c>
      <c r="O31" s="52">
        <f t="shared" si="62"/>
        <v>9.8649517684887389E-2</v>
      </c>
      <c r="P31" s="52">
        <f t="shared" si="62"/>
        <v>2.879887614141885E-2</v>
      </c>
      <c r="Q31" s="52">
        <f t="shared" si="62"/>
        <v>-4.3536640873918953E-2</v>
      </c>
      <c r="R31" s="52">
        <f t="shared" si="62"/>
        <v>2.2116734480215117E-2</v>
      </c>
      <c r="S31" s="52">
        <f t="shared" si="62"/>
        <v>-1.1523285183848708E-3</v>
      </c>
      <c r="T31" s="52">
        <f t="shared" si="62"/>
        <v>2.4739552986692281E-2</v>
      </c>
      <c r="U31" s="52">
        <f t="shared" si="62"/>
        <v>5.1150255296405378E-2</v>
      </c>
      <c r="V31" s="52">
        <f t="shared" si="62"/>
        <v>0.33285011088873251</v>
      </c>
      <c r="W31" s="52">
        <f t="shared" si="62"/>
        <v>3.2913426730085682E-2</v>
      </c>
      <c r="X31" s="52">
        <f t="shared" si="62"/>
        <v>0.10588808474190015</v>
      </c>
      <c r="Y31" s="52">
        <f t="shared" si="62"/>
        <v>5.7868857118494876E-2</v>
      </c>
      <c r="Z31" s="52">
        <f t="shared" si="62"/>
        <v>6.3442059163330455E-2</v>
      </c>
      <c r="AA31" s="52">
        <f t="shared" si="62"/>
        <v>-2.3307078656653601E-3</v>
      </c>
      <c r="AB31" s="52">
        <f t="shared" si="62"/>
        <v>0.13660479132901138</v>
      </c>
      <c r="AC31" s="52">
        <f t="shared" si="62"/>
        <v>6.8546028775295476E-2</v>
      </c>
      <c r="AD31" s="52">
        <f t="shared" si="62"/>
        <v>0.14071988948836234</v>
      </c>
      <c r="AE31" s="52">
        <f t="shared" si="62"/>
        <v>-2.7052963487638859E-2</v>
      </c>
      <c r="AF31" s="52">
        <f t="shared" si="62"/>
        <v>-2.5832511389788371E-3</v>
      </c>
      <c r="AG31" s="52">
        <f t="shared" si="62"/>
        <v>-2.7359201356188523E-3</v>
      </c>
      <c r="AH31" s="52">
        <f t="shared" si="62"/>
        <v>-2.0681937302564624E-3</v>
      </c>
      <c r="AI31" s="52">
        <f t="shared" si="62"/>
        <v>-8.7470012917512552E-2</v>
      </c>
      <c r="AJ31" s="52">
        <f t="shared" si="62"/>
        <v>2.6408441575276775E-2</v>
      </c>
      <c r="AK31" s="52">
        <f t="shared" si="62"/>
        <v>9.2463677329399641E-2</v>
      </c>
      <c r="AL31" s="52">
        <f t="shared" si="62"/>
        <v>8.5733707589790153E-3</v>
      </c>
      <c r="AM31" s="52">
        <f t="shared" si="62"/>
        <v>-3.4249558698791871E-2</v>
      </c>
      <c r="AN31" s="52">
        <f t="shared" si="62"/>
        <v>-2.8998029767132727E-2</v>
      </c>
      <c r="AO31" s="52">
        <f t="shared" si="62"/>
        <v>5.3958646046732284E-2</v>
      </c>
      <c r="AP31" s="52">
        <f t="shared" si="62"/>
        <v>7.4043319122484075E-2</v>
      </c>
      <c r="AQ31" s="52">
        <f t="shared" si="62"/>
        <v>6.995819007964621E-2</v>
      </c>
      <c r="AR31" s="52">
        <f t="shared" si="62"/>
        <v>3.5430988894764592E-2</v>
      </c>
      <c r="AS31" s="52">
        <f t="shared" si="62"/>
        <v>4.0405773144430057E-2</v>
      </c>
      <c r="AT31" s="52">
        <f t="shared" si="62"/>
        <v>6.3853227510848098E-2</v>
      </c>
      <c r="AU31" s="52">
        <f t="shared" si="62"/>
        <v>-9.5420250649872473E-3</v>
      </c>
      <c r="AV31" s="52">
        <f t="shared" si="62"/>
        <v>1.0622597290828706E-2</v>
      </c>
      <c r="AW31" s="52">
        <f t="shared" si="62"/>
        <v>4.8655781546906862E-2</v>
      </c>
      <c r="AX31" s="52">
        <f t="shared" si="62"/>
        <v>9.7829916746922096E-2</v>
      </c>
      <c r="AY31" s="52">
        <f t="shared" si="62"/>
        <v>1.3990053826709259E-2</v>
      </c>
      <c r="AZ31" s="52">
        <f t="shared" si="62"/>
        <v>2.5791437821413243E-2</v>
      </c>
      <c r="BA31" s="52">
        <f t="shared" si="62"/>
        <v>-1.0734835171939405E-2</v>
      </c>
      <c r="BB31" s="52">
        <f t="shared" si="62"/>
        <v>-7.0639048719557396E-3</v>
      </c>
      <c r="BC31" s="52">
        <f t="shared" si="62"/>
        <v>8.5591285903616754E-3</v>
      </c>
      <c r="BD31" s="52">
        <f t="shared" si="62"/>
        <v>8.7831183778075417E-3</v>
      </c>
      <c r="BE31" s="52">
        <f t="shared" si="62"/>
        <v>1.0537071614449278E-2</v>
      </c>
      <c r="BF31" s="52">
        <f t="shared" si="62"/>
        <v>-2.6678325188371876E-2</v>
      </c>
      <c r="BG31" s="52">
        <f t="shared" si="62"/>
        <v>-4.3348281016442503E-2</v>
      </c>
      <c r="BH31" s="52">
        <f t="shared" si="62"/>
        <v>2.8124999999999956E-2</v>
      </c>
      <c r="BI31" s="52">
        <f t="shared" si="62"/>
        <v>4.5592705167173175E-2</v>
      </c>
      <c r="BJ31" s="52">
        <f t="shared" si="62"/>
        <v>5.8139534883721034E-3</v>
      </c>
      <c r="BK31" s="52">
        <f t="shared" si="62"/>
        <v>1.1560693641618602E-2</v>
      </c>
      <c r="BL31" s="52">
        <f t="shared" si="62"/>
        <v>6.5714285714285614E-2</v>
      </c>
      <c r="BM31" s="52">
        <f t="shared" si="62"/>
        <v>5.6300268096514783E-2</v>
      </c>
      <c r="BN31" s="52">
        <f t="shared" si="62"/>
        <v>4.3147208121827374E-2</v>
      </c>
      <c r="BO31" s="52">
        <f t="shared" ref="BO31:CS31" si="63">BO30/BN30-1</f>
        <v>1.2165450121654597E-2</v>
      </c>
      <c r="BP31" s="52">
        <f t="shared" si="63"/>
        <v>0.11057692307692313</v>
      </c>
      <c r="BQ31" s="52">
        <f t="shared" si="63"/>
        <v>9.9567099567099637E-2</v>
      </c>
      <c r="BR31" s="52">
        <f t="shared" si="63"/>
        <v>6.692913385826782E-2</v>
      </c>
      <c r="BS31" s="52">
        <f t="shared" si="63"/>
        <v>7.1955719557195597E-2</v>
      </c>
      <c r="BT31" s="52">
        <f t="shared" si="63"/>
        <v>4.1308089500860623E-2</v>
      </c>
      <c r="BU31" s="52">
        <f t="shared" si="63"/>
        <v>6.9421487603305687E-2</v>
      </c>
      <c r="BV31" s="52">
        <f t="shared" si="63"/>
        <v>4.1731066460587218E-2</v>
      </c>
      <c r="BW31" s="52">
        <f t="shared" si="63"/>
        <v>4.4510385756676651E-2</v>
      </c>
      <c r="BX31" s="52">
        <f t="shared" si="63"/>
        <v>1.1363636363636465E-2</v>
      </c>
      <c r="BY31" s="52">
        <f t="shared" si="63"/>
        <v>3.6516853932584192E-2</v>
      </c>
      <c r="BZ31" s="52">
        <f t="shared" si="63"/>
        <v>-4.0650406504064707E-3</v>
      </c>
      <c r="CA31" s="52">
        <f t="shared" si="63"/>
        <v>0.35646258503401351</v>
      </c>
      <c r="CB31" s="52">
        <f t="shared" si="63"/>
        <v>5.0150451354062264E-2</v>
      </c>
      <c r="CC31" s="52">
        <f t="shared" si="63"/>
        <v>9.5510983763132717E-2</v>
      </c>
      <c r="CD31" s="52">
        <f t="shared" si="63"/>
        <v>5.2310374891020306E-3</v>
      </c>
      <c r="CE31" s="52">
        <f t="shared" si="63"/>
        <v>7.9791847354726775E-2</v>
      </c>
      <c r="CF31" s="52">
        <f t="shared" si="63"/>
        <v>0.12690763052208842</v>
      </c>
      <c r="CG31" s="52">
        <f t="shared" si="63"/>
        <v>4.490377761938702E-2</v>
      </c>
      <c r="CH31" s="52">
        <f t="shared" si="63"/>
        <v>0.10368349249658926</v>
      </c>
      <c r="CI31" s="52">
        <f t="shared" si="63"/>
        <v>0.12731767614338696</v>
      </c>
      <c r="CJ31" s="52">
        <f t="shared" si="63"/>
        <v>6.6337719298245723E-2</v>
      </c>
      <c r="CK31" s="52">
        <f t="shared" si="63"/>
        <v>3.0848329048842604E-3</v>
      </c>
      <c r="CL31" s="52">
        <f t="shared" si="63"/>
        <v>-3.8954382368016405E-2</v>
      </c>
      <c r="CM31" s="52">
        <f t="shared" si="63"/>
        <v>8.8000000000000078E-2</v>
      </c>
      <c r="CN31" s="52">
        <f t="shared" si="63"/>
        <v>0.12450980392156863</v>
      </c>
      <c r="CO31" s="52">
        <f t="shared" si="63"/>
        <v>7.4542284219703658E-2</v>
      </c>
      <c r="CP31" s="52">
        <f t="shared" si="63"/>
        <v>0.10344827586206895</v>
      </c>
      <c r="CQ31" s="52">
        <f t="shared" si="63"/>
        <v>0.13602941176470584</v>
      </c>
      <c r="CR31" s="52">
        <f t="shared" si="63"/>
        <v>9.7087378640776656E-2</v>
      </c>
      <c r="CS31" s="52">
        <f t="shared" si="63"/>
        <v>9.5575221238938024E-2</v>
      </c>
      <c r="CT31" s="52">
        <f>CT30/CS30-1</f>
        <v>7.4044157242864728E-2</v>
      </c>
      <c r="CU31" s="52">
        <f>CU30/CT30-1</f>
        <v>7.5708197543243871E-2</v>
      </c>
      <c r="CV31" s="52">
        <f>CV30/CU30-1</f>
        <v>9.6481006758331489E-2</v>
      </c>
      <c r="CW31" s="52">
        <f>CW30/CV30-1</f>
        <v>0.17151965993623808</v>
      </c>
      <c r="CX31" s="52">
        <f>CX30/CW30-1</f>
        <v>0.14677068214804057</v>
      </c>
      <c r="CY31" s="53">
        <v>0.12</v>
      </c>
      <c r="CZ31" s="53">
        <v>0.05</v>
      </c>
      <c r="DA31" s="53">
        <v>0.04</v>
      </c>
      <c r="DB31" s="53">
        <v>0.08</v>
      </c>
      <c r="DC31" s="53">
        <v>0.09</v>
      </c>
      <c r="DD31" s="53">
        <v>7.0000000000000007E-2</v>
      </c>
      <c r="DE31" s="53">
        <v>0.06</v>
      </c>
      <c r="DF31" s="53">
        <v>0.04</v>
      </c>
      <c r="DG31" s="53">
        <v>0.04</v>
      </c>
      <c r="DH31" s="53">
        <v>0.03</v>
      </c>
      <c r="DI31" s="53">
        <v>0.03</v>
      </c>
      <c r="DJ31" s="53">
        <v>0.02</v>
      </c>
      <c r="DK31" s="53">
        <v>0.02</v>
      </c>
      <c r="DL31" s="53">
        <v>0.01</v>
      </c>
      <c r="DM31" s="53">
        <v>0.02</v>
      </c>
      <c r="DN31" s="53">
        <v>0.02</v>
      </c>
      <c r="DO31" s="53">
        <v>0.03</v>
      </c>
      <c r="DP31" s="53">
        <v>0.03</v>
      </c>
      <c r="DQ31" s="53">
        <v>0.03</v>
      </c>
      <c r="DT31" s="54" t="s">
        <v>224</v>
      </c>
      <c r="DU31" s="54" t="s">
        <v>224</v>
      </c>
      <c r="DV31" s="54" t="s">
        <v>224</v>
      </c>
      <c r="DW31" s="54" t="s">
        <v>224</v>
      </c>
      <c r="DX31" s="54" t="s">
        <v>224</v>
      </c>
      <c r="DY31" s="54" t="s">
        <v>224</v>
      </c>
      <c r="DZ31" s="54" t="s">
        <v>224</v>
      </c>
      <c r="EA31" s="54" t="s">
        <v>224</v>
      </c>
      <c r="EB31" s="54" t="s">
        <v>224</v>
      </c>
      <c r="EC31" s="54" t="s">
        <v>224</v>
      </c>
      <c r="ED31" s="54" t="s">
        <v>224</v>
      </c>
      <c r="EE31" s="54" t="s">
        <v>224</v>
      </c>
      <c r="EF31" s="54" t="s">
        <v>224</v>
      </c>
      <c r="EG31" s="54" t="s">
        <v>224</v>
      </c>
      <c r="EH31" s="54" t="s">
        <v>224</v>
      </c>
      <c r="EI31" s="54" t="s">
        <v>224</v>
      </c>
      <c r="EJ31" s="54" t="s">
        <v>224</v>
      </c>
      <c r="EK31" s="54" t="s">
        <v>224</v>
      </c>
      <c r="EL31" s="54" t="s">
        <v>224</v>
      </c>
      <c r="EM31" s="54" t="s">
        <v>224</v>
      </c>
      <c r="EN31" s="54" t="s">
        <v>224</v>
      </c>
      <c r="EO31" s="54" t="s">
        <v>224</v>
      </c>
      <c r="EP31" s="54" t="s">
        <v>224</v>
      </c>
      <c r="EQ31" s="54" t="s">
        <v>224</v>
      </c>
      <c r="ER31" s="54" t="s">
        <v>224</v>
      </c>
      <c r="ES31" s="55" t="s">
        <v>224</v>
      </c>
      <c r="ET31" s="55" t="s">
        <v>224</v>
      </c>
      <c r="EU31" s="55" t="s">
        <v>224</v>
      </c>
      <c r="EV31" s="55" t="s">
        <v>224</v>
      </c>
      <c r="EW31" s="55" t="s">
        <v>224</v>
      </c>
    </row>
    <row r="32" spans="1:153" s="52" customFormat="1" ht="11.25" hidden="1" customHeight="1" outlineLevel="1">
      <c r="A32" s="58" t="s">
        <v>225</v>
      </c>
      <c r="F32" s="52">
        <f t="shared" ref="F32:BQ32" si="64">F30/B30-1</f>
        <v>0.61052986837664514</v>
      </c>
      <c r="G32" s="52">
        <f t="shared" si="64"/>
        <v>0.68846993568183157</v>
      </c>
      <c r="H32" s="52">
        <f t="shared" si="64"/>
        <v>0.30403087478559176</v>
      </c>
      <c r="I32" s="52">
        <f t="shared" si="64"/>
        <v>0.33038840579710138</v>
      </c>
      <c r="J32" s="52">
        <f t="shared" si="64"/>
        <v>0.12988645888897365</v>
      </c>
      <c r="K32" s="52">
        <f t="shared" si="64"/>
        <v>0.14662146813678389</v>
      </c>
      <c r="L32" s="52">
        <f t="shared" si="64"/>
        <v>0.26433479291784212</v>
      </c>
      <c r="M32" s="52">
        <f t="shared" si="64"/>
        <v>0.25477140815366117</v>
      </c>
      <c r="N32" s="52">
        <f t="shared" si="64"/>
        <v>0.31090878435339731</v>
      </c>
      <c r="O32" s="52">
        <f t="shared" si="64"/>
        <v>0.30173727522096905</v>
      </c>
      <c r="P32" s="52">
        <f t="shared" si="64"/>
        <v>0.20297870010403529</v>
      </c>
      <c r="Q32" s="52">
        <f t="shared" si="64"/>
        <v>0.16757883039311028</v>
      </c>
      <c r="R32" s="52">
        <f t="shared" si="64"/>
        <v>0.10499035369774923</v>
      </c>
      <c r="S32" s="52">
        <f t="shared" si="64"/>
        <v>4.6125029267150008E-3</v>
      </c>
      <c r="T32" s="52">
        <f t="shared" si="64"/>
        <v>6.486117432862315E-4</v>
      </c>
      <c r="U32" s="52">
        <f t="shared" si="64"/>
        <v>9.970971042425103E-2</v>
      </c>
      <c r="V32" s="52">
        <f t="shared" si="64"/>
        <v>0.43403210224296673</v>
      </c>
      <c r="W32" s="52">
        <f t="shared" si="64"/>
        <v>0.48293984664506984</v>
      </c>
      <c r="X32" s="52">
        <f t="shared" si="64"/>
        <v>0.6003729943027396</v>
      </c>
      <c r="Y32" s="52">
        <f t="shared" si="64"/>
        <v>0.61060204468004553</v>
      </c>
      <c r="Z32" s="52">
        <f t="shared" si="64"/>
        <v>0.28505219071118981</v>
      </c>
      <c r="AA32" s="52">
        <f t="shared" si="64"/>
        <v>0.24120480602245853</v>
      </c>
      <c r="AB32" s="52">
        <f t="shared" si="64"/>
        <v>0.27568001591677804</v>
      </c>
      <c r="AC32" s="52">
        <f t="shared" si="64"/>
        <v>0.28855557645288687</v>
      </c>
      <c r="AD32" s="52">
        <f t="shared" si="64"/>
        <v>0.38219187599876214</v>
      </c>
      <c r="AE32" s="52">
        <f t="shared" si="64"/>
        <v>0.34794114667747156</v>
      </c>
      <c r="AF32" s="52">
        <f t="shared" si="64"/>
        <v>0.18287296202841885</v>
      </c>
      <c r="AG32" s="52">
        <f t="shared" si="64"/>
        <v>0.10396434435843305</v>
      </c>
      <c r="AH32" s="52">
        <f t="shared" si="64"/>
        <v>-3.4222912763332336E-2</v>
      </c>
      <c r="AI32" s="52">
        <f t="shared" si="64"/>
        <v>-9.4194730167676544E-2</v>
      </c>
      <c r="AJ32" s="52">
        <f t="shared" si="64"/>
        <v>-6.7865888114522543E-2</v>
      </c>
      <c r="AK32" s="52">
        <f t="shared" si="64"/>
        <v>2.1116352423989238E-2</v>
      </c>
      <c r="AL32" s="52">
        <f t="shared" si="64"/>
        <v>3.2005148078224188E-2</v>
      </c>
      <c r="AM32" s="52">
        <f t="shared" si="64"/>
        <v>9.2193616966114389E-2</v>
      </c>
      <c r="AN32" s="52">
        <f t="shared" si="64"/>
        <v>3.3236001374098212E-2</v>
      </c>
      <c r="AO32" s="52">
        <f t="shared" si="64"/>
        <v>-3.1814881780893867E-3</v>
      </c>
      <c r="AP32" s="52">
        <f t="shared" si="64"/>
        <v>6.1525412072167107E-2</v>
      </c>
      <c r="AQ32" s="52">
        <f t="shared" si="64"/>
        <v>0.17606760509886787</v>
      </c>
      <c r="AR32" s="52">
        <f t="shared" si="64"/>
        <v>0.25410337021517937</v>
      </c>
      <c r="AS32" s="52">
        <f t="shared" si="64"/>
        <v>0.23797683275886872</v>
      </c>
      <c r="AT32" s="52">
        <f t="shared" si="64"/>
        <v>0.22623140581537982</v>
      </c>
      <c r="AU32" s="52">
        <f t="shared" si="64"/>
        <v>0.13511975165609691</v>
      </c>
      <c r="AV32" s="52">
        <f t="shared" si="64"/>
        <v>0.10792286879429858</v>
      </c>
      <c r="AW32" s="52">
        <f t="shared" si="64"/>
        <v>0.11670826119867184</v>
      </c>
      <c r="AX32" s="52">
        <f t="shared" si="64"/>
        <v>0.1523730019513776</v>
      </c>
      <c r="AY32" s="52">
        <f t="shared" si="64"/>
        <v>0.17975198529124126</v>
      </c>
      <c r="AZ32" s="52">
        <f t="shared" si="64"/>
        <v>0.19745935674572435</v>
      </c>
      <c r="BA32" s="52">
        <f t="shared" si="64"/>
        <v>0.12964125003775084</v>
      </c>
      <c r="BB32" s="52">
        <f t="shared" si="64"/>
        <v>2.1707966414089563E-2</v>
      </c>
      <c r="BC32" s="52">
        <f t="shared" si="64"/>
        <v>1.6235704079725632E-2</v>
      </c>
      <c r="BD32" s="52">
        <f t="shared" si="64"/>
        <v>-6.1417480178904693E-4</v>
      </c>
      <c r="BE32" s="52">
        <f t="shared" si="64"/>
        <v>2.0875353863611279E-2</v>
      </c>
      <c r="BF32" s="52">
        <f t="shared" si="64"/>
        <v>7.0902253614679722E-4</v>
      </c>
      <c r="BG32" s="52">
        <f t="shared" si="64"/>
        <v>-5.0794366464565033E-2</v>
      </c>
      <c r="BH32" s="52">
        <f t="shared" si="64"/>
        <v>-3.2594792478350954E-2</v>
      </c>
      <c r="BI32" s="52">
        <f t="shared" si="64"/>
        <v>9.6459233243662013E-4</v>
      </c>
      <c r="BJ32" s="52">
        <f t="shared" si="64"/>
        <v>3.4379671150971625E-2</v>
      </c>
      <c r="BK32" s="52">
        <f t="shared" si="64"/>
        <v>9.375E-2</v>
      </c>
      <c r="BL32" s="52">
        <f t="shared" si="64"/>
        <v>0.13373860182370811</v>
      </c>
      <c r="BM32" s="52">
        <f t="shared" si="64"/>
        <v>0.14534883720930236</v>
      </c>
      <c r="BN32" s="52">
        <f t="shared" si="64"/>
        <v>0.18786127167630062</v>
      </c>
      <c r="BO32" s="52">
        <f t="shared" si="64"/>
        <v>0.18857142857142861</v>
      </c>
      <c r="BP32" s="52">
        <f t="shared" si="64"/>
        <v>0.23860589812332433</v>
      </c>
      <c r="BQ32" s="52">
        <f t="shared" si="64"/>
        <v>0.28934010152284273</v>
      </c>
      <c r="BR32" s="52">
        <f t="shared" ref="BR32:DQ32" si="65">BR30/BN30-1</f>
        <v>0.31873479318734788</v>
      </c>
      <c r="BS32" s="52">
        <f t="shared" si="65"/>
        <v>0.39663461538461542</v>
      </c>
      <c r="BT32" s="52">
        <f t="shared" si="65"/>
        <v>0.30952380952380953</v>
      </c>
      <c r="BU32" s="52">
        <f t="shared" si="65"/>
        <v>0.27362204724409445</v>
      </c>
      <c r="BV32" s="52">
        <f t="shared" si="65"/>
        <v>0.24354243542435428</v>
      </c>
      <c r="BW32" s="52">
        <f t="shared" si="65"/>
        <v>0.2117039586919105</v>
      </c>
      <c r="BX32" s="52">
        <f t="shared" si="65"/>
        <v>0.17685950413223139</v>
      </c>
      <c r="BY32" s="52">
        <f t="shared" si="65"/>
        <v>0.14064914992272026</v>
      </c>
      <c r="BZ32" s="52">
        <f t="shared" si="65"/>
        <v>9.0504451038575739E-2</v>
      </c>
      <c r="CA32" s="52">
        <f t="shared" si="65"/>
        <v>0.41619318181818188</v>
      </c>
      <c r="CB32" s="52">
        <f t="shared" si="65"/>
        <v>0.47050561797752799</v>
      </c>
      <c r="CC32" s="52">
        <f t="shared" si="65"/>
        <v>0.55420054200542013</v>
      </c>
      <c r="CD32" s="52">
        <f t="shared" si="65"/>
        <v>0.56870748299319729</v>
      </c>
      <c r="CE32" s="52">
        <f t="shared" si="65"/>
        <v>0.24874623871614854</v>
      </c>
      <c r="CF32" s="52">
        <f t="shared" si="65"/>
        <v>0.34001910219675269</v>
      </c>
      <c r="CG32" s="52">
        <f t="shared" si="65"/>
        <v>0.27811682650392333</v>
      </c>
      <c r="CH32" s="52">
        <f t="shared" si="65"/>
        <v>0.40329575021682573</v>
      </c>
      <c r="CI32" s="52">
        <f t="shared" si="65"/>
        <v>0.46506024096385534</v>
      </c>
      <c r="CJ32" s="52">
        <f t="shared" si="65"/>
        <v>0.38631503920171073</v>
      </c>
      <c r="CK32" s="52">
        <f t="shared" si="65"/>
        <v>0.33083219645293305</v>
      </c>
      <c r="CL32" s="52">
        <f t="shared" si="65"/>
        <v>0.15883807169344877</v>
      </c>
      <c r="CM32" s="52">
        <f t="shared" si="65"/>
        <v>0.11842105263157898</v>
      </c>
      <c r="CN32" s="52">
        <f t="shared" si="65"/>
        <v>0.17943444730077118</v>
      </c>
      <c r="CO32" s="52">
        <f t="shared" si="65"/>
        <v>0.26345463864684771</v>
      </c>
      <c r="CP32" s="52">
        <f t="shared" si="65"/>
        <v>0.45066666666666677</v>
      </c>
      <c r="CQ32" s="52">
        <f t="shared" si="65"/>
        <v>0.51470588235294112</v>
      </c>
      <c r="CR32" s="52">
        <f t="shared" si="65"/>
        <v>0.47776809067131643</v>
      </c>
      <c r="CS32" s="52">
        <f t="shared" si="65"/>
        <v>0.50669371196754565</v>
      </c>
      <c r="CT32" s="52">
        <f t="shared" si="65"/>
        <v>0.46654411764705883</v>
      </c>
      <c r="CU32" s="52">
        <f t="shared" si="65"/>
        <v>0.38867313915857604</v>
      </c>
      <c r="CV32" s="52">
        <f t="shared" si="65"/>
        <v>0.38790560471976399</v>
      </c>
      <c r="CW32" s="52">
        <f t="shared" si="65"/>
        <v>0.48411416262789442</v>
      </c>
      <c r="CX32" s="52">
        <f t="shared" si="65"/>
        <v>0.58460767109551259</v>
      </c>
      <c r="CY32" s="53">
        <f t="shared" si="65"/>
        <v>0.64985318107667212</v>
      </c>
      <c r="CZ32" s="53">
        <f t="shared" si="65"/>
        <v>0.57991413390010638</v>
      </c>
      <c r="DA32" s="53">
        <f t="shared" si="65"/>
        <v>0.40254641509433986</v>
      </c>
      <c r="DB32" s="53">
        <f t="shared" si="65"/>
        <v>0.32088320000000037</v>
      </c>
      <c r="DC32" s="53">
        <f t="shared" si="65"/>
        <v>0.28550240000000038</v>
      </c>
      <c r="DD32" s="53">
        <f t="shared" si="65"/>
        <v>0.30998816000000029</v>
      </c>
      <c r="DE32" s="53">
        <f t="shared" si="65"/>
        <v>0.33518024000000013</v>
      </c>
      <c r="DF32" s="53">
        <f t="shared" si="65"/>
        <v>0.28572912000000006</v>
      </c>
      <c r="DG32" s="53">
        <f t="shared" si="65"/>
        <v>0.22675072000000007</v>
      </c>
      <c r="DH32" s="53">
        <f t="shared" si="65"/>
        <v>0.18089087999999998</v>
      </c>
      <c r="DI32" s="53">
        <f t="shared" si="65"/>
        <v>0.14746944000000006</v>
      </c>
      <c r="DJ32" s="53">
        <f t="shared" si="65"/>
        <v>0.12540272000000008</v>
      </c>
      <c r="DK32" s="53">
        <f t="shared" si="65"/>
        <v>0.10376036000000011</v>
      </c>
      <c r="DL32" s="53">
        <f t="shared" si="65"/>
        <v>8.2328120000000116E-2</v>
      </c>
      <c r="DM32" s="53">
        <f t="shared" si="65"/>
        <v>7.1820079999999953E-2</v>
      </c>
      <c r="DN32" s="53">
        <f t="shared" si="65"/>
        <v>7.1820080000000175E-2</v>
      </c>
      <c r="DO32" s="53">
        <f t="shared" si="65"/>
        <v>8.2328120000000116E-2</v>
      </c>
      <c r="DP32" s="53">
        <f t="shared" si="65"/>
        <v>0.10376036000000011</v>
      </c>
      <c r="DQ32" s="53">
        <f t="shared" si="65"/>
        <v>0.11458154000000031</v>
      </c>
      <c r="DU32" s="52">
        <f>DU30/DT30-1</f>
        <v>0.46097323284823299</v>
      </c>
      <c r="DV32" s="52">
        <f t="shared" ref="DV32:ET32" si="66">DV30/DU30-1</f>
        <v>0.20055320114019937</v>
      </c>
      <c r="DW32" s="52">
        <f t="shared" si="66"/>
        <v>0.24125464863022827</v>
      </c>
      <c r="DX32" s="52">
        <f t="shared" si="66"/>
        <v>5.0715598739495604E-2</v>
      </c>
      <c r="DY32" s="52">
        <f t="shared" si="66"/>
        <v>0.53384985472835766</v>
      </c>
      <c r="DZ32" s="52">
        <f t="shared" si="66"/>
        <v>0.27324387529695393</v>
      </c>
      <c r="EA32" s="52">
        <f t="shared" si="66"/>
        <v>0.24466688092700073</v>
      </c>
      <c r="EB32" s="52">
        <f t="shared" si="66"/>
        <v>-4.3795910403222948E-2</v>
      </c>
      <c r="EC32" s="52">
        <f t="shared" si="66"/>
        <v>3.7188643625633233E-2</v>
      </c>
      <c r="ED32" s="52">
        <f t="shared" si="66"/>
        <v>0.18116112766985148</v>
      </c>
      <c r="EE32" s="52">
        <f t="shared" si="66"/>
        <v>0.14430109564584281</v>
      </c>
      <c r="EF32" s="52">
        <f t="shared" si="66"/>
        <v>0.16434669070028107</v>
      </c>
      <c r="EG32" s="52">
        <f t="shared" si="66"/>
        <v>1.4452768832055485E-2</v>
      </c>
      <c r="EH32" s="52">
        <f t="shared" si="66"/>
        <v>-2.039677804626161E-2</v>
      </c>
      <c r="EI32" s="52">
        <f t="shared" si="66"/>
        <v>0.10207156308851228</v>
      </c>
      <c r="EJ32" s="52">
        <f t="shared" si="66"/>
        <v>0.228298017771702</v>
      </c>
      <c r="EK32" s="52">
        <f t="shared" si="66"/>
        <v>0.32164718976071227</v>
      </c>
      <c r="EL32" s="52">
        <f t="shared" si="66"/>
        <v>0.19073684210526309</v>
      </c>
      <c r="EM32" s="52">
        <f t="shared" si="66"/>
        <v>0.38826025459688829</v>
      </c>
      <c r="EN32" s="52">
        <f t="shared" si="66"/>
        <v>0.34156902699949065</v>
      </c>
      <c r="EO32" s="52">
        <f t="shared" si="66"/>
        <v>0.3932029618378583</v>
      </c>
      <c r="EP32" s="52">
        <f t="shared" si="66"/>
        <v>0.18206595802671033</v>
      </c>
      <c r="EQ32" s="52">
        <f t="shared" si="66"/>
        <v>0.4888171547152409</v>
      </c>
      <c r="ER32" s="52">
        <f t="shared" si="66"/>
        <v>0.4323215115378658</v>
      </c>
      <c r="ES32" s="65">
        <f t="shared" si="66"/>
        <v>0.54429647186030183</v>
      </c>
      <c r="ET32" s="65">
        <f t="shared" si="66"/>
        <v>0.31314854590567931</v>
      </c>
      <c r="EU32" s="65">
        <f>EU30/ET30-1</f>
        <v>0.20615639004783448</v>
      </c>
      <c r="EV32" s="65">
        <f>EV30/EU30-1</f>
        <v>9.5086400099769097E-2</v>
      </c>
      <c r="EW32" s="65">
        <f>EW30/EV30-1</f>
        <v>9.3414058077036843E-2</v>
      </c>
    </row>
    <row r="33" spans="1:155" s="52" customFormat="1" ht="11.25" hidden="1" customHeight="1" outlineLevel="1">
      <c r="A33" s="58" t="s">
        <v>228</v>
      </c>
      <c r="B33" s="52">
        <f t="shared" ref="B33:BM33" si="67">B30/B$5</f>
        <v>0.13527883386183656</v>
      </c>
      <c r="C33" s="52">
        <f t="shared" si="67"/>
        <v>0.13042424242424241</v>
      </c>
      <c r="D33" s="52">
        <f t="shared" si="67"/>
        <v>0.12139976327210557</v>
      </c>
      <c r="E33" s="52">
        <f t="shared" si="67"/>
        <v>8.5618478105493875E-2</v>
      </c>
      <c r="F33" s="52">
        <f t="shared" si="67"/>
        <v>9.0052409912421402E-2</v>
      </c>
      <c r="G33" s="52">
        <f t="shared" si="67"/>
        <v>0.13393636565758216</v>
      </c>
      <c r="H33" s="52">
        <f t="shared" si="67"/>
        <v>0.13427483825388564</v>
      </c>
      <c r="I33" s="52">
        <f t="shared" si="67"/>
        <v>0.13386515721392106</v>
      </c>
      <c r="J33" s="52">
        <f t="shared" si="67"/>
        <v>0.14645059175323408</v>
      </c>
      <c r="K33" s="52">
        <f t="shared" si="67"/>
        <v>0.14272229399661573</v>
      </c>
      <c r="L33" s="52">
        <f t="shared" si="67"/>
        <v>0.15029141953097194</v>
      </c>
      <c r="M33" s="52">
        <f t="shared" si="67"/>
        <v>0.15248274269834511</v>
      </c>
      <c r="N33" s="52">
        <f t="shared" si="67"/>
        <v>0.16475773725643933</v>
      </c>
      <c r="O33" s="52">
        <f t="shared" si="67"/>
        <v>0.18729950598713771</v>
      </c>
      <c r="P33" s="52">
        <f t="shared" si="67"/>
        <v>0.17044517844570597</v>
      </c>
      <c r="Q33" s="52">
        <f t="shared" si="67"/>
        <v>0.14838051391409346</v>
      </c>
      <c r="R33" s="52">
        <f t="shared" si="67"/>
        <v>0.14715010465088396</v>
      </c>
      <c r="S33" s="52">
        <f t="shared" si="67"/>
        <v>0.14929055064960367</v>
      </c>
      <c r="T33" s="52">
        <f t="shared" si="67"/>
        <v>0.15072804093141245</v>
      </c>
      <c r="U33" s="52">
        <f t="shared" si="67"/>
        <v>0.14588534975552939</v>
      </c>
      <c r="V33" s="52">
        <f t="shared" si="67"/>
        <v>0.18069923013404085</v>
      </c>
      <c r="W33" s="52">
        <f t="shared" si="67"/>
        <v>0.18509597552940354</v>
      </c>
      <c r="X33" s="52">
        <f t="shared" si="67"/>
        <v>0.17150475521952979</v>
      </c>
      <c r="Y33" s="52">
        <f t="shared" si="67"/>
        <v>0.16939421281573105</v>
      </c>
      <c r="Z33" s="52">
        <f t="shared" si="67"/>
        <v>0.18752191216184205</v>
      </c>
      <c r="AA33" s="52">
        <f t="shared" si="67"/>
        <v>0.16888692150680082</v>
      </c>
      <c r="AB33" s="52">
        <f t="shared" si="67"/>
        <v>0.16092639187807067</v>
      </c>
      <c r="AC33" s="52">
        <f t="shared" si="67"/>
        <v>0.15949963832281561</v>
      </c>
      <c r="AD33" s="52">
        <f t="shared" si="67"/>
        <v>0.18972800133172882</v>
      </c>
      <c r="AE33" s="52">
        <f t="shared" si="67"/>
        <v>0.23850758841953854</v>
      </c>
      <c r="AF33" s="52">
        <f t="shared" si="67"/>
        <v>0.23657195693222899</v>
      </c>
      <c r="AG33" s="52">
        <f t="shared" si="67"/>
        <v>0.44016086793864573</v>
      </c>
      <c r="AH33" s="52">
        <f t="shared" si="67"/>
        <v>0.31817394852092118</v>
      </c>
      <c r="AI33" s="52">
        <f t="shared" si="67"/>
        <v>0.24835805903260702</v>
      </c>
      <c r="AJ33" s="52">
        <f t="shared" si="67"/>
        <v>0.21916152018476406</v>
      </c>
      <c r="AK33" s="52">
        <f t="shared" si="67"/>
        <v>0.22010548729348348</v>
      </c>
      <c r="AL33" s="52">
        <f t="shared" si="67"/>
        <v>0.2177102912419783</v>
      </c>
      <c r="AM33" s="52">
        <f t="shared" si="67"/>
        <v>0.25965596986223016</v>
      </c>
      <c r="AN33" s="52">
        <f t="shared" si="67"/>
        <v>0.24235583804946484</v>
      </c>
      <c r="AO33" s="52">
        <f t="shared" si="67"/>
        <v>0.24319588978040921</v>
      </c>
      <c r="AP33" s="52">
        <f t="shared" si="67"/>
        <v>0.24065968219583614</v>
      </c>
      <c r="AQ33" s="52">
        <f t="shared" si="67"/>
        <v>0.24369587522884514</v>
      </c>
      <c r="AR33" s="52">
        <f t="shared" si="67"/>
        <v>0.24057663809112906</v>
      </c>
      <c r="AS33" s="52">
        <f t="shared" si="67"/>
        <v>0.27996609294645164</v>
      </c>
      <c r="AT33" s="52">
        <f t="shared" si="67"/>
        <v>0.30696189871734297</v>
      </c>
      <c r="AU33" s="52">
        <f t="shared" si="67"/>
        <v>0.26927231463127349</v>
      </c>
      <c r="AV33" s="52">
        <f t="shared" si="67"/>
        <v>0.23600833810864458</v>
      </c>
      <c r="AW33" s="52">
        <f t="shared" si="67"/>
        <v>0.26922618262502007</v>
      </c>
      <c r="AX33" s="52">
        <f t="shared" si="67"/>
        <v>0.34267061469155441</v>
      </c>
      <c r="AY33" s="52">
        <f t="shared" si="67"/>
        <v>0.33946490005505309</v>
      </c>
      <c r="AZ33" s="52">
        <f t="shared" si="67"/>
        <v>0.32286969136604843</v>
      </c>
      <c r="BA33" s="52">
        <f t="shared" si="67"/>
        <v>0.29421054379497613</v>
      </c>
      <c r="BB33" s="52">
        <f t="shared" si="67"/>
        <v>0.30310749038572271</v>
      </c>
      <c r="BC33" s="52">
        <f t="shared" si="67"/>
        <v>0.30569157000573072</v>
      </c>
      <c r="BD33" s="52">
        <f t="shared" si="67"/>
        <v>0.27753386290968857</v>
      </c>
      <c r="BE33" s="52">
        <f t="shared" si="67"/>
        <v>0.27482179327860384</v>
      </c>
      <c r="BF33" s="52">
        <f t="shared" si="67"/>
        <v>0.29061685490877498</v>
      </c>
      <c r="BG33" s="52">
        <f t="shared" si="67"/>
        <v>0.27753686036426711</v>
      </c>
      <c r="BH33" s="52">
        <f t="shared" si="67"/>
        <v>0.25210727969348656</v>
      </c>
      <c r="BI33" s="52">
        <f t="shared" si="67"/>
        <v>0.24553890078515347</v>
      </c>
      <c r="BJ33" s="52">
        <f t="shared" si="67"/>
        <v>0.26513409961685824</v>
      </c>
      <c r="BK33" s="52">
        <f t="shared" si="67"/>
        <v>0.24509803921568626</v>
      </c>
      <c r="BL33" s="52">
        <f t="shared" si="67"/>
        <v>0.18612774451097805</v>
      </c>
      <c r="BM33" s="52">
        <f t="shared" si="67"/>
        <v>0.18131615278416935</v>
      </c>
      <c r="BN33" s="52">
        <f t="shared" ref="BN33:DQ33" si="68">BN30/BN$5</f>
        <v>0.2121837893649974</v>
      </c>
      <c r="BO33" s="52">
        <f t="shared" si="68"/>
        <v>0.18654708520179372</v>
      </c>
      <c r="BP33" s="52">
        <f t="shared" si="68"/>
        <v>0.17526555386949924</v>
      </c>
      <c r="BQ33" s="52">
        <f t="shared" si="68"/>
        <v>0.1745104774991412</v>
      </c>
      <c r="BR33" s="52">
        <f>BR30/BR$5</f>
        <v>0.1690053009042719</v>
      </c>
      <c r="BS33" s="52">
        <f t="shared" si="68"/>
        <v>0.18603906500160103</v>
      </c>
      <c r="BT33" s="52">
        <f>BT30/BT$5</f>
        <v>0.19019176359635334</v>
      </c>
      <c r="BU33" s="52">
        <f t="shared" si="68"/>
        <v>0.29342403628117913</v>
      </c>
      <c r="BV33" s="52">
        <f t="shared" si="68"/>
        <v>0.30360360360360361</v>
      </c>
      <c r="BW33" s="52">
        <f t="shared" si="68"/>
        <v>0.27297402093834822</v>
      </c>
      <c r="BX33" s="52">
        <f t="shared" si="68"/>
        <v>0.23623092236230922</v>
      </c>
      <c r="BY33" s="52">
        <f t="shared" si="68"/>
        <v>0.23768115942028986</v>
      </c>
      <c r="BZ33" s="52">
        <f t="shared" si="68"/>
        <v>0.23863636363636365</v>
      </c>
      <c r="CA33" s="52">
        <f t="shared" si="68"/>
        <v>0.2578892912571133</v>
      </c>
      <c r="CB33" s="52">
        <f t="shared" si="68"/>
        <v>0.22154041472704189</v>
      </c>
      <c r="CC33" s="52">
        <f t="shared" si="68"/>
        <v>0.2292624425344793</v>
      </c>
      <c r="CD33" s="52">
        <f t="shared" si="68"/>
        <v>0.20367426249779191</v>
      </c>
      <c r="CE33" s="52">
        <f t="shared" si="68"/>
        <v>0.19133241124942368</v>
      </c>
      <c r="CF33" s="52">
        <f t="shared" si="68"/>
        <v>0.19752217372941011</v>
      </c>
      <c r="CG33" s="52">
        <f t="shared" si="68"/>
        <v>0.19180949888787124</v>
      </c>
      <c r="CH33" s="52">
        <f t="shared" si="68"/>
        <v>0.19522200772200773</v>
      </c>
      <c r="CI33" s="52">
        <f t="shared" si="68"/>
        <v>0.27207637231503579</v>
      </c>
      <c r="CJ33" s="52">
        <f t="shared" si="68"/>
        <v>0.32793795312763446</v>
      </c>
      <c r="CK33" s="52">
        <f t="shared" si="68"/>
        <v>0.3224260452817716</v>
      </c>
      <c r="CL33" s="52">
        <f t="shared" si="68"/>
        <v>0.26070634037819801</v>
      </c>
      <c r="CM33" s="52">
        <f t="shared" si="68"/>
        <v>0.15103279780854373</v>
      </c>
      <c r="CN33" s="52">
        <f t="shared" si="68"/>
        <v>0.12660044150110375</v>
      </c>
      <c r="CO33" s="52">
        <f t="shared" si="68"/>
        <v>0.11152332262588789</v>
      </c>
      <c r="CP33" s="52">
        <f t="shared" si="68"/>
        <v>0.10443864229765012</v>
      </c>
      <c r="CQ33" s="52">
        <f t="shared" si="68"/>
        <v>0.10286284953395473</v>
      </c>
      <c r="CR33" s="52">
        <f t="shared" si="68"/>
        <v>9.6630750812382413E-2</v>
      </c>
      <c r="CS33" s="52">
        <f t="shared" si="68"/>
        <v>9.4429330553507412E-2</v>
      </c>
      <c r="CT33" s="52">
        <f t="shared" si="68"/>
        <v>9.0531523761971766E-2</v>
      </c>
      <c r="CU33" s="52">
        <f t="shared" si="68"/>
        <v>9.1799841687525405E-2</v>
      </c>
      <c r="CV33" s="52">
        <f t="shared" si="68"/>
        <v>8.2535171736308463E-2</v>
      </c>
      <c r="CW33" s="52">
        <f>CW30/CW$5</f>
        <v>8.0907716470709115E-2</v>
      </c>
      <c r="CX33" s="52">
        <f>CX30/CX$5</f>
        <v>7.7448998345892306E-2</v>
      </c>
      <c r="CY33" s="53">
        <f t="shared" si="68"/>
        <v>7.6083215132555393E-2</v>
      </c>
      <c r="CZ33" s="53">
        <f t="shared" si="68"/>
        <v>6.7175775025917955E-2</v>
      </c>
      <c r="DA33" s="53">
        <f t="shared" si="68"/>
        <v>6.1584601860604882E-2</v>
      </c>
      <c r="DB33" s="53">
        <f t="shared" si="68"/>
        <v>6.0920821514192855E-2</v>
      </c>
      <c r="DC33" s="53">
        <f t="shared" si="68"/>
        <v>6.0486646836757543E-2</v>
      </c>
      <c r="DD33" s="53">
        <f t="shared" si="68"/>
        <v>5.7896477379930256E-2</v>
      </c>
      <c r="DE33" s="53">
        <f t="shared" si="68"/>
        <v>5.7531333370117559E-2</v>
      </c>
      <c r="DF33" s="53">
        <f t="shared" si="68"/>
        <v>5.8320458671086921E-2</v>
      </c>
      <c r="DG33" s="53">
        <f t="shared" si="68"/>
        <v>5.8839099504603531E-2</v>
      </c>
      <c r="DH33" s="53">
        <f t="shared" si="68"/>
        <v>5.6636172199225086E-2</v>
      </c>
      <c r="DI33" s="53">
        <f t="shared" si="68"/>
        <v>5.5561507649766737E-2</v>
      </c>
      <c r="DJ33" s="53">
        <f t="shared" si="68"/>
        <v>5.627146715826193E-2</v>
      </c>
      <c r="DK33" s="53">
        <f t="shared" si="68"/>
        <v>5.6746255225668812E-2</v>
      </c>
      <c r="DL33" s="53">
        <f t="shared" si="68"/>
        <v>5.5560527589274329E-2</v>
      </c>
      <c r="DM33" s="53">
        <f t="shared" si="68"/>
        <v>5.549512496626801E-2</v>
      </c>
      <c r="DN33" s="53">
        <f t="shared" si="68"/>
        <v>5.5674256226942428E-2</v>
      </c>
      <c r="DO33" s="53">
        <f t="shared" si="68"/>
        <v>5.5636458546343699E-2</v>
      </c>
      <c r="DP33" s="53">
        <f t="shared" si="68"/>
        <v>5.4045437736334613E-2</v>
      </c>
      <c r="DQ33" s="53">
        <f t="shared" si="68"/>
        <v>5.3506925453023192E-2</v>
      </c>
      <c r="DT33" s="52">
        <f>DT30/DT$5</f>
        <v>0.11239376372336471</v>
      </c>
      <c r="DU33" s="52">
        <f t="shared" ref="DU33:EW33" si="69">DU30/DU$5</f>
        <v>0.12031200343270118</v>
      </c>
      <c r="DV33" s="52">
        <f t="shared" si="69"/>
        <v>0.14809662386961758</v>
      </c>
      <c r="DW33" s="52">
        <f t="shared" si="69"/>
        <v>0.16671567083724498</v>
      </c>
      <c r="DX33" s="52">
        <f t="shared" si="69"/>
        <v>0.14820933902487995</v>
      </c>
      <c r="DY33" s="52">
        <f t="shared" si="69"/>
        <v>0.17598804211848978</v>
      </c>
      <c r="DZ33" s="52">
        <f t="shared" si="69"/>
        <v>0.16780392692771348</v>
      </c>
      <c r="EA33" s="52">
        <f t="shared" si="69"/>
        <v>0.24990196676709903</v>
      </c>
      <c r="EB33" s="52">
        <f t="shared" si="69"/>
        <v>0.24602691461906032</v>
      </c>
      <c r="EC33" s="52">
        <f t="shared" si="69"/>
        <v>0.23955855952726673</v>
      </c>
      <c r="ED33" s="52">
        <f t="shared" si="69"/>
        <v>0.25078102918260203</v>
      </c>
      <c r="EE33" s="52">
        <f t="shared" si="69"/>
        <v>0.26804658425072531</v>
      </c>
      <c r="EF33" s="52">
        <f t="shared" si="69"/>
        <v>0.32343380235448393</v>
      </c>
      <c r="EG33" s="52">
        <f t="shared" si="69"/>
        <v>0.28946672513786698</v>
      </c>
      <c r="EH33" s="52">
        <f t="shared" si="69"/>
        <v>0.26497005988023953</v>
      </c>
      <c r="EI33" s="52">
        <f t="shared" si="69"/>
        <v>0.21172214182344429</v>
      </c>
      <c r="EJ33" s="52">
        <f t="shared" si="69"/>
        <v>0.18499073502161828</v>
      </c>
      <c r="EK33" s="52">
        <f t="shared" si="69"/>
        <v>0.20271423694093546</v>
      </c>
      <c r="EL33" s="52">
        <f t="shared" si="69"/>
        <v>0.25902179886426085</v>
      </c>
      <c r="EM33" s="52">
        <f t="shared" si="69"/>
        <v>0.2354422788605697</v>
      </c>
      <c r="EN33" s="52">
        <f t="shared" si="69"/>
        <v>0.1956974065542097</v>
      </c>
      <c r="EO33" s="52">
        <f t="shared" si="69"/>
        <v>0.27203974197375252</v>
      </c>
      <c r="EP33" s="52">
        <f t="shared" si="69"/>
        <v>0.14237877942286858</v>
      </c>
      <c r="EQ33" s="52">
        <f t="shared" si="69"/>
        <v>9.8960129351632606E-2</v>
      </c>
      <c r="ER33" s="52">
        <f t="shared" si="69"/>
        <v>8.5658846520760584E-2</v>
      </c>
      <c r="ES33" s="53">
        <f t="shared" si="69"/>
        <v>6.9525545668091923E-2</v>
      </c>
      <c r="ET33" s="53">
        <f t="shared" si="69"/>
        <v>5.9059552640730574E-2</v>
      </c>
      <c r="EU33" s="53">
        <f t="shared" si="69"/>
        <v>5.7267704115250916E-2</v>
      </c>
      <c r="EV33" s="53">
        <f t="shared" si="69"/>
        <v>5.600723110358214E-2</v>
      </c>
      <c r="EW33" s="53">
        <f t="shared" si="69"/>
        <v>5.466892382367556E-2</v>
      </c>
    </row>
    <row r="34" spans="1:155" s="628" customFormat="1" ht="11.25" hidden="1" customHeight="1" outlineLevel="2">
      <c r="A34" s="629" t="s">
        <v>236</v>
      </c>
      <c r="B34" s="627"/>
      <c r="C34" s="627"/>
      <c r="D34" s="627"/>
      <c r="E34" s="627"/>
      <c r="F34" s="627"/>
      <c r="G34" s="627"/>
      <c r="H34" s="627"/>
      <c r="I34" s="627"/>
      <c r="J34" s="627"/>
      <c r="K34" s="627"/>
      <c r="L34" s="627"/>
      <c r="M34" s="627"/>
      <c r="N34" s="627"/>
      <c r="O34" s="627"/>
      <c r="P34" s="627"/>
      <c r="Q34" s="627"/>
      <c r="R34" s="627"/>
      <c r="S34" s="627"/>
      <c r="T34" s="627"/>
      <c r="U34" s="627"/>
      <c r="V34" s="627"/>
      <c r="W34" s="627"/>
      <c r="X34" s="627"/>
      <c r="Y34" s="627"/>
      <c r="Z34" s="627"/>
      <c r="AA34" s="627"/>
      <c r="AB34" s="627"/>
      <c r="AC34" s="627"/>
      <c r="AD34" s="627"/>
      <c r="AE34" s="627"/>
      <c r="AF34" s="627"/>
      <c r="AG34" s="627"/>
      <c r="AH34" s="627"/>
      <c r="AI34" s="627"/>
      <c r="AJ34" s="627"/>
      <c r="AK34" s="627"/>
      <c r="AL34" s="627">
        <v>14.614000000000001</v>
      </c>
      <c r="AM34" s="627">
        <v>14.532</v>
      </c>
      <c r="AN34" s="627">
        <v>14.103999999999999</v>
      </c>
      <c r="AO34" s="627">
        <v>14.724</v>
      </c>
      <c r="AP34" s="627">
        <v>18.588999999999999</v>
      </c>
      <c r="AQ34" s="627">
        <v>21.696999999999999</v>
      </c>
      <c r="AR34" s="627">
        <v>19.308</v>
      </c>
      <c r="AS34" s="627">
        <v>20.908000000000001</v>
      </c>
      <c r="AT34" s="627">
        <v>21.207000000000001</v>
      </c>
      <c r="AU34" s="627">
        <v>18.885000000000002</v>
      </c>
      <c r="AV34" s="627">
        <v>20.056000000000001</v>
      </c>
      <c r="AW34" s="627">
        <v>22.009</v>
      </c>
      <c r="AX34" s="627">
        <v>21.934999999999999</v>
      </c>
      <c r="AY34" s="627">
        <v>18.555</v>
      </c>
      <c r="AZ34" s="627">
        <v>20.902000000000001</v>
      </c>
      <c r="BA34" s="627">
        <v>21.547999999999998</v>
      </c>
      <c r="BB34" s="627">
        <v>20.494</v>
      </c>
      <c r="BC34" s="627">
        <v>21</v>
      </c>
      <c r="BD34" s="627">
        <v>22</v>
      </c>
      <c r="BE34" s="627">
        <v>23</v>
      </c>
      <c r="BF34" s="627">
        <v>27</v>
      </c>
      <c r="BG34" s="627">
        <v>27</v>
      </c>
      <c r="BH34" s="627">
        <v>28</v>
      </c>
      <c r="BI34" s="627">
        <v>33</v>
      </c>
      <c r="BJ34" s="627">
        <v>29</v>
      </c>
      <c r="BK34" s="627">
        <v>30</v>
      </c>
      <c r="BL34" s="627">
        <v>35</v>
      </c>
      <c r="BM34" s="627">
        <v>40</v>
      </c>
      <c r="BN34" s="627">
        <v>41</v>
      </c>
      <c r="BO34" s="627">
        <v>44</v>
      </c>
      <c r="BP34" s="627">
        <v>61</v>
      </c>
      <c r="BQ34" s="627">
        <v>73</v>
      </c>
      <c r="BR34" s="627">
        <v>74</v>
      </c>
      <c r="BS34" s="627">
        <v>76</v>
      </c>
      <c r="BT34" s="627">
        <v>88</v>
      </c>
      <c r="BU34" s="627">
        <v>99</v>
      </c>
      <c r="BV34" s="627">
        <v>114</v>
      </c>
      <c r="BW34" s="627">
        <v>145</v>
      </c>
      <c r="BX34" s="627">
        <v>141</v>
      </c>
      <c r="BY34" s="627">
        <v>140</v>
      </c>
      <c r="BZ34" s="627">
        <v>134</v>
      </c>
      <c r="CA34" s="627">
        <v>228</v>
      </c>
      <c r="CB34" s="627">
        <v>232</v>
      </c>
      <c r="CC34" s="627">
        <v>266</v>
      </c>
      <c r="CD34" s="627">
        <v>276</v>
      </c>
      <c r="CE34" s="627">
        <v>297</v>
      </c>
      <c r="CF34" s="627">
        <v>363</v>
      </c>
      <c r="CG34" s="627">
        <v>362</v>
      </c>
      <c r="CH34" s="627">
        <v>384</v>
      </c>
      <c r="CI34" s="627">
        <v>452</v>
      </c>
      <c r="CJ34" s="627">
        <v>530</v>
      </c>
      <c r="CK34" s="627">
        <v>527</v>
      </c>
      <c r="CL34" s="627">
        <v>524</v>
      </c>
      <c r="CM34" s="627">
        <v>600</v>
      </c>
      <c r="CN34" s="627">
        <v>701</v>
      </c>
      <c r="CO34" s="627">
        <v>706</v>
      </c>
      <c r="CP34" s="627">
        <v>727</v>
      </c>
      <c r="CQ34" s="627">
        <v>832</v>
      </c>
      <c r="CR34" s="627">
        <v>910</v>
      </c>
      <c r="CS34" s="627">
        <v>955</v>
      </c>
      <c r="CT34" s="627">
        <v>1063</v>
      </c>
      <c r="CU34" s="627">
        <v>1191</v>
      </c>
      <c r="CV34" s="627">
        <v>1206</v>
      </c>
      <c r="CW34" s="627">
        <v>1217</v>
      </c>
      <c r="CX34" s="627">
        <v>1217</v>
      </c>
      <c r="CY34" s="627">
        <f>+CY29*CX34/CX29</f>
        <v>1241.3399999999999</v>
      </c>
      <c r="CZ34" s="627">
        <f>+CZ29*CY34/CY29</f>
        <v>1266.1668</v>
      </c>
      <c r="DA34" s="627">
        <f>+DA29*CZ34/CZ29</f>
        <v>1291.4901360000001</v>
      </c>
      <c r="DB34" s="627">
        <f t="shared" ref="DB34:DQ34" si="70">+DB29*DA34/DA29</f>
        <v>1317.3199387200002</v>
      </c>
      <c r="DC34" s="627">
        <f t="shared" si="70"/>
        <v>1343.6663374944001</v>
      </c>
      <c r="DD34" s="627">
        <f t="shared" si="70"/>
        <v>1370.5396642442879</v>
      </c>
      <c r="DE34" s="627">
        <f t="shared" si="70"/>
        <v>1397.9504575291737</v>
      </c>
      <c r="DF34" s="627">
        <f t="shared" si="70"/>
        <v>1425.9094666797571</v>
      </c>
      <c r="DG34" s="627">
        <f t="shared" si="70"/>
        <v>1454.4276560133521</v>
      </c>
      <c r="DH34" s="627">
        <f t="shared" si="70"/>
        <v>1483.516209133619</v>
      </c>
      <c r="DI34" s="627">
        <f t="shared" si="70"/>
        <v>1513.1865333162916</v>
      </c>
      <c r="DJ34" s="627">
        <f t="shared" si="70"/>
        <v>1543.4502639826176</v>
      </c>
      <c r="DK34" s="627">
        <f t="shared" si="70"/>
        <v>1574.3192692622699</v>
      </c>
      <c r="DL34" s="627">
        <f t="shared" si="70"/>
        <v>1605.8056546475152</v>
      </c>
      <c r="DM34" s="627">
        <f t="shared" si="70"/>
        <v>1637.9217677404656</v>
      </c>
      <c r="DN34" s="627">
        <f t="shared" si="70"/>
        <v>1670.6802030952749</v>
      </c>
      <c r="DO34" s="627">
        <f t="shared" si="70"/>
        <v>1704.0938071571802</v>
      </c>
      <c r="DP34" s="627">
        <f t="shared" si="70"/>
        <v>1738.1756833003237</v>
      </c>
      <c r="DQ34" s="627">
        <f t="shared" si="70"/>
        <v>1772.93919696633</v>
      </c>
      <c r="DT34" s="64"/>
      <c r="DU34" s="64"/>
      <c r="DV34" s="64"/>
      <c r="DW34" s="64"/>
      <c r="DX34" s="64"/>
      <c r="DY34" s="64"/>
      <c r="DZ34" s="64"/>
      <c r="EA34" s="64"/>
      <c r="EB34" s="64"/>
      <c r="EC34" s="64"/>
      <c r="ED34" s="627">
        <f>SUM(AP34:AS34)</f>
        <v>80.50200000000001</v>
      </c>
      <c r="EE34" s="627">
        <f>SUM(AT34:AW34)</f>
        <v>82.156999999999996</v>
      </c>
      <c r="EF34" s="627">
        <f>SUM(AX34:BA34)</f>
        <v>82.94</v>
      </c>
      <c r="EG34" s="627">
        <f>SUM(BB34:BE34)</f>
        <v>86.494</v>
      </c>
      <c r="EH34" s="627">
        <f>SUM(BF34:BI34)</f>
        <v>115</v>
      </c>
      <c r="EI34" s="627">
        <f>SUM(BJ34:BM34)</f>
        <v>134</v>
      </c>
      <c r="EJ34" s="627">
        <f>SUM(BN34:BQ34)</f>
        <v>219</v>
      </c>
      <c r="EK34" s="627">
        <f>SUM(BR34:BU34)</f>
        <v>337</v>
      </c>
      <c r="EL34" s="627">
        <f>BV34+BW34+BX34+BY34</f>
        <v>540</v>
      </c>
      <c r="EM34" s="627">
        <f>CC34+CB34+CA34+BZ34</f>
        <v>860</v>
      </c>
      <c r="EN34" s="627">
        <f>+CD34+CE34+CF34+CG34</f>
        <v>1298</v>
      </c>
      <c r="EO34" s="627">
        <f>SUM(CH34:CK34)</f>
        <v>1893</v>
      </c>
      <c r="EP34" s="627">
        <f>SUM(CL34:CO34)</f>
        <v>2531</v>
      </c>
      <c r="EQ34" s="627">
        <f>SUM(CP34:CS34)</f>
        <v>3424</v>
      </c>
      <c r="ER34" s="627">
        <f>SUM(CT34:CW34)</f>
        <v>4677</v>
      </c>
      <c r="ES34" s="627">
        <f>SUM(CX34:DA34)</f>
        <v>5015.9969360000005</v>
      </c>
      <c r="ET34" s="627">
        <f>SUM(DB34:DE34)</f>
        <v>5429.4763979878617</v>
      </c>
      <c r="EU34" s="627">
        <f>SUM(DF34:DI34)</f>
        <v>5877.0398651430196</v>
      </c>
      <c r="EV34" s="627">
        <f>SUM(DJ34:DM34)</f>
        <v>6361.4969556328688</v>
      </c>
      <c r="EW34" s="627">
        <f>SUM(DN34:DQ34)</f>
        <v>6885.8888905191088</v>
      </c>
    </row>
    <row r="35" spans="1:155" s="49" customFormat="1" ht="11.25" hidden="1" customHeight="1" outlineLevel="1">
      <c r="A35" s="624" t="s">
        <v>237</v>
      </c>
      <c r="B35" s="35">
        <f>NVDA!V17</f>
        <v>19.122</v>
      </c>
      <c r="C35" s="35">
        <f>NVDA!W17</f>
        <v>20.277999999999999</v>
      </c>
      <c r="D35" s="35">
        <f>NVDA!X17</f>
        <v>24.896999999999998</v>
      </c>
      <c r="E35" s="35">
        <f>NVDA!Y17</f>
        <v>32.888000000000005</v>
      </c>
      <c r="F35" s="35">
        <f>NVDA!AA17</f>
        <v>37.481999999999999</v>
      </c>
      <c r="G35" s="35">
        <f>NVDA!AB17</f>
        <v>35.908000000000001</v>
      </c>
      <c r="H35" s="35">
        <f>NVDA!AC17</f>
        <v>38.692999999999998</v>
      </c>
      <c r="I35" s="35">
        <f>NVDA!AD17</f>
        <v>39.402000000000001</v>
      </c>
      <c r="J35" s="35">
        <f>NVDA!AF17</f>
        <v>40.909999999999997</v>
      </c>
      <c r="K35" s="35">
        <f>NVDA!AG17</f>
        <v>39.722000000000001</v>
      </c>
      <c r="L35" s="35">
        <f>NVDA!AH17</f>
        <v>42.218000000000004</v>
      </c>
      <c r="M35" s="35">
        <f>NVDA!AI17</f>
        <v>42.399000000000001</v>
      </c>
      <c r="N35" s="35">
        <f>NVDA!AK17</f>
        <v>47.206000000000003</v>
      </c>
      <c r="O35" s="35">
        <f>NVDA!AL17</f>
        <v>50.874000000000002</v>
      </c>
      <c r="P35" s="35">
        <f>NVDA!AM17</f>
        <v>50.103999999999999</v>
      </c>
      <c r="Q35" s="35">
        <f>NVDA!AN17</f>
        <v>52.604999999999997</v>
      </c>
      <c r="R35" s="35">
        <f>NVDA!AP17</f>
        <v>48.058</v>
      </c>
      <c r="S35" s="35">
        <f>NVDA!AQ17</f>
        <v>51.683</v>
      </c>
      <c r="T35" s="35">
        <f>NVDA!AR17</f>
        <v>54.536999999999999</v>
      </c>
      <c r="U35" s="35">
        <f>NVDA!AS17</f>
        <v>50.162999999999997</v>
      </c>
      <c r="V35" s="35">
        <f>NVDA!AU17</f>
        <v>63.962000000000003</v>
      </c>
      <c r="W35" s="35">
        <f>NVDA!AV17</f>
        <v>69.055000000000007</v>
      </c>
      <c r="X35" s="35">
        <f>NVDA!AW17</f>
        <v>74.096999999999994</v>
      </c>
      <c r="Y35" s="35">
        <f>NVDA!AX17</f>
        <v>84.915999999999997</v>
      </c>
      <c r="Z35" s="35">
        <f>NVDA!AZ17</f>
        <v>80.570999999999998</v>
      </c>
      <c r="AA35" s="35">
        <f>NVDA!BA17</f>
        <v>81.28</v>
      </c>
      <c r="AB35" s="35">
        <f>NVDA!BB17</f>
        <v>88.183000000000007</v>
      </c>
      <c r="AC35" s="35">
        <f>NVDA!BC17</f>
        <v>91.263000000000005</v>
      </c>
      <c r="AD35" s="35">
        <f>NVDA!BE17</f>
        <v>93.034000000000006</v>
      </c>
      <c r="AE35" s="35">
        <f>NVDA!BF17</f>
        <v>92.399000000000001</v>
      </c>
      <c r="AF35" s="35">
        <f>NVDA!BG17</f>
        <v>85.849000000000004</v>
      </c>
      <c r="AG35" s="35">
        <f>NVDA!BH17</f>
        <v>86.44</v>
      </c>
      <c r="AH35" s="35">
        <f>NVDA!BJ17</f>
        <v>80.491</v>
      </c>
      <c r="AI35" s="35">
        <f>NVDA!BK17</f>
        <v>74.913999999999987</v>
      </c>
      <c r="AJ35" s="35">
        <f>NVDA!BL17</f>
        <v>85.99</v>
      </c>
      <c r="AK35" s="35">
        <f>NVDA!BM17</f>
        <v>88.188000000000002</v>
      </c>
      <c r="AL35" s="35">
        <f>NVDA!BO17</f>
        <v>90.879000000000005</v>
      </c>
      <c r="AM35" s="35">
        <f>NVDA!BP17</f>
        <v>86.159000000000006</v>
      </c>
      <c r="AN35" s="35">
        <f>NVDA!BQ17</f>
        <v>83.751999999999995</v>
      </c>
      <c r="AO35" s="35">
        <f>NVDA!BR17</f>
        <v>88.018000000000001</v>
      </c>
      <c r="AP35" s="35">
        <f>NVDA!BT17</f>
        <v>98.117000000000004</v>
      </c>
      <c r="AQ35" s="35">
        <f>NVDA!BU17</f>
        <v>95.971000000000004</v>
      </c>
      <c r="AR35" s="35">
        <f>NVDA!BV17</f>
        <v>96.716000000000008</v>
      </c>
      <c r="AS35" s="35">
        <f>NVDA!BW17</f>
        <v>95.782000000000011</v>
      </c>
      <c r="AT35" s="35">
        <f>NVDA!BY17</f>
        <v>97.12299999999999</v>
      </c>
      <c r="AU35" s="35">
        <f>NVDA!BZ17</f>
        <v>90.917000000000016</v>
      </c>
      <c r="AV35" s="35">
        <f>NVDA!CA17</f>
        <v>91.192999999999998</v>
      </c>
      <c r="AW35" s="35">
        <f>NVDA!CB17</f>
        <v>95.323999999999998</v>
      </c>
      <c r="AX35" s="35">
        <f>NVDA!CD17</f>
        <v>99.765000000000001</v>
      </c>
      <c r="AY35" s="35">
        <f>NVDA!CE17</f>
        <v>99.302000000000007</v>
      </c>
      <c r="AZ35" s="35">
        <f>NVDA!CF17</f>
        <v>96.320999999999984</v>
      </c>
      <c r="BA35" s="35">
        <f>NVDA!CG17</f>
        <v>104.58200000000001</v>
      </c>
      <c r="BB35" s="35">
        <f>NVDA!CI17</f>
        <v>109.139</v>
      </c>
      <c r="BC35" s="35">
        <f>NVDA!CJ17</f>
        <v>109.498</v>
      </c>
      <c r="BD35" s="35">
        <f>NVDA!CK17</f>
        <v>113.726</v>
      </c>
      <c r="BE35" s="35">
        <f>NVDA!CL17</f>
        <v>115.62949999999999</v>
      </c>
      <c r="BF35" s="35">
        <f>NVDA!CN17</f>
        <v>133.5</v>
      </c>
      <c r="BG35" s="35">
        <f>NVDA!CO17</f>
        <v>145</v>
      </c>
      <c r="BH35" s="35">
        <f>NVDA!CP17</f>
        <v>148</v>
      </c>
      <c r="BI35" s="35">
        <f>NVDA!CQ17</f>
        <v>157</v>
      </c>
      <c r="BJ35" s="35">
        <f>NVDA!CS17</f>
        <v>146</v>
      </c>
      <c r="BK35" s="620">
        <f>NVDA!CT17</f>
        <v>152</v>
      </c>
      <c r="BL35" s="620">
        <f>NVDA!CU17</f>
        <v>167</v>
      </c>
      <c r="BM35" s="35">
        <f>NVDA!CV17</f>
        <v>172</v>
      </c>
      <c r="BN35" s="35">
        <f>NVDA!CX17</f>
        <v>179</v>
      </c>
      <c r="BO35" s="35">
        <f>NVDA!CY17</f>
        <v>194</v>
      </c>
      <c r="BP35" s="35">
        <f>NVDA!CZ17</f>
        <v>209</v>
      </c>
      <c r="BQ35" s="35">
        <f>NVDA!DA17</f>
        <v>218</v>
      </c>
      <c r="BR35" s="35">
        <f>NVDA!DC17</f>
        <v>227</v>
      </c>
      <c r="BS35" s="35">
        <f>NVDA!DD17</f>
        <v>235</v>
      </c>
      <c r="BT35" s="35">
        <f>NVDA!DE17</f>
        <v>260</v>
      </c>
      <c r="BU35" s="35">
        <f>NVDA!DF17</f>
        <v>258</v>
      </c>
      <c r="BV35" s="35">
        <f>NVDA!DH17</f>
        <v>253</v>
      </c>
      <c r="BW35" s="35">
        <f>NVDA!DI17</f>
        <v>261</v>
      </c>
      <c r="BX35" s="35">
        <f>NVDA!DJ17</f>
        <v>270</v>
      </c>
      <c r="BY35" s="35">
        <f>NVDA!DK17</f>
        <v>280</v>
      </c>
      <c r="BZ35" s="35">
        <f>NVDA!DM17</f>
        <v>289</v>
      </c>
      <c r="CA35" s="35">
        <f>NVDA!DN17</f>
        <v>398</v>
      </c>
      <c r="CB35" s="35">
        <f>NVDA!DO17</f>
        <v>410</v>
      </c>
      <c r="CC35" s="35">
        <f>NVDA!DP17</f>
        <v>431</v>
      </c>
      <c r="CD35" s="35">
        <f>NVDA!DR17</f>
        <v>440</v>
      </c>
      <c r="CE35" s="35">
        <f>NVDA!DS17</f>
        <v>454</v>
      </c>
      <c r="CF35" s="35">
        <f>NVDA!DT17</f>
        <v>487</v>
      </c>
      <c r="CG35" s="35">
        <f>NVDA!DU17</f>
        <v>493</v>
      </c>
      <c r="CH35" s="35">
        <f>NVDA!DW17</f>
        <v>530</v>
      </c>
      <c r="CI35" s="35">
        <f>NVDA!DX17</f>
        <v>536</v>
      </c>
      <c r="CJ35" s="35">
        <f>NVDA!DY17</f>
        <v>561</v>
      </c>
      <c r="CK35" s="35">
        <f>NVDA!DZ17</f>
        <v>533</v>
      </c>
      <c r="CL35" s="35">
        <f>NVDA!EB17</f>
        <v>583</v>
      </c>
      <c r="CM35" s="35">
        <f>NVDA!EC17</f>
        <v>609</v>
      </c>
      <c r="CN35" s="35">
        <f>NVDA!ED17</f>
        <v>673</v>
      </c>
      <c r="CO35" s="35">
        <f>NVDA!EE17</f>
        <v>693</v>
      </c>
      <c r="CP35" s="35">
        <f>NVDA!EG17</f>
        <v>756</v>
      </c>
      <c r="CQ35" s="35">
        <f>NVDA!EH17</f>
        <v>816</v>
      </c>
      <c r="CR35" s="35">
        <f>NVDA!EI17</f>
        <v>858</v>
      </c>
      <c r="CS35" s="35">
        <f>NVDA!EJ17</f>
        <v>932</v>
      </c>
      <c r="CT35" s="35">
        <f>NVDA!EL17</f>
        <v>1004</v>
      </c>
      <c r="CU35" s="35">
        <f>NVDA!EM17</f>
        <v>1070</v>
      </c>
      <c r="CV35" s="35">
        <f>NVDA!EN17</f>
        <v>1095</v>
      </c>
      <c r="CW35" s="35">
        <f>NVDA!EO17</f>
        <v>1154</v>
      </c>
      <c r="CX35" s="35">
        <f>NVDA!EQ17</f>
        <v>1128</v>
      </c>
      <c r="CY35" s="48">
        <f>CX35*(1+CY36)</f>
        <v>1240.8000000000002</v>
      </c>
      <c r="CZ35" s="48">
        <f>CY35*(1+CZ36)</f>
        <v>1278.0240000000001</v>
      </c>
      <c r="DA35" s="48">
        <f>CZ35*(1+DA36)</f>
        <v>1316.3647200000003</v>
      </c>
      <c r="DB35" s="48">
        <f t="shared" ref="DB35:DQ35" si="71">DA35*(1+DB36)</f>
        <v>1382.1829560000003</v>
      </c>
      <c r="DC35" s="48">
        <f t="shared" si="71"/>
        <v>1451.2921038000004</v>
      </c>
      <c r="DD35" s="48">
        <f t="shared" si="71"/>
        <v>1509.3437879520004</v>
      </c>
      <c r="DE35" s="48">
        <f t="shared" si="71"/>
        <v>1569.7175394700805</v>
      </c>
      <c r="DF35" s="48">
        <f t="shared" si="71"/>
        <v>1601.1118902594822</v>
      </c>
      <c r="DG35" s="48">
        <f t="shared" si="71"/>
        <v>1617.1230091620771</v>
      </c>
      <c r="DH35" s="48">
        <f t="shared" si="71"/>
        <v>1633.2942392536979</v>
      </c>
      <c r="DI35" s="48">
        <f t="shared" si="71"/>
        <v>1649.6271816462349</v>
      </c>
      <c r="DJ35" s="48">
        <f t="shared" si="71"/>
        <v>1666.1234534626974</v>
      </c>
      <c r="DK35" s="48">
        <f t="shared" si="71"/>
        <v>1699.4459225319513</v>
      </c>
      <c r="DL35" s="48">
        <f t="shared" si="71"/>
        <v>1716.4403817572709</v>
      </c>
      <c r="DM35" s="48">
        <f t="shared" si="71"/>
        <v>1733.6047855748436</v>
      </c>
      <c r="DN35" s="48">
        <f t="shared" si="71"/>
        <v>1750.940833430592</v>
      </c>
      <c r="DO35" s="48">
        <f t="shared" si="71"/>
        <v>1768.450241764898</v>
      </c>
      <c r="DP35" s="48">
        <f t="shared" si="71"/>
        <v>1786.1347441825469</v>
      </c>
      <c r="DQ35" s="48">
        <f t="shared" si="71"/>
        <v>1803.9960916243724</v>
      </c>
      <c r="DT35" s="35">
        <f>SUM(B35:E35)</f>
        <v>97.185000000000002</v>
      </c>
      <c r="DU35" s="35">
        <f>SUM(F35:I35)</f>
        <v>151.48500000000001</v>
      </c>
      <c r="DV35" s="35">
        <f>SUM(J35:M35)</f>
        <v>165.24900000000002</v>
      </c>
      <c r="DW35" s="35">
        <f>SUM(N35:Q35)</f>
        <v>200.78900000000002</v>
      </c>
      <c r="DX35" s="35">
        <f>SUM(R35:U35)</f>
        <v>204.44099999999997</v>
      </c>
      <c r="DY35" s="35">
        <f>SUM(V35:Y35)</f>
        <v>292.02999999999997</v>
      </c>
      <c r="DZ35" s="35">
        <f>SUM(Z35:AC35)</f>
        <v>341.29700000000003</v>
      </c>
      <c r="EA35" s="35">
        <f>SUM(AD35:AG35)</f>
        <v>357.72199999999998</v>
      </c>
      <c r="EB35" s="35">
        <f>SUM(AH35:AK35)</f>
        <v>329.58299999999997</v>
      </c>
      <c r="EC35" s="35">
        <f>SUM(AL35:AO35)</f>
        <v>348.80799999999999</v>
      </c>
      <c r="ED35" s="35">
        <f>SUM(AP35:AS35)</f>
        <v>386.58600000000001</v>
      </c>
      <c r="EE35" s="35">
        <f>SUM(AT35:AW35)</f>
        <v>374.55700000000002</v>
      </c>
      <c r="EF35" s="35">
        <f>SUM(AX35:BA35)</f>
        <v>399.96999999999997</v>
      </c>
      <c r="EG35" s="35">
        <f>SUM(BB35:BE35)</f>
        <v>447.99250000000001</v>
      </c>
      <c r="EH35" s="35">
        <f>SUM(BF35:BI35)</f>
        <v>583.5</v>
      </c>
      <c r="EI35" s="35">
        <f>SUM(BJ35:BM35)</f>
        <v>637</v>
      </c>
      <c r="EJ35" s="35">
        <f>SUM(BN35:BQ35)</f>
        <v>800</v>
      </c>
      <c r="EK35" s="35">
        <f>SUM(BR35:BU35)</f>
        <v>980</v>
      </c>
      <c r="EL35" s="35">
        <f>BV35+BW35+BX35+BY35</f>
        <v>1064</v>
      </c>
      <c r="EM35" s="35">
        <f>CC35+CB35+CA35+BZ35</f>
        <v>1528</v>
      </c>
      <c r="EN35" s="35">
        <f>+CD35+CE35+CF35+CG35</f>
        <v>1874</v>
      </c>
      <c r="EO35" s="35">
        <f>SUM(CH35:CK35)</f>
        <v>2160</v>
      </c>
      <c r="EP35" s="35">
        <f>SUM(CL35:CO35)</f>
        <v>2558</v>
      </c>
      <c r="EQ35" s="35">
        <f>SUM(CP35:CS35)</f>
        <v>3362</v>
      </c>
      <c r="ER35" s="35">
        <f>SUM(CT35:CW35)</f>
        <v>4323</v>
      </c>
      <c r="ES35" s="48">
        <f>SUM(CX35:DA35)</f>
        <v>4963.188720000001</v>
      </c>
      <c r="ET35" s="48">
        <f>SUM(DB35:DE35)</f>
        <v>5912.5363872220823</v>
      </c>
      <c r="EU35" s="48">
        <f>SUM(DF35:DI35)</f>
        <v>6501.1563203214919</v>
      </c>
      <c r="EV35" s="48">
        <f>SUM(DJ35:DM35)</f>
        <v>6815.6145433267639</v>
      </c>
      <c r="EW35" s="48">
        <f>SUM(DN35:DQ35)</f>
        <v>7109.52191100241</v>
      </c>
    </row>
    <row r="36" spans="1:155" s="52" customFormat="1" ht="11.25" hidden="1" customHeight="1" outlineLevel="1">
      <c r="A36" s="58" t="s">
        <v>223</v>
      </c>
      <c r="C36" s="52">
        <f t="shared" ref="C36:BN36" si="72">C35/B35-1</f>
        <v>6.0453927413450348E-2</v>
      </c>
      <c r="D36" s="52">
        <f t="shared" si="72"/>
        <v>0.2277838051089851</v>
      </c>
      <c r="E36" s="52">
        <f t="shared" si="72"/>
        <v>0.32096236494356778</v>
      </c>
      <c r="F36" s="52">
        <f t="shared" si="72"/>
        <v>0.13968620773534401</v>
      </c>
      <c r="G36" s="52">
        <f t="shared" si="72"/>
        <v>-4.1993490208633411E-2</v>
      </c>
      <c r="H36" s="52">
        <f t="shared" si="72"/>
        <v>7.7559318257769849E-2</v>
      </c>
      <c r="I36" s="52">
        <f t="shared" si="72"/>
        <v>1.8323727806063284E-2</v>
      </c>
      <c r="J36" s="52">
        <f t="shared" si="72"/>
        <v>3.8272168925435057E-2</v>
      </c>
      <c r="K36" s="52">
        <f t="shared" si="72"/>
        <v>-2.9039354681006935E-2</v>
      </c>
      <c r="L36" s="52">
        <f t="shared" si="72"/>
        <v>6.2836715170434543E-2</v>
      </c>
      <c r="M36" s="52">
        <f t="shared" si="72"/>
        <v>4.2872708323462572E-3</v>
      </c>
      <c r="N36" s="52">
        <f t="shared" si="72"/>
        <v>0.11337531545555324</v>
      </c>
      <c r="O36" s="52">
        <f t="shared" si="72"/>
        <v>7.7701987035546205E-2</v>
      </c>
      <c r="P36" s="52">
        <f t="shared" si="72"/>
        <v>-1.5135432637496615E-2</v>
      </c>
      <c r="Q36" s="52">
        <f t="shared" si="72"/>
        <v>4.991617435733664E-2</v>
      </c>
      <c r="R36" s="52">
        <f t="shared" si="72"/>
        <v>-8.6436650508506796E-2</v>
      </c>
      <c r="S36" s="52">
        <f t="shared" si="72"/>
        <v>7.5429689125639854E-2</v>
      </c>
      <c r="T36" s="52">
        <f t="shared" si="72"/>
        <v>5.5221252636263429E-2</v>
      </c>
      <c r="U36" s="52">
        <f t="shared" si="72"/>
        <v>-8.0202431376863448E-2</v>
      </c>
      <c r="V36" s="52">
        <f t="shared" si="72"/>
        <v>0.27508322867452129</v>
      </c>
      <c r="W36" s="52">
        <f t="shared" si="72"/>
        <v>7.9625402582783611E-2</v>
      </c>
      <c r="X36" s="52">
        <f t="shared" si="72"/>
        <v>7.3014263992469575E-2</v>
      </c>
      <c r="Y36" s="52">
        <f t="shared" si="72"/>
        <v>0.14601130949970997</v>
      </c>
      <c r="Z36" s="52">
        <f t="shared" si="72"/>
        <v>-5.11682132931367E-2</v>
      </c>
      <c r="AA36" s="52">
        <f t="shared" si="72"/>
        <v>8.7996921969444308E-3</v>
      </c>
      <c r="AB36" s="52">
        <f t="shared" si="72"/>
        <v>8.4928641732283428E-2</v>
      </c>
      <c r="AC36" s="52">
        <f t="shared" si="72"/>
        <v>3.4927366952814065E-2</v>
      </c>
      <c r="AD36" s="52">
        <f t="shared" si="72"/>
        <v>1.9405454565377012E-2</v>
      </c>
      <c r="AE36" s="52">
        <f t="shared" si="72"/>
        <v>-6.8254616591784112E-3</v>
      </c>
      <c r="AF36" s="52">
        <f t="shared" si="72"/>
        <v>-7.0888213075899098E-2</v>
      </c>
      <c r="AG36" s="52">
        <f t="shared" si="72"/>
        <v>6.8841803631958243E-3</v>
      </c>
      <c r="AH36" s="52">
        <f t="shared" si="72"/>
        <v>-6.8822304488662667E-2</v>
      </c>
      <c r="AI36" s="52">
        <f t="shared" si="72"/>
        <v>-6.9287249506156168E-2</v>
      </c>
      <c r="AJ36" s="52">
        <f t="shared" si="72"/>
        <v>0.14784953413247193</v>
      </c>
      <c r="AK36" s="52">
        <f t="shared" si="72"/>
        <v>2.5561111757181232E-2</v>
      </c>
      <c r="AL36" s="52">
        <f t="shared" si="72"/>
        <v>3.0514355694652329E-2</v>
      </c>
      <c r="AM36" s="52">
        <f t="shared" si="72"/>
        <v>-5.1937191210290612E-2</v>
      </c>
      <c r="AN36" s="52">
        <f t="shared" si="72"/>
        <v>-2.7936721642544682E-2</v>
      </c>
      <c r="AO36" s="52">
        <f t="shared" si="72"/>
        <v>5.0936097048428719E-2</v>
      </c>
      <c r="AP36" s="52">
        <f t="shared" si="72"/>
        <v>0.11473789452157512</v>
      </c>
      <c r="AQ36" s="52">
        <f t="shared" si="72"/>
        <v>-2.1871846876688084E-2</v>
      </c>
      <c r="AR36" s="52">
        <f t="shared" si="72"/>
        <v>7.7627616675870481E-3</v>
      </c>
      <c r="AS36" s="52">
        <f t="shared" si="72"/>
        <v>-9.6571404938169403E-3</v>
      </c>
      <c r="AT36" s="52">
        <f t="shared" si="72"/>
        <v>1.4000542899500701E-2</v>
      </c>
      <c r="AU36" s="52">
        <f t="shared" si="72"/>
        <v>-6.3898355693295827E-2</v>
      </c>
      <c r="AV36" s="52">
        <f t="shared" si="72"/>
        <v>3.0357358909773868E-3</v>
      </c>
      <c r="AW36" s="52">
        <f t="shared" si="72"/>
        <v>4.5299529569155617E-2</v>
      </c>
      <c r="AX36" s="52">
        <f t="shared" si="72"/>
        <v>4.6588477193571398E-2</v>
      </c>
      <c r="AY36" s="52">
        <f t="shared" si="72"/>
        <v>-4.6409061294040432E-3</v>
      </c>
      <c r="AZ36" s="52">
        <f t="shared" si="72"/>
        <v>-3.001953636381971E-2</v>
      </c>
      <c r="BA36" s="52">
        <f t="shared" si="72"/>
        <v>8.5765305592757857E-2</v>
      </c>
      <c r="BB36" s="52">
        <f t="shared" si="72"/>
        <v>4.3573463884798436E-2</v>
      </c>
      <c r="BC36" s="52">
        <f t="shared" si="72"/>
        <v>3.2893832635447762E-3</v>
      </c>
      <c r="BD36" s="52">
        <f t="shared" si="72"/>
        <v>3.8612577398673853E-2</v>
      </c>
      <c r="BE36" s="52">
        <f t="shared" si="72"/>
        <v>1.6737597383184033E-2</v>
      </c>
      <c r="BF36" s="52">
        <f t="shared" si="72"/>
        <v>0.15454966076995924</v>
      </c>
      <c r="BG36" s="52">
        <f t="shared" si="72"/>
        <v>8.6142322097378266E-2</v>
      </c>
      <c r="BH36" s="52">
        <f t="shared" si="72"/>
        <v>2.0689655172413834E-2</v>
      </c>
      <c r="BI36" s="52">
        <f t="shared" si="72"/>
        <v>6.0810810810810745E-2</v>
      </c>
      <c r="BJ36" s="52">
        <f t="shared" si="72"/>
        <v>-7.0063694267515908E-2</v>
      </c>
      <c r="BK36" s="52">
        <f t="shared" si="72"/>
        <v>4.1095890410958846E-2</v>
      </c>
      <c r="BL36" s="52">
        <f t="shared" si="72"/>
        <v>9.8684210526315708E-2</v>
      </c>
      <c r="BM36" s="52">
        <f t="shared" si="72"/>
        <v>2.9940119760478945E-2</v>
      </c>
      <c r="BN36" s="52">
        <f t="shared" si="72"/>
        <v>4.0697674418604723E-2</v>
      </c>
      <c r="BO36" s="52">
        <f t="shared" ref="BO36:CS36" si="73">BO35/BN35-1</f>
        <v>8.3798882681564324E-2</v>
      </c>
      <c r="BP36" s="52">
        <f t="shared" si="73"/>
        <v>7.7319587628865927E-2</v>
      </c>
      <c r="BQ36" s="52">
        <f t="shared" si="73"/>
        <v>4.3062200956937691E-2</v>
      </c>
      <c r="BR36" s="52">
        <f t="shared" si="73"/>
        <v>4.1284403669724856E-2</v>
      </c>
      <c r="BS36" s="52">
        <f t="shared" si="73"/>
        <v>3.524229074889873E-2</v>
      </c>
      <c r="BT36" s="52">
        <f t="shared" si="73"/>
        <v>0.1063829787234043</v>
      </c>
      <c r="BU36" s="52">
        <f t="shared" si="73"/>
        <v>-7.692307692307665E-3</v>
      </c>
      <c r="BV36" s="52">
        <f t="shared" si="73"/>
        <v>-1.9379844961240345E-2</v>
      </c>
      <c r="BW36" s="52">
        <f t="shared" si="73"/>
        <v>3.1620553359683834E-2</v>
      </c>
      <c r="BX36" s="52">
        <f t="shared" si="73"/>
        <v>3.4482758620689724E-2</v>
      </c>
      <c r="BY36" s="52">
        <f t="shared" si="73"/>
        <v>3.7037037037036979E-2</v>
      </c>
      <c r="BZ36" s="52">
        <f t="shared" si="73"/>
        <v>3.2142857142857251E-2</v>
      </c>
      <c r="CA36" s="52">
        <f t="shared" si="73"/>
        <v>0.37716262975778547</v>
      </c>
      <c r="CB36" s="52">
        <f t="shared" si="73"/>
        <v>3.015075376884413E-2</v>
      </c>
      <c r="CC36" s="52">
        <f t="shared" si="73"/>
        <v>5.1219512195121997E-2</v>
      </c>
      <c r="CD36" s="52">
        <f t="shared" si="73"/>
        <v>2.088167053364276E-2</v>
      </c>
      <c r="CE36" s="52">
        <f t="shared" si="73"/>
        <v>3.1818181818181746E-2</v>
      </c>
      <c r="CF36" s="52">
        <f t="shared" si="73"/>
        <v>7.2687224669603534E-2</v>
      </c>
      <c r="CG36" s="52">
        <f t="shared" si="73"/>
        <v>1.2320328542094527E-2</v>
      </c>
      <c r="CH36" s="52">
        <f t="shared" si="73"/>
        <v>7.5050709939147975E-2</v>
      </c>
      <c r="CI36" s="52">
        <f t="shared" si="73"/>
        <v>1.132075471698113E-2</v>
      </c>
      <c r="CJ36" s="52">
        <f t="shared" si="73"/>
        <v>4.664179104477606E-2</v>
      </c>
      <c r="CK36" s="52">
        <f t="shared" si="73"/>
        <v>-4.9910873440285219E-2</v>
      </c>
      <c r="CL36" s="52">
        <f t="shared" si="73"/>
        <v>9.3808630393996228E-2</v>
      </c>
      <c r="CM36" s="52">
        <f t="shared" si="73"/>
        <v>4.4596912521440712E-2</v>
      </c>
      <c r="CN36" s="52">
        <f t="shared" si="73"/>
        <v>0.1050903119868638</v>
      </c>
      <c r="CO36" s="52">
        <f t="shared" si="73"/>
        <v>2.9717682020802272E-2</v>
      </c>
      <c r="CP36" s="52">
        <f t="shared" si="73"/>
        <v>9.0909090909090828E-2</v>
      </c>
      <c r="CQ36" s="52">
        <f t="shared" si="73"/>
        <v>7.9365079365079305E-2</v>
      </c>
      <c r="CR36" s="52">
        <f t="shared" si="73"/>
        <v>5.1470588235294157E-2</v>
      </c>
      <c r="CS36" s="52">
        <f t="shared" si="73"/>
        <v>8.6247086247086324E-2</v>
      </c>
      <c r="CT36" s="52">
        <f>CT35/CS35-1</f>
        <v>7.7253218884120178E-2</v>
      </c>
      <c r="CU36" s="52">
        <f>CU35/CT35-1</f>
        <v>6.5737051792828627E-2</v>
      </c>
      <c r="CV36" s="52">
        <f>CV35/CU35-1</f>
        <v>2.3364485981308469E-2</v>
      </c>
      <c r="CW36" s="52">
        <f>CW35/CV35-1</f>
        <v>5.3881278538812749E-2</v>
      </c>
      <c r="CX36" s="52">
        <f>CX35/CW35-1</f>
        <v>-2.2530329289428108E-2</v>
      </c>
      <c r="CY36" s="53">
        <v>0.1</v>
      </c>
      <c r="CZ36" s="53">
        <v>0.03</v>
      </c>
      <c r="DA36" s="53">
        <v>0.03</v>
      </c>
      <c r="DB36" s="53">
        <v>0.05</v>
      </c>
      <c r="DC36" s="53">
        <v>0.05</v>
      </c>
      <c r="DD36" s="53">
        <v>0.04</v>
      </c>
      <c r="DE36" s="53">
        <v>0.04</v>
      </c>
      <c r="DF36" s="53">
        <v>0.02</v>
      </c>
      <c r="DG36" s="53">
        <v>0.01</v>
      </c>
      <c r="DH36" s="53">
        <v>0.01</v>
      </c>
      <c r="DI36" s="53">
        <v>0.01</v>
      </c>
      <c r="DJ36" s="53">
        <v>0.01</v>
      </c>
      <c r="DK36" s="53">
        <v>0.02</v>
      </c>
      <c r="DL36" s="53">
        <v>0.01</v>
      </c>
      <c r="DM36" s="53">
        <v>0.01</v>
      </c>
      <c r="DN36" s="53">
        <v>0.01</v>
      </c>
      <c r="DO36" s="53">
        <v>0.01</v>
      </c>
      <c r="DP36" s="53">
        <v>0.01</v>
      </c>
      <c r="DQ36" s="53">
        <v>0.01</v>
      </c>
      <c r="DT36" s="54" t="s">
        <v>224</v>
      </c>
      <c r="DU36" s="54" t="s">
        <v>224</v>
      </c>
      <c r="DV36" s="54" t="s">
        <v>224</v>
      </c>
      <c r="DW36" s="54" t="s">
        <v>224</v>
      </c>
      <c r="DX36" s="54" t="s">
        <v>224</v>
      </c>
      <c r="DY36" s="54" t="s">
        <v>224</v>
      </c>
      <c r="DZ36" s="54" t="s">
        <v>224</v>
      </c>
      <c r="EA36" s="54" t="s">
        <v>224</v>
      </c>
      <c r="EB36" s="54" t="s">
        <v>224</v>
      </c>
      <c r="EC36" s="54" t="s">
        <v>224</v>
      </c>
      <c r="ED36" s="54" t="s">
        <v>224</v>
      </c>
      <c r="EE36" s="54" t="s">
        <v>224</v>
      </c>
      <c r="EF36" s="54" t="s">
        <v>224</v>
      </c>
      <c r="EG36" s="54" t="s">
        <v>224</v>
      </c>
      <c r="EH36" s="54" t="s">
        <v>224</v>
      </c>
      <c r="EI36" s="54" t="s">
        <v>224</v>
      </c>
      <c r="EJ36" s="54" t="s">
        <v>224</v>
      </c>
      <c r="EK36" s="54" t="s">
        <v>224</v>
      </c>
      <c r="EL36" s="54" t="s">
        <v>224</v>
      </c>
      <c r="EM36" s="54" t="s">
        <v>224</v>
      </c>
      <c r="EN36" s="54" t="s">
        <v>224</v>
      </c>
      <c r="EO36" s="54" t="s">
        <v>224</v>
      </c>
      <c r="EP36" s="54" t="s">
        <v>224</v>
      </c>
      <c r="EQ36" s="54" t="s">
        <v>224</v>
      </c>
      <c r="ER36" s="54" t="s">
        <v>224</v>
      </c>
      <c r="ES36" s="55" t="s">
        <v>224</v>
      </c>
      <c r="ET36" s="55" t="s">
        <v>224</v>
      </c>
      <c r="EU36" s="55" t="s">
        <v>224</v>
      </c>
      <c r="EV36" s="55" t="s">
        <v>224</v>
      </c>
      <c r="EW36" s="55" t="s">
        <v>224</v>
      </c>
    </row>
    <row r="37" spans="1:155" s="52" customFormat="1" ht="11.25" hidden="1" customHeight="1" outlineLevel="1">
      <c r="A37" s="58" t="s">
        <v>225</v>
      </c>
      <c r="F37" s="52">
        <f t="shared" ref="F37:BQ37" si="74">F35/B35-1</f>
        <v>0.96015061186068396</v>
      </c>
      <c r="G37" s="52">
        <f t="shared" si="74"/>
        <v>0.77078607357727602</v>
      </c>
      <c r="H37" s="52">
        <f t="shared" si="74"/>
        <v>0.55412298670522553</v>
      </c>
      <c r="I37" s="52">
        <f t="shared" si="74"/>
        <v>0.19806616395037691</v>
      </c>
      <c r="J37" s="52">
        <f t="shared" si="74"/>
        <v>9.145723280507978E-2</v>
      </c>
      <c r="K37" s="52">
        <f t="shared" si="74"/>
        <v>0.1062158850395456</v>
      </c>
      <c r="L37" s="52">
        <f t="shared" si="74"/>
        <v>9.1101749670483123E-2</v>
      </c>
      <c r="M37" s="52">
        <f t="shared" si="74"/>
        <v>7.6062128825947983E-2</v>
      </c>
      <c r="N37" s="52">
        <f t="shared" si="74"/>
        <v>0.15389880224883901</v>
      </c>
      <c r="O37" s="52">
        <f t="shared" si="74"/>
        <v>0.28075122098585159</v>
      </c>
      <c r="P37" s="52">
        <f t="shared" si="74"/>
        <v>0.18679236344687089</v>
      </c>
      <c r="Q37" s="52">
        <f t="shared" si="74"/>
        <v>0.24071322436849907</v>
      </c>
      <c r="R37" s="52">
        <f t="shared" si="74"/>
        <v>1.8048553150023183E-2</v>
      </c>
      <c r="S37" s="52">
        <f t="shared" si="74"/>
        <v>1.5902032472382643E-2</v>
      </c>
      <c r="T37" s="52">
        <f t="shared" si="74"/>
        <v>8.8475969982436453E-2</v>
      </c>
      <c r="U37" s="52">
        <f t="shared" si="74"/>
        <v>-4.6421442828628479E-2</v>
      </c>
      <c r="V37" s="52">
        <f t="shared" si="74"/>
        <v>0.33093345540804875</v>
      </c>
      <c r="W37" s="52">
        <f t="shared" si="74"/>
        <v>0.33612599887777428</v>
      </c>
      <c r="X37" s="52">
        <f t="shared" si="74"/>
        <v>0.35865559161670046</v>
      </c>
      <c r="Y37" s="52">
        <f t="shared" si="74"/>
        <v>0.69280146721687297</v>
      </c>
      <c r="Z37" s="52">
        <f t="shared" si="74"/>
        <v>0.25966980394609296</v>
      </c>
      <c r="AA37" s="52">
        <f t="shared" si="74"/>
        <v>0.1770327999420751</v>
      </c>
      <c r="AB37" s="52">
        <f t="shared" si="74"/>
        <v>0.19010216338043384</v>
      </c>
      <c r="AC37" s="52">
        <f t="shared" si="74"/>
        <v>7.4744453342126427E-2</v>
      </c>
      <c r="AD37" s="52">
        <f t="shared" si="74"/>
        <v>0.15468344689776736</v>
      </c>
      <c r="AE37" s="52">
        <f t="shared" si="74"/>
        <v>0.13679872047244102</v>
      </c>
      <c r="AF37" s="52">
        <f t="shared" si="74"/>
        <v>-2.6467686515541544E-2</v>
      </c>
      <c r="AG37" s="52">
        <f t="shared" si="74"/>
        <v>-5.2847265595038606E-2</v>
      </c>
      <c r="AH37" s="52">
        <f t="shared" si="74"/>
        <v>-0.13482167809617995</v>
      </c>
      <c r="AI37" s="52">
        <f t="shared" si="74"/>
        <v>-0.18923364971482393</v>
      </c>
      <c r="AJ37" s="52">
        <f t="shared" si="74"/>
        <v>1.6424186653309913E-3</v>
      </c>
      <c r="AK37" s="52">
        <f t="shared" si="74"/>
        <v>2.0222119389171844E-2</v>
      </c>
      <c r="AL37" s="52">
        <f t="shared" si="74"/>
        <v>0.12905790709520315</v>
      </c>
      <c r="AM37" s="52">
        <f t="shared" si="74"/>
        <v>0.15010545425421173</v>
      </c>
      <c r="AN37" s="52">
        <f t="shared" si="74"/>
        <v>-2.6026282125828581E-2</v>
      </c>
      <c r="AO37" s="52">
        <f t="shared" si="74"/>
        <v>-1.9276999138204687E-3</v>
      </c>
      <c r="AP37" s="52">
        <f t="shared" si="74"/>
        <v>7.9644362283916026E-2</v>
      </c>
      <c r="AQ37" s="52">
        <f t="shared" si="74"/>
        <v>0.11388247310205557</v>
      </c>
      <c r="AR37" s="52">
        <f t="shared" si="74"/>
        <v>0.15479033336517345</v>
      </c>
      <c r="AS37" s="52">
        <f t="shared" si="74"/>
        <v>8.8209229930241717E-2</v>
      </c>
      <c r="AT37" s="52">
        <f t="shared" si="74"/>
        <v>-1.0130762253228398E-2</v>
      </c>
      <c r="AU37" s="52">
        <f t="shared" si="74"/>
        <v>-5.2661741567765152E-2</v>
      </c>
      <c r="AV37" s="52">
        <f t="shared" si="74"/>
        <v>-5.7105339344059036E-2</v>
      </c>
      <c r="AW37" s="52">
        <f t="shared" si="74"/>
        <v>-4.7816917583680674E-3</v>
      </c>
      <c r="AX37" s="52">
        <f t="shared" si="74"/>
        <v>2.7202619358957403E-2</v>
      </c>
      <c r="AY37" s="52">
        <f t="shared" si="74"/>
        <v>9.2226976253065862E-2</v>
      </c>
      <c r="AZ37" s="52">
        <f t="shared" si="74"/>
        <v>5.6232386257716982E-2</v>
      </c>
      <c r="BA37" s="52">
        <f t="shared" si="74"/>
        <v>9.7121396500356783E-2</v>
      </c>
      <c r="BB37" s="52">
        <f t="shared" si="74"/>
        <v>9.3960807898561649E-2</v>
      </c>
      <c r="BC37" s="52">
        <f t="shared" si="74"/>
        <v>0.10267668324907864</v>
      </c>
      <c r="BD37" s="52">
        <f t="shared" si="74"/>
        <v>0.18069787481442279</v>
      </c>
      <c r="BE37" s="52">
        <f t="shared" si="74"/>
        <v>0.10563481287410825</v>
      </c>
      <c r="BF37" s="52">
        <f t="shared" si="74"/>
        <v>0.22321076791980876</v>
      </c>
      <c r="BG37" s="52">
        <f t="shared" si="74"/>
        <v>0.32422510000182636</v>
      </c>
      <c r="BH37" s="52">
        <f t="shared" si="74"/>
        <v>0.3013734766016567</v>
      </c>
      <c r="BI37" s="52">
        <f t="shared" si="74"/>
        <v>0.35778499431373501</v>
      </c>
      <c r="BJ37" s="52">
        <f t="shared" si="74"/>
        <v>9.3632958801498134E-2</v>
      </c>
      <c r="BK37" s="621">
        <f t="shared" si="74"/>
        <v>4.8275862068965614E-2</v>
      </c>
      <c r="BL37" s="621">
        <f t="shared" si="74"/>
        <v>0.12837837837837829</v>
      </c>
      <c r="BM37" s="52">
        <f t="shared" si="74"/>
        <v>9.5541401273885329E-2</v>
      </c>
      <c r="BN37" s="52">
        <f t="shared" si="74"/>
        <v>0.22602739726027399</v>
      </c>
      <c r="BO37" s="52">
        <f t="shared" si="74"/>
        <v>0.27631578947368429</v>
      </c>
      <c r="BP37" s="52">
        <f t="shared" si="74"/>
        <v>0.25149700598802394</v>
      </c>
      <c r="BQ37" s="52">
        <f t="shared" si="74"/>
        <v>0.26744186046511631</v>
      </c>
      <c r="BR37" s="52">
        <f t="shared" ref="BR37:DQ37" si="75">BR35/BN35-1</f>
        <v>0.26815642458100553</v>
      </c>
      <c r="BS37" s="52">
        <f t="shared" si="75"/>
        <v>0.21134020618556693</v>
      </c>
      <c r="BT37" s="52">
        <f t="shared" si="75"/>
        <v>0.24401913875598091</v>
      </c>
      <c r="BU37" s="52">
        <f t="shared" si="75"/>
        <v>0.1834862385321101</v>
      </c>
      <c r="BV37" s="52">
        <f t="shared" si="75"/>
        <v>0.11453744493392071</v>
      </c>
      <c r="BW37" s="52">
        <f t="shared" si="75"/>
        <v>0.11063829787234036</v>
      </c>
      <c r="BX37" s="52">
        <f t="shared" si="75"/>
        <v>3.8461538461538547E-2</v>
      </c>
      <c r="BY37" s="52">
        <f t="shared" si="75"/>
        <v>8.5271317829457294E-2</v>
      </c>
      <c r="BZ37" s="52">
        <f t="shared" si="75"/>
        <v>0.14229249011857714</v>
      </c>
      <c r="CA37" s="52">
        <f t="shared" si="75"/>
        <v>0.52490421455938696</v>
      </c>
      <c r="CB37" s="52">
        <f t="shared" si="75"/>
        <v>0.5185185185185186</v>
      </c>
      <c r="CC37" s="52">
        <f t="shared" si="75"/>
        <v>0.53928571428571437</v>
      </c>
      <c r="CD37" s="52">
        <f t="shared" si="75"/>
        <v>0.52249134948096887</v>
      </c>
      <c r="CE37" s="52">
        <f t="shared" si="75"/>
        <v>0.14070351758793964</v>
      </c>
      <c r="CF37" s="52">
        <f t="shared" si="75"/>
        <v>0.18780487804878043</v>
      </c>
      <c r="CG37" s="52">
        <f t="shared" si="75"/>
        <v>0.14385150812064973</v>
      </c>
      <c r="CH37" s="52">
        <f t="shared" si="75"/>
        <v>0.20454545454545459</v>
      </c>
      <c r="CI37" s="52">
        <f t="shared" si="75"/>
        <v>0.1806167400881058</v>
      </c>
      <c r="CJ37" s="52">
        <f t="shared" si="75"/>
        <v>0.15195071868583154</v>
      </c>
      <c r="CK37" s="52">
        <f t="shared" si="75"/>
        <v>8.1135902636916946E-2</v>
      </c>
      <c r="CL37" s="52">
        <f t="shared" si="75"/>
        <v>0.10000000000000009</v>
      </c>
      <c r="CM37" s="52">
        <f t="shared" si="75"/>
        <v>0.13619402985074625</v>
      </c>
      <c r="CN37" s="52">
        <f t="shared" si="75"/>
        <v>0.19964349376114088</v>
      </c>
      <c r="CO37" s="52">
        <f t="shared" si="75"/>
        <v>0.30018761726078802</v>
      </c>
      <c r="CP37" s="52">
        <f t="shared" si="75"/>
        <v>0.29674099485420236</v>
      </c>
      <c r="CQ37" s="52">
        <f t="shared" si="75"/>
        <v>0.33990147783251223</v>
      </c>
      <c r="CR37" s="52">
        <f t="shared" si="75"/>
        <v>0.2748885586924219</v>
      </c>
      <c r="CS37" s="52">
        <f t="shared" si="75"/>
        <v>0.34487734487734478</v>
      </c>
      <c r="CT37" s="52">
        <f t="shared" si="75"/>
        <v>0.32804232804232814</v>
      </c>
      <c r="CU37" s="52">
        <f t="shared" si="75"/>
        <v>0.31127450980392157</v>
      </c>
      <c r="CV37" s="52">
        <f t="shared" si="75"/>
        <v>0.27622377622377625</v>
      </c>
      <c r="CW37" s="52">
        <f t="shared" si="75"/>
        <v>0.2381974248927039</v>
      </c>
      <c r="CX37" s="52">
        <f t="shared" si="75"/>
        <v>0.12350597609561742</v>
      </c>
      <c r="CY37" s="53">
        <f t="shared" si="75"/>
        <v>0.1596261682242992</v>
      </c>
      <c r="CZ37" s="53">
        <f t="shared" si="75"/>
        <v>0.16714520547945222</v>
      </c>
      <c r="DA37" s="53">
        <f t="shared" si="75"/>
        <v>0.14069733102253057</v>
      </c>
      <c r="DB37" s="53">
        <f t="shared" si="75"/>
        <v>0.22533950000000025</v>
      </c>
      <c r="DC37" s="53">
        <f t="shared" si="75"/>
        <v>0.16964225000000011</v>
      </c>
      <c r="DD37" s="53">
        <f t="shared" si="75"/>
        <v>0.18099800000000021</v>
      </c>
      <c r="DE37" s="53">
        <f t="shared" si="75"/>
        <v>0.19246400000000019</v>
      </c>
      <c r="DF37" s="53">
        <f t="shared" si="75"/>
        <v>0.15839360000000013</v>
      </c>
      <c r="DG37" s="53">
        <f t="shared" si="75"/>
        <v>0.1142643200000002</v>
      </c>
      <c r="DH37" s="53">
        <f t="shared" si="75"/>
        <v>8.2122080000000208E-2</v>
      </c>
      <c r="DI37" s="53">
        <f t="shared" si="75"/>
        <v>5.0907020000000136E-2</v>
      </c>
      <c r="DJ37" s="53">
        <f t="shared" si="75"/>
        <v>4.0604010000000246E-2</v>
      </c>
      <c r="DK37" s="53">
        <f t="shared" si="75"/>
        <v>5.0907020000000136E-2</v>
      </c>
      <c r="DL37" s="53">
        <f t="shared" si="75"/>
        <v>5.0907020000000136E-2</v>
      </c>
      <c r="DM37" s="53">
        <f t="shared" si="75"/>
        <v>5.0907020000000136E-2</v>
      </c>
      <c r="DN37" s="53">
        <f t="shared" si="75"/>
        <v>5.0907019999999914E-2</v>
      </c>
      <c r="DO37" s="53">
        <f t="shared" si="75"/>
        <v>4.0604010000000024E-2</v>
      </c>
      <c r="DP37" s="53">
        <f t="shared" si="75"/>
        <v>4.0604010000000024E-2</v>
      </c>
      <c r="DQ37" s="53">
        <f t="shared" si="75"/>
        <v>4.0604010000000024E-2</v>
      </c>
      <c r="DU37" s="52">
        <f>DU35/DT35-1</f>
        <v>0.55872819879611058</v>
      </c>
      <c r="DV37" s="52">
        <f t="shared" ref="DV37:ET37" si="76">DV35/DU35-1</f>
        <v>9.0860481235766066E-2</v>
      </c>
      <c r="DW37" s="52">
        <f t="shared" si="76"/>
        <v>0.21506938014753496</v>
      </c>
      <c r="DX37" s="52">
        <f t="shared" si="76"/>
        <v>1.8188247364148147E-2</v>
      </c>
      <c r="DY37" s="52">
        <f t="shared" si="76"/>
        <v>0.42843167466408416</v>
      </c>
      <c r="DZ37" s="52">
        <f t="shared" si="76"/>
        <v>0.16870527000650637</v>
      </c>
      <c r="EA37" s="52">
        <f t="shared" si="76"/>
        <v>4.8125239893699545E-2</v>
      </c>
      <c r="EB37" s="52">
        <f t="shared" si="76"/>
        <v>-7.8661642280877353E-2</v>
      </c>
      <c r="EC37" s="52">
        <f t="shared" si="76"/>
        <v>5.8331285290806889E-2</v>
      </c>
      <c r="ED37" s="52">
        <f t="shared" si="76"/>
        <v>0.10830600215591391</v>
      </c>
      <c r="EE37" s="52">
        <f t="shared" si="76"/>
        <v>-3.1115974194616425E-2</v>
      </c>
      <c r="EF37" s="52">
        <f t="shared" si="76"/>
        <v>6.7848151282715152E-2</v>
      </c>
      <c r="EG37" s="52">
        <f t="shared" si="76"/>
        <v>0.12006525489411723</v>
      </c>
      <c r="EH37" s="52">
        <f t="shared" si="76"/>
        <v>0.30247716200606045</v>
      </c>
      <c r="EI37" s="52">
        <f t="shared" si="76"/>
        <v>9.1688089117395011E-2</v>
      </c>
      <c r="EJ37" s="52">
        <f t="shared" si="76"/>
        <v>0.25588697017268447</v>
      </c>
      <c r="EK37" s="52">
        <f t="shared" si="76"/>
        <v>0.22500000000000009</v>
      </c>
      <c r="EL37" s="52">
        <f t="shared" si="76"/>
        <v>8.5714285714285632E-2</v>
      </c>
      <c r="EM37" s="52">
        <f t="shared" si="76"/>
        <v>0.43609022556390986</v>
      </c>
      <c r="EN37" s="52">
        <f t="shared" si="76"/>
        <v>0.22643979057591612</v>
      </c>
      <c r="EO37" s="52">
        <f t="shared" si="76"/>
        <v>0.15261472785485597</v>
      </c>
      <c r="EP37" s="52">
        <f t="shared" si="76"/>
        <v>0.18425925925925934</v>
      </c>
      <c r="EQ37" s="52">
        <f t="shared" si="76"/>
        <v>0.31430805316653632</v>
      </c>
      <c r="ER37" s="52">
        <f t="shared" si="76"/>
        <v>0.28584176085663304</v>
      </c>
      <c r="ES37" s="65">
        <f t="shared" si="76"/>
        <v>0.14808899375433748</v>
      </c>
      <c r="ET37" s="65">
        <f t="shared" si="76"/>
        <v>0.19127776934947605</v>
      </c>
      <c r="EU37" s="65">
        <f>EU35/ET35-1</f>
        <v>9.9554555701595326E-2</v>
      </c>
      <c r="EV37" s="65">
        <f>EV35/EU35-1</f>
        <v>4.8369583426617568E-2</v>
      </c>
      <c r="EW37" s="65">
        <f>EW35/EV35-1</f>
        <v>4.3122651054762651E-2</v>
      </c>
    </row>
    <row r="38" spans="1:155" s="52" customFormat="1" ht="11.25" hidden="1" customHeight="1" outlineLevel="1">
      <c r="A38" s="58" t="s">
        <v>228</v>
      </c>
      <c r="B38" s="52">
        <f t="shared" ref="B38:BM38" si="77">B35/B$5</f>
        <v>7.936679228994073E-2</v>
      </c>
      <c r="C38" s="52">
        <f t="shared" si="77"/>
        <v>7.8029822029822019E-2</v>
      </c>
      <c r="D38" s="52">
        <f t="shared" si="77"/>
        <v>6.8215444303187059E-2</v>
      </c>
      <c r="E38" s="52">
        <f t="shared" si="77"/>
        <v>6.5294388589761929E-2</v>
      </c>
      <c r="F38" s="52">
        <f t="shared" si="77"/>
        <v>6.4302073236633756E-2</v>
      </c>
      <c r="G38" s="52">
        <f t="shared" si="77"/>
        <v>8.403758615444025E-2</v>
      </c>
      <c r="H38" s="52">
        <f t="shared" si="77"/>
        <v>8.9920149475719496E-2</v>
      </c>
      <c r="I38" s="52">
        <f t="shared" si="77"/>
        <v>9.193444520145222E-2</v>
      </c>
      <c r="J38" s="52">
        <f t="shared" si="77"/>
        <v>0.10101658588138267</v>
      </c>
      <c r="K38" s="52">
        <f t="shared" si="77"/>
        <v>8.63946199654613E-2</v>
      </c>
      <c r="L38" s="52">
        <f t="shared" si="77"/>
        <v>8.6855981352441741E-2</v>
      </c>
      <c r="M38" s="52">
        <f t="shared" si="77"/>
        <v>8.9805748127061186E-2</v>
      </c>
      <c r="N38" s="52">
        <f t="shared" si="77"/>
        <v>0.10003284559392252</v>
      </c>
      <c r="O38" s="52">
        <f t="shared" si="77"/>
        <v>0.1115508670989188</v>
      </c>
      <c r="P38" s="52">
        <f t="shared" si="77"/>
        <v>9.7177801784747983E-2</v>
      </c>
      <c r="Q38" s="52">
        <f t="shared" si="77"/>
        <v>9.286359881089401E-2</v>
      </c>
      <c r="R38" s="52">
        <f t="shared" si="77"/>
        <v>8.2312801663452353E-2</v>
      </c>
      <c r="S38" s="52">
        <f t="shared" si="77"/>
        <v>8.9912875862020972E-2</v>
      </c>
      <c r="T38" s="52">
        <f t="shared" si="77"/>
        <v>9.3478912952186702E-2</v>
      </c>
      <c r="U38" s="52">
        <f t="shared" si="77"/>
        <v>7.9169652185715589E-2</v>
      </c>
      <c r="V38" s="52">
        <f t="shared" si="77"/>
        <v>9.381247185787181E-2</v>
      </c>
      <c r="W38" s="52">
        <f t="shared" si="77"/>
        <v>0.10044086054349044</v>
      </c>
      <c r="X38" s="52">
        <f t="shared" si="77"/>
        <v>9.0299205919773029E-2</v>
      </c>
      <c r="Y38" s="52">
        <f t="shared" si="77"/>
        <v>9.6619192989203212E-2</v>
      </c>
      <c r="Z38" s="52">
        <f t="shared" si="77"/>
        <v>9.5431610366229214E-2</v>
      </c>
      <c r="AA38" s="52">
        <f t="shared" si="77"/>
        <v>8.6906965281052295E-2</v>
      </c>
      <c r="AB38" s="52">
        <f t="shared" si="77"/>
        <v>7.9045569322972367E-2</v>
      </c>
      <c r="AC38" s="52">
        <f t="shared" si="77"/>
        <v>7.5879873288269187E-2</v>
      </c>
      <c r="AD38" s="52">
        <f t="shared" si="77"/>
        <v>8.0661494657478669E-2</v>
      </c>
      <c r="AE38" s="52">
        <f t="shared" si="77"/>
        <v>0.10350787967862919</v>
      </c>
      <c r="AF38" s="52">
        <f t="shared" si="77"/>
        <v>9.5636965203780969E-2</v>
      </c>
      <c r="AG38" s="52">
        <f t="shared" si="77"/>
        <v>0.17965664879245127</v>
      </c>
      <c r="AH38" s="52">
        <f t="shared" si="77"/>
        <v>0.12117922831063289</v>
      </c>
      <c r="AI38" s="52">
        <f t="shared" si="77"/>
        <v>9.6474012259825881E-2</v>
      </c>
      <c r="AJ38" s="52">
        <f t="shared" si="77"/>
        <v>9.5205302001979603E-2</v>
      </c>
      <c r="AK38" s="52">
        <f t="shared" si="77"/>
        <v>8.9759874929770125E-2</v>
      </c>
      <c r="AL38" s="52">
        <f t="shared" si="77"/>
        <v>9.0714534548862913E-2</v>
      </c>
      <c r="AM38" s="52">
        <f t="shared" si="77"/>
        <v>0.10621073756669068</v>
      </c>
      <c r="AN38" s="52">
        <f t="shared" si="77"/>
        <v>9.9242575055219023E-2</v>
      </c>
      <c r="AO38" s="52">
        <f t="shared" si="77"/>
        <v>9.9300973853082675E-2</v>
      </c>
      <c r="AP38" s="52">
        <f t="shared" si="77"/>
        <v>0.10198858882020376</v>
      </c>
      <c r="AQ38" s="52">
        <f t="shared" si="77"/>
        <v>9.4411603544259468E-2</v>
      </c>
      <c r="AR38" s="52">
        <f t="shared" si="77"/>
        <v>9.0712637640923674E-2</v>
      </c>
      <c r="AS38" s="52">
        <f t="shared" si="77"/>
        <v>0.10048531568599887</v>
      </c>
      <c r="AT38" s="52">
        <f t="shared" si="77"/>
        <v>0.10501180156928976</v>
      </c>
      <c r="AU38" s="52">
        <f t="shared" si="77"/>
        <v>8.706273281814092E-2</v>
      </c>
      <c r="AV38" s="52">
        <f t="shared" si="77"/>
        <v>7.5734775062079054E-2</v>
      </c>
      <c r="AW38" s="52">
        <f t="shared" si="77"/>
        <v>8.6117831569551773E-2</v>
      </c>
      <c r="AX38" s="52">
        <f t="shared" si="77"/>
        <v>0.1044945267764279</v>
      </c>
      <c r="AY38" s="52">
        <f t="shared" si="77"/>
        <v>0.10161495971298701</v>
      </c>
      <c r="AZ38" s="52">
        <f t="shared" si="77"/>
        <v>9.1389009333309276E-2</v>
      </c>
      <c r="BA38" s="52">
        <f t="shared" si="77"/>
        <v>9.1400414955891268E-2</v>
      </c>
      <c r="BB38" s="52">
        <f t="shared" si="77"/>
        <v>9.8966527534328927E-2</v>
      </c>
      <c r="BC38" s="52">
        <f t="shared" si="77"/>
        <v>9.9288735101883893E-2</v>
      </c>
      <c r="BD38" s="52">
        <f t="shared" si="77"/>
        <v>9.2808609886549653E-2</v>
      </c>
      <c r="BE38" s="52">
        <f t="shared" si="77"/>
        <v>9.246557815426297E-2</v>
      </c>
      <c r="BF38" s="52">
        <f t="shared" si="77"/>
        <v>0.1159860990443093</v>
      </c>
      <c r="BG38" s="52">
        <f t="shared" si="77"/>
        <v>0.12575888985255854</v>
      </c>
      <c r="BH38" s="52">
        <f t="shared" si="77"/>
        <v>0.11340996168582375</v>
      </c>
      <c r="BI38" s="52">
        <f t="shared" si="77"/>
        <v>0.11206281227694503</v>
      </c>
      <c r="BJ38" s="52">
        <f t="shared" si="77"/>
        <v>0.11187739463601533</v>
      </c>
      <c r="BK38" s="621">
        <f t="shared" si="77"/>
        <v>0.10644257703081232</v>
      </c>
      <c r="BL38" s="621">
        <f t="shared" si="77"/>
        <v>8.3333333333333329E-2</v>
      </c>
      <c r="BM38" s="52">
        <f t="shared" si="77"/>
        <v>7.9153244362632311E-2</v>
      </c>
      <c r="BN38" s="52">
        <f t="shared" ref="BN38:DQ38" si="78">BN35/BN$5</f>
        <v>9.2410944759938052E-2</v>
      </c>
      <c r="BO38" s="52">
        <f t="shared" si="78"/>
        <v>8.6995515695067263E-2</v>
      </c>
      <c r="BP38" s="52">
        <f t="shared" si="78"/>
        <v>7.9286798179059176E-2</v>
      </c>
      <c r="BQ38" s="52">
        <f t="shared" si="78"/>
        <v>7.4888354517347988E-2</v>
      </c>
      <c r="BR38" s="52">
        <f>BR35/BR$5</f>
        <v>7.0782662924851886E-2</v>
      </c>
      <c r="BS38" s="52">
        <f t="shared" si="78"/>
        <v>7.5248158821645858E-2</v>
      </c>
      <c r="BT38" s="52">
        <f>BT35/BT$5</f>
        <v>8.1735303363722103E-2</v>
      </c>
      <c r="BU38" s="52">
        <f t="shared" si="78"/>
        <v>0.11700680272108843</v>
      </c>
      <c r="BV38" s="52">
        <f t="shared" si="78"/>
        <v>0.11396396396396397</v>
      </c>
      <c r="BW38" s="52">
        <f t="shared" si="78"/>
        <v>0.10120201628538193</v>
      </c>
      <c r="BX38" s="52">
        <f t="shared" si="78"/>
        <v>8.9581950895819509E-2</v>
      </c>
      <c r="BY38" s="52">
        <f t="shared" si="78"/>
        <v>9.0177133655394523E-2</v>
      </c>
      <c r="BZ38" s="52">
        <f t="shared" si="78"/>
        <v>9.3831168831168835E-2</v>
      </c>
      <c r="CA38" s="52">
        <f t="shared" si="78"/>
        <v>0.10294878427315055</v>
      </c>
      <c r="CB38" s="52">
        <f t="shared" si="78"/>
        <v>8.6754126110876004E-2</v>
      </c>
      <c r="CC38" s="52">
        <f t="shared" si="78"/>
        <v>8.6148311013391959E-2</v>
      </c>
      <c r="CD38" s="52">
        <f t="shared" si="78"/>
        <v>7.7724783607136555E-2</v>
      </c>
      <c r="CE38" s="52">
        <f t="shared" si="78"/>
        <v>6.9771015829107122E-2</v>
      </c>
      <c r="CF38" s="52">
        <f t="shared" si="78"/>
        <v>6.8562579191890752E-2</v>
      </c>
      <c r="CG38" s="52">
        <f t="shared" si="78"/>
        <v>6.4503467224911681E-2</v>
      </c>
      <c r="CH38" s="52">
        <f t="shared" si="78"/>
        <v>6.3947876447876445E-2</v>
      </c>
      <c r="CI38" s="52">
        <f t="shared" si="78"/>
        <v>7.995226730310262E-2</v>
      </c>
      <c r="CJ38" s="52">
        <f t="shared" si="78"/>
        <v>9.4587759231158322E-2</v>
      </c>
      <c r="CK38" s="52">
        <f t="shared" si="78"/>
        <v>8.8084614113369694E-2</v>
      </c>
      <c r="CL38" s="52">
        <f t="shared" si="78"/>
        <v>8.10622914349277E-2</v>
      </c>
      <c r="CM38" s="52">
        <f t="shared" si="78"/>
        <v>4.5087732286962313E-2</v>
      </c>
      <c r="CN38" s="52">
        <f t="shared" si="78"/>
        <v>3.7141280353200884E-2</v>
      </c>
      <c r="CO38" s="52">
        <f t="shared" si="78"/>
        <v>3.1353209971497084E-2</v>
      </c>
      <c r="CP38" s="52">
        <f t="shared" si="78"/>
        <v>2.9027799109199816E-2</v>
      </c>
      <c r="CQ38" s="52">
        <f t="shared" si="78"/>
        <v>2.7163781624500664E-2</v>
      </c>
      <c r="CR38" s="52">
        <f t="shared" si="78"/>
        <v>2.4456986488797672E-2</v>
      </c>
      <c r="CS38" s="52">
        <f t="shared" si="78"/>
        <v>2.3696320968193029E-2</v>
      </c>
      <c r="CT38" s="52">
        <f t="shared" si="78"/>
        <v>2.2786074168217513E-2</v>
      </c>
      <c r="CU38" s="52">
        <f t="shared" si="78"/>
        <v>2.289112808334938E-2</v>
      </c>
      <c r="CV38" s="52">
        <f t="shared" si="78"/>
        <v>1.9208504367961267E-2</v>
      </c>
      <c r="CW38" s="52">
        <f>CW35/CW$5</f>
        <v>1.6938952250943093E-2</v>
      </c>
      <c r="CX38" s="52">
        <f>CX35/CX$5</f>
        <v>1.3820988788825584E-2</v>
      </c>
      <c r="CY38" s="53">
        <f t="shared" si="78"/>
        <v>1.3334809893393159E-2</v>
      </c>
      <c r="CZ38" s="53">
        <f t="shared" si="78"/>
        <v>1.154937766855915E-2</v>
      </c>
      <c r="DA38" s="53">
        <f t="shared" si="78"/>
        <v>1.0486291374225664E-2</v>
      </c>
      <c r="DB38" s="53">
        <f t="shared" si="78"/>
        <v>1.0085120172948409E-2</v>
      </c>
      <c r="DC38" s="53">
        <f t="shared" si="78"/>
        <v>9.645786322171071E-3</v>
      </c>
      <c r="DD38" s="53">
        <f t="shared" si="78"/>
        <v>8.973871155230571E-3</v>
      </c>
      <c r="DE38" s="53">
        <f t="shared" si="78"/>
        <v>8.7490238966098522E-3</v>
      </c>
      <c r="DF38" s="53">
        <f t="shared" si="78"/>
        <v>8.6984711336784374E-3</v>
      </c>
      <c r="DG38" s="53">
        <f t="shared" si="78"/>
        <v>8.5226773568283266E-3</v>
      </c>
      <c r="DH38" s="53">
        <f t="shared" si="78"/>
        <v>8.044296558234975E-3</v>
      </c>
      <c r="DI38" s="53">
        <f t="shared" si="78"/>
        <v>7.7384209411960406E-3</v>
      </c>
      <c r="DJ38" s="53">
        <f t="shared" si="78"/>
        <v>7.7604654353998345E-3</v>
      </c>
      <c r="DK38" s="53">
        <f t="shared" si="78"/>
        <v>7.8259440264571555E-3</v>
      </c>
      <c r="DL38" s="53">
        <f t="shared" si="78"/>
        <v>7.6624189079071469E-3</v>
      </c>
      <c r="DM38" s="53">
        <f t="shared" si="78"/>
        <v>7.5783658287942599E-3</v>
      </c>
      <c r="DN38" s="53">
        <f t="shared" si="78"/>
        <v>7.5282903095870339E-3</v>
      </c>
      <c r="DO38" s="53">
        <f t="shared" si="78"/>
        <v>7.3770981440480186E-3</v>
      </c>
      <c r="DP38" s="53">
        <f t="shared" si="78"/>
        <v>7.0269889604389121E-3</v>
      </c>
      <c r="DQ38" s="53">
        <f t="shared" si="78"/>
        <v>6.8218847551104632E-3</v>
      </c>
      <c r="DT38" s="52">
        <f>DT35/DT$5</f>
        <v>7.0965358156543659E-2</v>
      </c>
      <c r="DU38" s="52">
        <f t="shared" ref="DU38:EW38" si="79">DU35/DU$5</f>
        <v>8.1047808496363463E-2</v>
      </c>
      <c r="DV38" s="52">
        <f t="shared" si="79"/>
        <v>9.0649471048221422E-2</v>
      </c>
      <c r="DW38" s="52">
        <f t="shared" si="79"/>
        <v>9.9893384834975354E-2</v>
      </c>
      <c r="DX38" s="52">
        <f t="shared" si="79"/>
        <v>8.6055528358744221E-2</v>
      </c>
      <c r="DY38" s="52">
        <f t="shared" si="79"/>
        <v>9.5161874248681291E-2</v>
      </c>
      <c r="DZ38" s="52">
        <f t="shared" si="79"/>
        <v>8.3286642296222901E-2</v>
      </c>
      <c r="EA38" s="52">
        <f t="shared" si="79"/>
        <v>0.10444867949308277</v>
      </c>
      <c r="EB38" s="52">
        <f t="shared" si="79"/>
        <v>9.9079648092783731E-2</v>
      </c>
      <c r="EC38" s="52">
        <f t="shared" si="79"/>
        <v>9.8441315730578391E-2</v>
      </c>
      <c r="ED38" s="52">
        <f t="shared" si="79"/>
        <v>9.6696540459687896E-2</v>
      </c>
      <c r="EE38" s="52">
        <f t="shared" si="79"/>
        <v>8.751006679892033E-2</v>
      </c>
      <c r="EF38" s="52">
        <f t="shared" si="79"/>
        <v>9.6841237704477431E-2</v>
      </c>
      <c r="EG38" s="52">
        <f t="shared" si="79"/>
        <v>9.5694078851105008E-2</v>
      </c>
      <c r="EH38" s="52">
        <f t="shared" si="79"/>
        <v>0.11646706586826347</v>
      </c>
      <c r="EI38" s="52">
        <f t="shared" si="79"/>
        <v>9.2185238784370474E-2</v>
      </c>
      <c r="EJ38" s="52">
        <f t="shared" si="79"/>
        <v>8.2355363393040976E-2</v>
      </c>
      <c r="EK38" s="52">
        <f t="shared" si="79"/>
        <v>8.3646295664049158E-2</v>
      </c>
      <c r="EL38" s="52">
        <f t="shared" si="79"/>
        <v>9.7453746107345668E-2</v>
      </c>
      <c r="EM38" s="52">
        <f t="shared" si="79"/>
        <v>9.1634182908545733E-2</v>
      </c>
      <c r="EN38" s="52">
        <f t="shared" si="79"/>
        <v>6.962918926952516E-2</v>
      </c>
      <c r="EO38" s="52">
        <f t="shared" si="79"/>
        <v>8.0077111292355604E-2</v>
      </c>
      <c r="EP38" s="52">
        <f t="shared" si="79"/>
        <v>4.19881159515446E-2</v>
      </c>
      <c r="EQ38" s="52">
        <f t="shared" si="79"/>
        <v>2.5763044361173052E-2</v>
      </c>
      <c r="ER38" s="52">
        <f t="shared" si="79"/>
        <v>2.0019635265678112E-2</v>
      </c>
      <c r="ES38" s="53">
        <f t="shared" si="79"/>
        <v>1.2080174822699822E-2</v>
      </c>
      <c r="ET38" s="53">
        <f t="shared" si="79"/>
        <v>9.3093240196277915E-3</v>
      </c>
      <c r="EU38" s="53">
        <f t="shared" si="79"/>
        <v>8.229073214574837E-3</v>
      </c>
      <c r="EV38" s="53">
        <f t="shared" si="79"/>
        <v>7.7046210519967576E-3</v>
      </c>
      <c r="EW38" s="53">
        <f t="shared" si="79"/>
        <v>7.174612139502024E-3</v>
      </c>
    </row>
    <row r="39" spans="1:155" s="628" customFormat="1" ht="11.25" hidden="1" customHeight="1" outlineLevel="3">
      <c r="A39" s="629" t="s">
        <v>238</v>
      </c>
      <c r="B39" s="627"/>
      <c r="C39" s="627"/>
      <c r="D39" s="627"/>
      <c r="E39" s="627"/>
      <c r="F39" s="627"/>
      <c r="G39" s="627"/>
      <c r="H39" s="627"/>
      <c r="I39" s="627"/>
      <c r="J39" s="627"/>
      <c r="K39" s="627"/>
      <c r="L39" s="627"/>
      <c r="M39" s="627"/>
      <c r="N39" s="627"/>
      <c r="O39" s="627"/>
      <c r="P39" s="627"/>
      <c r="Q39" s="627"/>
      <c r="R39" s="627"/>
      <c r="S39" s="627"/>
      <c r="T39" s="627"/>
      <c r="U39" s="627"/>
      <c r="V39" s="627"/>
      <c r="W39" s="627"/>
      <c r="X39" s="627"/>
      <c r="Y39" s="627"/>
      <c r="Z39" s="627"/>
      <c r="AA39" s="627"/>
      <c r="AB39" s="627"/>
      <c r="AC39" s="627"/>
      <c r="AD39" s="627"/>
      <c r="AE39" s="627"/>
      <c r="AF39" s="627"/>
      <c r="AG39" s="627"/>
      <c r="AH39" s="627"/>
      <c r="AI39" s="627"/>
      <c r="AJ39" s="627"/>
      <c r="AK39" s="627"/>
      <c r="AL39" s="627">
        <v>8.76</v>
      </c>
      <c r="AM39" s="627">
        <v>7.81</v>
      </c>
      <c r="AN39" s="627">
        <v>8.5850000000000009</v>
      </c>
      <c r="AO39" s="627">
        <v>8.9160000000000004</v>
      </c>
      <c r="AP39" s="627">
        <v>10.673</v>
      </c>
      <c r="AQ39" s="627">
        <v>11.505000000000001</v>
      </c>
      <c r="AR39" s="627">
        <v>10.872</v>
      </c>
      <c r="AS39" s="627">
        <v>11.48</v>
      </c>
      <c r="AT39" s="627">
        <v>11.836</v>
      </c>
      <c r="AU39" s="627">
        <v>10.721</v>
      </c>
      <c r="AV39" s="627">
        <v>10.523999999999999</v>
      </c>
      <c r="AW39" s="627">
        <v>10.933999999999999</v>
      </c>
      <c r="AX39" s="627">
        <v>8.8089999999999993</v>
      </c>
      <c r="AY39" s="627">
        <v>11.686999999999999</v>
      </c>
      <c r="AZ39" s="627">
        <v>10.307</v>
      </c>
      <c r="BA39" s="627">
        <v>11.879</v>
      </c>
      <c r="BB39" s="627">
        <v>12.108000000000001</v>
      </c>
      <c r="BC39" s="627">
        <v>14</v>
      </c>
      <c r="BD39" s="627">
        <v>16</v>
      </c>
      <c r="BE39" s="627">
        <v>15</v>
      </c>
      <c r="BF39" s="627">
        <v>16</v>
      </c>
      <c r="BG39" s="627">
        <v>17</v>
      </c>
      <c r="BH39" s="627">
        <v>19</v>
      </c>
      <c r="BI39" s="627">
        <v>22</v>
      </c>
      <c r="BJ39" s="627">
        <v>20</v>
      </c>
      <c r="BK39" s="627">
        <v>24</v>
      </c>
      <c r="BL39" s="627">
        <v>27</v>
      </c>
      <c r="BM39" s="627">
        <v>27</v>
      </c>
      <c r="BN39" s="627">
        <v>31</v>
      </c>
      <c r="BO39" s="627">
        <v>33</v>
      </c>
      <c r="BP39" s="627">
        <v>40</v>
      </c>
      <c r="BQ39" s="627">
        <v>46</v>
      </c>
      <c r="BR39" s="627">
        <v>47</v>
      </c>
      <c r="BS39" s="627">
        <v>48</v>
      </c>
      <c r="BT39" s="627">
        <v>47</v>
      </c>
      <c r="BU39" s="627">
        <v>51</v>
      </c>
      <c r="BV39" s="627">
        <v>60</v>
      </c>
      <c r="BW39" s="627">
        <v>71</v>
      </c>
      <c r="BX39" s="627">
        <v>67</v>
      </c>
      <c r="BY39" s="627">
        <v>68</v>
      </c>
      <c r="BZ39" s="627">
        <v>69</v>
      </c>
      <c r="CA39" s="627">
        <v>132</v>
      </c>
      <c r="CB39" s="627">
        <v>123</v>
      </c>
      <c r="CC39" s="627">
        <v>125</v>
      </c>
      <c r="CD39" s="627">
        <v>128</v>
      </c>
      <c r="CE39" s="627">
        <v>136</v>
      </c>
      <c r="CF39" s="627">
        <v>152</v>
      </c>
      <c r="CG39" s="627">
        <v>150</v>
      </c>
      <c r="CH39" s="627">
        <v>156</v>
      </c>
      <c r="CI39" s="627">
        <v>159</v>
      </c>
      <c r="CJ39" s="627">
        <v>183</v>
      </c>
      <c r="CK39" s="627">
        <v>182</v>
      </c>
      <c r="CL39" s="627">
        <v>184</v>
      </c>
      <c r="CM39" s="627">
        <v>211</v>
      </c>
      <c r="CN39" s="627">
        <v>240</v>
      </c>
      <c r="CO39" s="627">
        <v>242</v>
      </c>
      <c r="CP39" s="627">
        <v>248</v>
      </c>
      <c r="CQ39" s="627">
        <v>282</v>
      </c>
      <c r="CR39" s="627">
        <v>292</v>
      </c>
      <c r="CS39" s="627">
        <v>313</v>
      </c>
      <c r="CT39" s="627">
        <v>347</v>
      </c>
      <c r="CU39" s="627">
        <v>375</v>
      </c>
      <c r="CV39" s="627">
        <v>379</v>
      </c>
      <c r="CW39" s="627">
        <v>347</v>
      </c>
      <c r="CX39" s="627">
        <v>347</v>
      </c>
      <c r="CY39" s="627">
        <f>+CY29-CY34</f>
        <v>353.94000000000005</v>
      </c>
      <c r="CZ39" s="627">
        <f>+CZ29-CZ34</f>
        <v>361.01880000000006</v>
      </c>
      <c r="DA39" s="627">
        <f>+DA29-DA34</f>
        <v>368.23917600000004</v>
      </c>
      <c r="DB39" s="627">
        <f t="shared" ref="DB39:DQ39" si="80">+DB29-DB34</f>
        <v>375.60395951999999</v>
      </c>
      <c r="DC39" s="627">
        <f t="shared" si="80"/>
        <v>383.11603871040006</v>
      </c>
      <c r="DD39" s="627">
        <f t="shared" si="80"/>
        <v>390.77835948460825</v>
      </c>
      <c r="DE39" s="627">
        <f t="shared" si="80"/>
        <v>398.59392667430029</v>
      </c>
      <c r="DF39" s="627">
        <f t="shared" si="80"/>
        <v>406.56580520778652</v>
      </c>
      <c r="DG39" s="627">
        <f t="shared" si="80"/>
        <v>414.69712131194228</v>
      </c>
      <c r="DH39" s="627">
        <f t="shared" si="80"/>
        <v>422.99106373818131</v>
      </c>
      <c r="DI39" s="627">
        <f t="shared" si="80"/>
        <v>431.45088501294481</v>
      </c>
      <c r="DJ39" s="627">
        <f t="shared" si="80"/>
        <v>440.07990271320364</v>
      </c>
      <c r="DK39" s="627">
        <f t="shared" si="80"/>
        <v>448.88150076746774</v>
      </c>
      <c r="DL39" s="627">
        <f t="shared" si="80"/>
        <v>457.85913078281715</v>
      </c>
      <c r="DM39" s="627">
        <f t="shared" si="80"/>
        <v>467.01631339847359</v>
      </c>
      <c r="DN39" s="627">
        <f t="shared" si="80"/>
        <v>476.35663966644324</v>
      </c>
      <c r="DO39" s="627">
        <f t="shared" si="80"/>
        <v>485.88377245977222</v>
      </c>
      <c r="DP39" s="627">
        <f t="shared" si="80"/>
        <v>495.60144790896766</v>
      </c>
      <c r="DQ39" s="627">
        <f t="shared" si="80"/>
        <v>505.51347686714712</v>
      </c>
      <c r="DT39" s="64"/>
      <c r="DU39" s="64"/>
      <c r="DV39" s="64"/>
      <c r="DW39" s="64"/>
      <c r="DX39" s="64"/>
      <c r="DY39" s="64"/>
      <c r="DZ39" s="64"/>
      <c r="EA39" s="64"/>
      <c r="EB39" s="64"/>
      <c r="EC39" s="64"/>
      <c r="ED39" s="627">
        <f>SUM(AP39:AS39)</f>
        <v>44.53</v>
      </c>
      <c r="EE39" s="627">
        <f>SUM(AT39:AW39)</f>
        <v>44.015000000000001</v>
      </c>
      <c r="EF39" s="627">
        <f>SUM(AX39:BA39)</f>
        <v>42.681999999999995</v>
      </c>
      <c r="EG39" s="627">
        <f>SUM(BB39:BE39)</f>
        <v>57.108000000000004</v>
      </c>
      <c r="EH39" s="627">
        <f>SUM(BF39:BI39)</f>
        <v>74</v>
      </c>
      <c r="EI39" s="627">
        <f>SUM(BJ39:BM39)</f>
        <v>98</v>
      </c>
      <c r="EJ39" s="627">
        <f>SUM(BN39:BQ39)</f>
        <v>150</v>
      </c>
      <c r="EK39" s="627">
        <f>SUM(BR39:BU39)</f>
        <v>193</v>
      </c>
      <c r="EL39" s="627">
        <f>BV39+BW39+BX39+BY39</f>
        <v>266</v>
      </c>
      <c r="EM39" s="627">
        <f>CC39+CB39+CA39+BZ39</f>
        <v>449</v>
      </c>
      <c r="EN39" s="627">
        <f>+CD39+CE39+CF39+CG39</f>
        <v>566</v>
      </c>
      <c r="EO39" s="627">
        <f>SUM(CH39:CK39)</f>
        <v>680</v>
      </c>
      <c r="EP39" s="627">
        <f>SUM(CL39:CO39)</f>
        <v>877</v>
      </c>
      <c r="EQ39" s="627">
        <f>SUM(CP39:CS39)</f>
        <v>1135</v>
      </c>
      <c r="ER39" s="627">
        <f>SUM(CT39:CW39)</f>
        <v>1448</v>
      </c>
      <c r="ES39" s="627">
        <f>SUM(CX39:DA39)</f>
        <v>1430.1979760000002</v>
      </c>
      <c r="ET39" s="627">
        <f>SUM(DB39:DE39)</f>
        <v>1548.0922843893086</v>
      </c>
      <c r="EU39" s="627">
        <f>SUM(DF39:DI39)</f>
        <v>1675.7048752708549</v>
      </c>
      <c r="EV39" s="627">
        <f>SUM(DJ39:DM39)</f>
        <v>1813.8368476619621</v>
      </c>
      <c r="EW39" s="627">
        <f>SUM(DN39:DQ39)</f>
        <v>1963.3553369023302</v>
      </c>
    </row>
    <row r="40" spans="1:155" s="49" customFormat="1" ht="11.25" customHeight="1" collapsed="1">
      <c r="A40" s="619" t="s">
        <v>239</v>
      </c>
      <c r="B40" s="35">
        <f t="shared" ref="B40:BM40" si="81">B15-B30-B35</f>
        <v>42.504999999999995</v>
      </c>
      <c r="C40" s="35">
        <f t="shared" si="81"/>
        <v>48.067</v>
      </c>
      <c r="D40" s="35">
        <f t="shared" si="81"/>
        <v>64.263000000000005</v>
      </c>
      <c r="E40" s="35">
        <f t="shared" si="81"/>
        <v>113.29799999999997</v>
      </c>
      <c r="F40" s="35">
        <f t="shared" si="81"/>
        <v>117.19099999999995</v>
      </c>
      <c r="G40" s="35">
        <f t="shared" si="81"/>
        <v>27.165000000000035</v>
      </c>
      <c r="H40" s="35">
        <f t="shared" si="81"/>
        <v>11.725999999999978</v>
      </c>
      <c r="I40" s="35">
        <f t="shared" si="81"/>
        <v>30.370999999999967</v>
      </c>
      <c r="J40" s="35">
        <f t="shared" si="81"/>
        <v>26.348000000000013</v>
      </c>
      <c r="K40" s="35">
        <f t="shared" si="81"/>
        <v>24.631999999999984</v>
      </c>
      <c r="L40" s="35">
        <f t="shared" si="81"/>
        <v>18.861000000000018</v>
      </c>
      <c r="M40" s="35">
        <f t="shared" si="81"/>
        <v>23.816000000000045</v>
      </c>
      <c r="N40" s="35">
        <f t="shared" si="81"/>
        <v>23.879999999999924</v>
      </c>
      <c r="O40" s="35">
        <f t="shared" si="81"/>
        <v>3.7989999999999569</v>
      </c>
      <c r="P40" s="35">
        <f t="shared" si="81"/>
        <v>28.758000000000024</v>
      </c>
      <c r="Q40" s="35">
        <f t="shared" si="81"/>
        <v>57.155999999999999</v>
      </c>
      <c r="R40" s="35">
        <f t="shared" si="81"/>
        <v>76.182000000000045</v>
      </c>
      <c r="S40" s="35">
        <f t="shared" si="81"/>
        <v>80.037000000000006</v>
      </c>
      <c r="T40" s="35">
        <f t="shared" si="81"/>
        <v>85.693999999999932</v>
      </c>
      <c r="U40" s="35">
        <f t="shared" si="81"/>
        <v>112.34200000000006</v>
      </c>
      <c r="V40" s="35">
        <f t="shared" si="81"/>
        <v>101.509</v>
      </c>
      <c r="W40" s="35">
        <f t="shared" si="81"/>
        <v>95.816000000000031</v>
      </c>
      <c r="X40" s="35">
        <f t="shared" si="81"/>
        <v>135.113</v>
      </c>
      <c r="Y40" s="35">
        <f t="shared" si="81"/>
        <v>151.91400000000002</v>
      </c>
      <c r="Z40" s="35">
        <f t="shared" si="81"/>
        <v>141.24599999999998</v>
      </c>
      <c r="AA40" s="35">
        <f t="shared" si="81"/>
        <v>184.76000000000002</v>
      </c>
      <c r="AB40" s="35">
        <f t="shared" si="81"/>
        <v>247.84100000000001</v>
      </c>
      <c r="AC40" s="35">
        <f t="shared" si="81"/>
        <v>266.49899999999991</v>
      </c>
      <c r="AD40" s="35">
        <f t="shared" si="81"/>
        <v>202.97899999999993</v>
      </c>
      <c r="AE40" s="35">
        <f t="shared" si="81"/>
        <v>40.561999999999983</v>
      </c>
      <c r="AF40" s="35">
        <f t="shared" si="81"/>
        <v>20.333999999999932</v>
      </c>
      <c r="AG40" s="35">
        <f t="shared" si="81"/>
        <v>-156.553</v>
      </c>
      <c r="AH40" s="35">
        <f t="shared" si="81"/>
        <v>-90.723999999999975</v>
      </c>
      <c r="AI40" s="35">
        <f t="shared" si="81"/>
        <v>8.9469999999999743</v>
      </c>
      <c r="AJ40" s="35">
        <f t="shared" si="81"/>
        <v>83.73</v>
      </c>
      <c r="AK40" s="35">
        <f t="shared" si="81"/>
        <v>134.28199999999998</v>
      </c>
      <c r="AL40" s="35">
        <f t="shared" si="81"/>
        <v>147.39299999999997</v>
      </c>
      <c r="AM40" s="35">
        <f t="shared" si="81"/>
        <v>18.690999999999903</v>
      </c>
      <c r="AN40" s="35">
        <f t="shared" si="81"/>
        <v>103.78300000000003</v>
      </c>
      <c r="AO40" s="35">
        <f t="shared" si="81"/>
        <v>122.77799999999999</v>
      </c>
      <c r="AP40" s="35">
        <f t="shared" si="81"/>
        <v>154.86200000000002</v>
      </c>
      <c r="AQ40" s="35">
        <f t="shared" si="81"/>
        <v>181.59199999999998</v>
      </c>
      <c r="AR40" s="35">
        <f t="shared" si="81"/>
        <v>203.50299999999999</v>
      </c>
      <c r="AS40" s="35">
        <f t="shared" si="81"/>
        <v>134.6689999999999</v>
      </c>
      <c r="AT40" s="35">
        <f t="shared" si="81"/>
        <v>82.339000000000055</v>
      </c>
      <c r="AU40" s="35">
        <f t="shared" si="81"/>
        <v>168.60899999999992</v>
      </c>
      <c r="AV40" s="35">
        <f t="shared" si="81"/>
        <v>261.28499999999991</v>
      </c>
      <c r="AW40" s="35">
        <f t="shared" si="81"/>
        <v>192.27100000000007</v>
      </c>
      <c r="AX40" s="35">
        <f t="shared" si="81"/>
        <v>91.641999999999982</v>
      </c>
      <c r="AY40" s="35">
        <f t="shared" si="81"/>
        <v>116.78800000000008</v>
      </c>
      <c r="AZ40" s="35">
        <f t="shared" si="81"/>
        <v>147.80000000000013</v>
      </c>
      <c r="BA40" s="35">
        <f t="shared" si="81"/>
        <v>171.68700000000007</v>
      </c>
      <c r="BB40" s="35">
        <f t="shared" si="81"/>
        <v>160.80000000000013</v>
      </c>
      <c r="BC40" s="35">
        <f t="shared" si="81"/>
        <v>172.35200000000003</v>
      </c>
      <c r="BD40" s="35">
        <f t="shared" si="81"/>
        <v>222.88700000000011</v>
      </c>
      <c r="BE40" s="35">
        <f t="shared" si="81"/>
        <v>240.30499999999995</v>
      </c>
      <c r="BF40" s="35">
        <f t="shared" si="81"/>
        <v>185</v>
      </c>
      <c r="BG40" s="35">
        <f t="shared" si="81"/>
        <v>184</v>
      </c>
      <c r="BH40" s="35">
        <f t="shared" si="81"/>
        <v>257</v>
      </c>
      <c r="BI40" s="35">
        <f t="shared" si="81"/>
        <v>295</v>
      </c>
      <c r="BJ40" s="35">
        <f t="shared" si="81"/>
        <v>269</v>
      </c>
      <c r="BK40" s="620">
        <f t="shared" si="81"/>
        <v>324</v>
      </c>
      <c r="BL40" s="620">
        <f t="shared" si="81"/>
        <v>643</v>
      </c>
      <c r="BM40" s="35">
        <f t="shared" si="81"/>
        <v>737</v>
      </c>
      <c r="BN40" s="35">
        <f t="shared" ref="BN40:DQ40" si="82">BN15-BN30-BN35</f>
        <v>560</v>
      </c>
      <c r="BO40" s="35">
        <f t="shared" si="82"/>
        <v>692</v>
      </c>
      <c r="BP40" s="35">
        <f t="shared" si="82"/>
        <v>898</v>
      </c>
      <c r="BQ40" s="35">
        <f t="shared" si="82"/>
        <v>1076</v>
      </c>
      <c r="BR40" s="35">
        <f t="shared" si="82"/>
        <v>1299</v>
      </c>
      <c r="BS40" s="35">
        <f t="shared" si="82"/>
        <v>1159</v>
      </c>
      <c r="BT40" s="35">
        <f t="shared" si="82"/>
        <v>1070</v>
      </c>
      <c r="BU40" s="35">
        <f t="shared" si="82"/>
        <v>323</v>
      </c>
      <c r="BV40" s="35">
        <f t="shared" si="82"/>
        <v>379</v>
      </c>
      <c r="BW40" s="35">
        <f t="shared" si="82"/>
        <v>578</v>
      </c>
      <c r="BX40" s="35">
        <f t="shared" si="82"/>
        <v>934</v>
      </c>
      <c r="BY40" s="35">
        <f t="shared" si="82"/>
        <v>1000</v>
      </c>
      <c r="BZ40" s="35">
        <f t="shared" si="82"/>
        <v>981</v>
      </c>
      <c r="CA40" s="35">
        <f t="shared" si="82"/>
        <v>1142</v>
      </c>
      <c r="CB40" s="35">
        <f t="shared" si="82"/>
        <v>1610</v>
      </c>
      <c r="CC40" s="35">
        <f t="shared" si="82"/>
        <v>1672</v>
      </c>
      <c r="CD40" s="35">
        <f t="shared" si="82"/>
        <v>2128</v>
      </c>
      <c r="CE40" s="35">
        <f t="shared" si="82"/>
        <v>2606</v>
      </c>
      <c r="CF40" s="35">
        <f t="shared" si="82"/>
        <v>2827</v>
      </c>
      <c r="CG40" s="35">
        <f t="shared" si="82"/>
        <v>3126</v>
      </c>
      <c r="CH40" s="35">
        <f t="shared" si="82"/>
        <v>3377</v>
      </c>
      <c r="CI40" s="35">
        <f t="shared" si="82"/>
        <v>676</v>
      </c>
      <c r="CJ40" s="35">
        <f t="shared" si="82"/>
        <v>791</v>
      </c>
      <c r="CK40" s="35">
        <f t="shared" si="82"/>
        <v>1485</v>
      </c>
      <c r="CL40" s="35">
        <f t="shared" si="82"/>
        <v>2317</v>
      </c>
      <c r="CM40" s="35">
        <f t="shared" si="82"/>
        <v>6934</v>
      </c>
      <c r="CN40" s="35">
        <f>CN15-CN30-CN35</f>
        <v>10578</v>
      </c>
      <c r="CO40" s="35">
        <f>CO15-CO30-CO35</f>
        <v>13756</v>
      </c>
      <c r="CP40" s="35">
        <f>CP15-CP30-CP35</f>
        <v>17048</v>
      </c>
      <c r="CQ40" s="35">
        <f t="shared" si="82"/>
        <v>18783</v>
      </c>
      <c r="CR40" s="35">
        <f t="shared" si="82"/>
        <v>22024</v>
      </c>
      <c r="CS40" s="35">
        <f t="shared" si="82"/>
        <v>24195</v>
      </c>
      <c r="CT40" s="35">
        <f t="shared" si="82"/>
        <v>21801</v>
      </c>
      <c r="CU40" s="35">
        <f t="shared" si="82"/>
        <v>28541</v>
      </c>
      <c r="CV40" s="35">
        <f t="shared" si="82"/>
        <v>36097</v>
      </c>
      <c r="CW40" s="35">
        <f>CW15-CW30-CW35</f>
        <v>44474</v>
      </c>
      <c r="CX40" s="35">
        <f>CX15-CX30-CX35</f>
        <v>53783</v>
      </c>
      <c r="CY40" s="48">
        <f t="shared" si="82"/>
        <v>61442.009024745872</v>
      </c>
      <c r="CZ40" s="48">
        <f t="shared" si="82"/>
        <v>74185.821310481551</v>
      </c>
      <c r="DA40" s="48">
        <f t="shared" si="82"/>
        <v>85091.533457705271</v>
      </c>
      <c r="DB40" s="48">
        <f t="shared" si="82"/>
        <v>93179.657469663071</v>
      </c>
      <c r="DC40" s="48">
        <f t="shared" si="82"/>
        <v>102474.65311660673</v>
      </c>
      <c r="DD40" s="48">
        <f t="shared" si="82"/>
        <v>115155.73992156693</v>
      </c>
      <c r="DE40" s="48">
        <f t="shared" si="82"/>
        <v>122998.02836177971</v>
      </c>
      <c r="DF40" s="48">
        <f t="shared" si="82"/>
        <v>126142.59733663374</v>
      </c>
      <c r="DG40" s="48">
        <f t="shared" si="82"/>
        <v>129947.12058882328</v>
      </c>
      <c r="DH40" s="48">
        <f t="shared" si="82"/>
        <v>139595.36122585408</v>
      </c>
      <c r="DI40" s="48">
        <f t="shared" si="82"/>
        <v>146868.48453056763</v>
      </c>
      <c r="DJ40" s="48">
        <f t="shared" si="82"/>
        <v>147833.56245581582</v>
      </c>
      <c r="DK40" s="48">
        <f t="shared" si="82"/>
        <v>149368.14104433078</v>
      </c>
      <c r="DL40" s="48">
        <f t="shared" si="82"/>
        <v>154337.74260096141</v>
      </c>
      <c r="DM40" s="48">
        <f t="shared" si="82"/>
        <v>157616.14275023126</v>
      </c>
      <c r="DN40" s="48">
        <f t="shared" si="82"/>
        <v>160313.56558846342</v>
      </c>
      <c r="DO40" s="48">
        <f t="shared" si="82"/>
        <v>165257.42916202266</v>
      </c>
      <c r="DP40" s="48">
        <f t="shared" si="82"/>
        <v>175708.14546526101</v>
      </c>
      <c r="DQ40" s="48">
        <f t="shared" si="82"/>
        <v>182992.66436725185</v>
      </c>
      <c r="DT40" s="35">
        <f>SUM(B40:E40)</f>
        <v>268.13299999999998</v>
      </c>
      <c r="DU40" s="35">
        <f>SUM(F40:I40)</f>
        <v>186.45299999999992</v>
      </c>
      <c r="DV40" s="35">
        <f>SUM(J40:M40)</f>
        <v>93.657000000000053</v>
      </c>
      <c r="DW40" s="35">
        <f>SUM(N40:Q40)</f>
        <v>113.5929999999999</v>
      </c>
      <c r="DX40" s="35">
        <f>SUM(R40:U40)</f>
        <v>354.25500000000005</v>
      </c>
      <c r="DY40" s="35">
        <f>SUM(V40:Y40)</f>
        <v>484.35200000000009</v>
      </c>
      <c r="DZ40" s="35">
        <f>SUM(Z40:AC40)</f>
        <v>840.34599999999989</v>
      </c>
      <c r="EA40" s="35">
        <f>SUM(AD40:AG40)</f>
        <v>107.32199999999983</v>
      </c>
      <c r="EB40" s="35">
        <f>SUM(AH40:AK40)</f>
        <v>136.23499999999999</v>
      </c>
      <c r="EC40" s="35">
        <f>SUM(AL40:AO40)</f>
        <v>392.64499999999987</v>
      </c>
      <c r="ED40" s="35">
        <f>SUM(AP40:AS40)</f>
        <v>674.62599999999986</v>
      </c>
      <c r="EE40" s="35">
        <f>SUM(AT40:AW40)</f>
        <v>704.50400000000002</v>
      </c>
      <c r="EF40" s="35">
        <f>SUM(AX40:BA40)</f>
        <v>527.91700000000026</v>
      </c>
      <c r="EG40" s="35">
        <f>SUM(BB40:BE40)</f>
        <v>796.34400000000016</v>
      </c>
      <c r="EH40" s="35">
        <f>SUM(BF40:BI40)</f>
        <v>921</v>
      </c>
      <c r="EI40" s="35">
        <f>SUM(BJ40:BM40)</f>
        <v>1973</v>
      </c>
      <c r="EJ40" s="35">
        <f>SUM(BN40:BQ40)</f>
        <v>3226</v>
      </c>
      <c r="EK40" s="35">
        <f>SUM(BR40:BU40)</f>
        <v>3851</v>
      </c>
      <c r="EL40" s="35">
        <f>BV40+BW40+BX40+BY40</f>
        <v>2891</v>
      </c>
      <c r="EM40" s="35">
        <f>CC40+CB40+CA40+BZ40</f>
        <v>5405</v>
      </c>
      <c r="EN40" s="35">
        <f>+CD40+CE40+CF40+CG40</f>
        <v>10687</v>
      </c>
      <c r="EO40" s="35">
        <f>SUM(CH40:CK40)</f>
        <v>6329</v>
      </c>
      <c r="EP40" s="35">
        <f>SUM(CL40:CO40)</f>
        <v>33585</v>
      </c>
      <c r="EQ40" s="35">
        <f>SUM(CP40:CS40)</f>
        <v>82050</v>
      </c>
      <c r="ER40" s="35">
        <f>SUM(CT40:CW40)</f>
        <v>130913</v>
      </c>
      <c r="ES40" s="48">
        <f>SUM(CX40:DA40)</f>
        <v>274502.36379293271</v>
      </c>
      <c r="ET40" s="48">
        <f>SUM(DB40:DE40)</f>
        <v>433808.07886961644</v>
      </c>
      <c r="EU40" s="48">
        <f>SUM(DF40:DI40)</f>
        <v>542553.56368187873</v>
      </c>
      <c r="EV40" s="48">
        <f>SUM(DJ40:DM40)</f>
        <v>609155.5888513393</v>
      </c>
      <c r="EW40" s="48">
        <f>SUM(DN40:DQ40)</f>
        <v>684271.80458299897</v>
      </c>
    </row>
    <row r="41" spans="1:155" s="52" customFormat="1" ht="11.25" customHeight="1">
      <c r="A41" s="51" t="s">
        <v>223</v>
      </c>
      <c r="C41" s="52">
        <f t="shared" ref="C41:BN41" si="83">C40/B40-1</f>
        <v>0.13085519350664643</v>
      </c>
      <c r="D41" s="52">
        <f t="shared" si="83"/>
        <v>0.33694634572575799</v>
      </c>
      <c r="E41" s="52">
        <f t="shared" si="83"/>
        <v>0.76303627281639463</v>
      </c>
      <c r="F41" s="52">
        <f t="shared" si="83"/>
        <v>3.4360712457413012E-2</v>
      </c>
      <c r="G41" s="52">
        <f t="shared" si="83"/>
        <v>-0.76819892312549554</v>
      </c>
      <c r="H41" s="52">
        <f t="shared" si="83"/>
        <v>-0.56834161605006583</v>
      </c>
      <c r="I41" s="52">
        <f t="shared" si="83"/>
        <v>1.5900562851782385</v>
      </c>
      <c r="J41" s="52">
        <f t="shared" si="83"/>
        <v>-0.13246188798524772</v>
      </c>
      <c r="K41" s="52">
        <f t="shared" si="83"/>
        <v>-6.5128282981631536E-2</v>
      </c>
      <c r="L41" s="52">
        <f t="shared" si="83"/>
        <v>-0.23428873010717643</v>
      </c>
      <c r="M41" s="52">
        <f t="shared" si="83"/>
        <v>0.26271141508933904</v>
      </c>
      <c r="N41" s="52">
        <f t="shared" si="83"/>
        <v>2.6872690628099161E-3</v>
      </c>
      <c r="O41" s="52">
        <f t="shared" si="83"/>
        <v>-0.84091289782244683</v>
      </c>
      <c r="P41" s="52">
        <f t="shared" si="83"/>
        <v>6.5698868123191234</v>
      </c>
      <c r="Q41" s="52">
        <f t="shared" si="83"/>
        <v>0.98748174421030499</v>
      </c>
      <c r="R41" s="52">
        <f t="shared" si="83"/>
        <v>0.33287843795927019</v>
      </c>
      <c r="S41" s="52">
        <f t="shared" si="83"/>
        <v>5.0602504528628245E-2</v>
      </c>
      <c r="T41" s="52">
        <f t="shared" si="83"/>
        <v>7.067981058760231E-2</v>
      </c>
      <c r="U41" s="52">
        <f t="shared" si="83"/>
        <v>0.31096692883982713</v>
      </c>
      <c r="V41" s="52">
        <f t="shared" si="83"/>
        <v>-9.6428762172651838E-2</v>
      </c>
      <c r="W41" s="52">
        <f t="shared" si="83"/>
        <v>-5.6083697012087264E-2</v>
      </c>
      <c r="X41" s="52">
        <f t="shared" si="83"/>
        <v>0.41012983217834131</v>
      </c>
      <c r="Y41" s="52">
        <f t="shared" si="83"/>
        <v>0.12434776816442539</v>
      </c>
      <c r="Z41" s="52">
        <f t="shared" si="83"/>
        <v>-7.0223942493779612E-2</v>
      </c>
      <c r="AA41" s="52">
        <f t="shared" si="83"/>
        <v>0.30807244098947972</v>
      </c>
      <c r="AB41" s="52">
        <f t="shared" si="83"/>
        <v>0.34142130331240517</v>
      </c>
      <c r="AC41" s="52">
        <f t="shared" si="83"/>
        <v>7.5282136531082067E-2</v>
      </c>
      <c r="AD41" s="52">
        <f t="shared" si="83"/>
        <v>-0.23834986247603185</v>
      </c>
      <c r="AE41" s="52">
        <f t="shared" si="83"/>
        <v>-0.80016651968922892</v>
      </c>
      <c r="AF41" s="52">
        <f t="shared" si="83"/>
        <v>-0.49869335831566641</v>
      </c>
      <c r="AG41" s="52">
        <f t="shared" si="83"/>
        <v>-8.699075440149528</v>
      </c>
      <c r="AH41" s="52">
        <f t="shared" si="83"/>
        <v>-0.42049018543240957</v>
      </c>
      <c r="AI41" s="52">
        <f t="shared" si="83"/>
        <v>-1.0986177858119128</v>
      </c>
      <c r="AJ41" s="52">
        <f t="shared" si="83"/>
        <v>8.358444171230607</v>
      </c>
      <c r="AK41" s="52">
        <f t="shared" si="83"/>
        <v>0.6037501492893822</v>
      </c>
      <c r="AL41" s="52">
        <f t="shared" si="83"/>
        <v>9.7637807003172261E-2</v>
      </c>
      <c r="AM41" s="52">
        <f t="shared" si="83"/>
        <v>-0.87318936448813778</v>
      </c>
      <c r="AN41" s="52">
        <f t="shared" si="83"/>
        <v>4.5525654058103138</v>
      </c>
      <c r="AO41" s="52">
        <f t="shared" si="83"/>
        <v>0.18302612181185696</v>
      </c>
      <c r="AP41" s="52">
        <f t="shared" si="83"/>
        <v>0.26131717408656296</v>
      </c>
      <c r="AQ41" s="52">
        <f t="shared" si="83"/>
        <v>0.17260528728803681</v>
      </c>
      <c r="AR41" s="52">
        <f t="shared" si="83"/>
        <v>0.12066060178862514</v>
      </c>
      <c r="AS41" s="52">
        <f t="shared" si="83"/>
        <v>-0.33824562782858281</v>
      </c>
      <c r="AT41" s="52">
        <f t="shared" si="83"/>
        <v>-0.38858237604793888</v>
      </c>
      <c r="AU41" s="52">
        <f t="shared" si="83"/>
        <v>1.0477416534084676</v>
      </c>
      <c r="AV41" s="52">
        <f t="shared" si="83"/>
        <v>0.5496503745351673</v>
      </c>
      <c r="AW41" s="52">
        <f t="shared" si="83"/>
        <v>-0.26413303480873318</v>
      </c>
      <c r="AX41" s="52">
        <f t="shared" si="83"/>
        <v>-0.52337065912176073</v>
      </c>
      <c r="AY41" s="52">
        <f t="shared" si="83"/>
        <v>0.27439383688701802</v>
      </c>
      <c r="AZ41" s="52">
        <f t="shared" si="83"/>
        <v>0.26554098023769579</v>
      </c>
      <c r="BA41" s="52">
        <f t="shared" si="83"/>
        <v>0.16161705006765859</v>
      </c>
      <c r="BB41" s="52">
        <f t="shared" si="83"/>
        <v>-6.3411906550874253E-2</v>
      </c>
      <c r="BC41" s="52">
        <f t="shared" si="83"/>
        <v>7.18407960198999E-2</v>
      </c>
      <c r="BD41" s="52">
        <f t="shared" si="83"/>
        <v>0.29320808577794333</v>
      </c>
      <c r="BE41" s="52">
        <f t="shared" si="83"/>
        <v>7.8147222583640152E-2</v>
      </c>
      <c r="BF41" s="52">
        <f t="shared" si="83"/>
        <v>-0.23014502403195924</v>
      </c>
      <c r="BG41" s="52">
        <f t="shared" si="83"/>
        <v>-5.4054054054053502E-3</v>
      </c>
      <c r="BH41" s="52">
        <f t="shared" si="83"/>
        <v>0.39673913043478271</v>
      </c>
      <c r="BI41" s="52">
        <f t="shared" si="83"/>
        <v>0.14785992217898825</v>
      </c>
      <c r="BJ41" s="52">
        <f>BJ40/BI40-1</f>
        <v>-8.8135593220339037E-2</v>
      </c>
      <c r="BK41" s="621">
        <f t="shared" si="83"/>
        <v>0.20446096654275103</v>
      </c>
      <c r="BL41" s="621">
        <f t="shared" si="83"/>
        <v>0.98456790123456783</v>
      </c>
      <c r="BM41" s="52">
        <f t="shared" si="83"/>
        <v>0.14618973561430804</v>
      </c>
      <c r="BN41" s="52">
        <f t="shared" si="83"/>
        <v>-0.24016282225237451</v>
      </c>
      <c r="BO41" s="52">
        <f t="shared" ref="BO41:DQ41" si="84">BO40/BN40-1</f>
        <v>0.23571428571428577</v>
      </c>
      <c r="BP41" s="52">
        <f t="shared" si="84"/>
        <v>0.29768786127167624</v>
      </c>
      <c r="BQ41" s="52">
        <f t="shared" si="84"/>
        <v>0.19821826280623611</v>
      </c>
      <c r="BR41" s="52">
        <f t="shared" si="84"/>
        <v>0.20724907063197029</v>
      </c>
      <c r="BS41" s="52">
        <f t="shared" si="84"/>
        <v>-0.10777521170130866</v>
      </c>
      <c r="BT41" s="52">
        <f t="shared" si="84"/>
        <v>-7.6790336496980194E-2</v>
      </c>
      <c r="BU41" s="52">
        <f t="shared" si="84"/>
        <v>-0.69813084112149526</v>
      </c>
      <c r="BV41" s="52">
        <f t="shared" si="84"/>
        <v>0.17337461300309598</v>
      </c>
      <c r="BW41" s="52">
        <f t="shared" si="84"/>
        <v>0.52506596306068598</v>
      </c>
      <c r="BX41" s="52">
        <f t="shared" si="84"/>
        <v>0.61591695501730115</v>
      </c>
      <c r="BY41" s="52">
        <f t="shared" si="84"/>
        <v>7.0663811563169254E-2</v>
      </c>
      <c r="BZ41" s="52">
        <f t="shared" si="84"/>
        <v>-1.9000000000000017E-2</v>
      </c>
      <c r="CA41" s="52">
        <f t="shared" si="84"/>
        <v>0.1641182466870541</v>
      </c>
      <c r="CB41" s="52">
        <f t="shared" si="84"/>
        <v>0.40980735551663749</v>
      </c>
      <c r="CC41" s="52">
        <f t="shared" si="84"/>
        <v>3.850931677018643E-2</v>
      </c>
      <c r="CD41" s="52">
        <f t="shared" si="84"/>
        <v>0.27272727272727271</v>
      </c>
      <c r="CE41" s="52">
        <f t="shared" si="84"/>
        <v>0.22462406015037595</v>
      </c>
      <c r="CF41" s="52">
        <f t="shared" si="84"/>
        <v>8.4804297774366821E-2</v>
      </c>
      <c r="CG41" s="52">
        <f t="shared" si="84"/>
        <v>0.10576582950123803</v>
      </c>
      <c r="CH41" s="52">
        <f t="shared" si="84"/>
        <v>8.0294305822136813E-2</v>
      </c>
      <c r="CI41" s="52">
        <f t="shared" si="84"/>
        <v>-0.7998223275096239</v>
      </c>
      <c r="CJ41" s="52">
        <f t="shared" si="84"/>
        <v>0.1701183431952662</v>
      </c>
      <c r="CK41" s="52">
        <f t="shared" si="84"/>
        <v>0.87737041719342601</v>
      </c>
      <c r="CL41" s="52">
        <f t="shared" si="84"/>
        <v>0.56026936026936025</v>
      </c>
      <c r="CM41" s="52">
        <f t="shared" si="84"/>
        <v>1.9926629261976694</v>
      </c>
      <c r="CN41" s="52">
        <f t="shared" si="84"/>
        <v>0.52552639169310633</v>
      </c>
      <c r="CO41" s="52">
        <f t="shared" si="84"/>
        <v>0.30043486481376447</v>
      </c>
      <c r="CP41" s="52">
        <f t="shared" si="84"/>
        <v>0.23931375399825527</v>
      </c>
      <c r="CQ41" s="52">
        <f t="shared" si="84"/>
        <v>0.10177146879399346</v>
      </c>
      <c r="CR41" s="52">
        <f t="shared" si="84"/>
        <v>0.17254964595644995</v>
      </c>
      <c r="CS41" s="52">
        <f t="shared" si="84"/>
        <v>9.8574282600799146E-2</v>
      </c>
      <c r="CT41" s="52">
        <f t="shared" si="84"/>
        <v>-9.8946063236205806E-2</v>
      </c>
      <c r="CU41" s="52">
        <f t="shared" si="84"/>
        <v>0.30916013026925371</v>
      </c>
      <c r="CV41" s="52">
        <f t="shared" si="84"/>
        <v>0.26474195017693836</v>
      </c>
      <c r="CW41" s="52">
        <f t="shared" si="84"/>
        <v>0.23206914702052805</v>
      </c>
      <c r="CX41" s="52">
        <f t="shared" si="84"/>
        <v>0.20931330665107706</v>
      </c>
      <c r="CY41" s="53">
        <f t="shared" si="84"/>
        <v>0.14240576064455079</v>
      </c>
      <c r="CZ41" s="53">
        <f t="shared" si="84"/>
        <v>0.20741203759471949</v>
      </c>
      <c r="DA41" s="53">
        <f t="shared" si="84"/>
        <v>0.14700534353567751</v>
      </c>
      <c r="DB41" s="53">
        <f t="shared" si="84"/>
        <v>9.5052041998725967E-2</v>
      </c>
      <c r="DC41" s="53">
        <f t="shared" si="84"/>
        <v>9.9753485893311789E-2</v>
      </c>
      <c r="DD41" s="53">
        <f t="shared" si="84"/>
        <v>0.12374852140782844</v>
      </c>
      <c r="DE41" s="53">
        <f t="shared" si="84"/>
        <v>6.8101585257966279E-2</v>
      </c>
      <c r="DF41" s="53">
        <f t="shared" si="84"/>
        <v>2.5566011233975061E-2</v>
      </c>
      <c r="DG41" s="53">
        <f t="shared" si="84"/>
        <v>3.0160495601945669E-2</v>
      </c>
      <c r="DH41" s="53">
        <f t="shared" si="84"/>
        <v>7.4247436905967357E-2</v>
      </c>
      <c r="DI41" s="53">
        <f t="shared" si="84"/>
        <v>5.2101468421620556E-2</v>
      </c>
      <c r="DJ41" s="53">
        <f t="shared" si="84"/>
        <v>6.5710348161680532E-3</v>
      </c>
      <c r="DK41" s="53">
        <f t="shared" si="84"/>
        <v>1.0380447870040443E-2</v>
      </c>
      <c r="DL41" s="53">
        <f t="shared" si="84"/>
        <v>3.3270826843561752E-2</v>
      </c>
      <c r="DM41" s="53">
        <f t="shared" si="84"/>
        <v>2.1241726709364306E-2</v>
      </c>
      <c r="DN41" s="53">
        <f t="shared" si="84"/>
        <v>1.7113874195656908E-2</v>
      </c>
      <c r="DO41" s="53">
        <f t="shared" si="84"/>
        <v>3.0838710095504318E-2</v>
      </c>
      <c r="DP41" s="53">
        <f t="shared" si="84"/>
        <v>6.3239010531818129E-2</v>
      </c>
      <c r="DQ41" s="53">
        <f t="shared" si="84"/>
        <v>4.1458060368812388E-2</v>
      </c>
      <c r="DT41" s="54" t="s">
        <v>224</v>
      </c>
      <c r="DU41" s="54" t="s">
        <v>224</v>
      </c>
      <c r="DV41" s="54" t="s">
        <v>224</v>
      </c>
      <c r="DW41" s="54" t="s">
        <v>224</v>
      </c>
      <c r="DX41" s="54" t="s">
        <v>224</v>
      </c>
      <c r="DY41" s="54" t="s">
        <v>224</v>
      </c>
      <c r="DZ41" s="54" t="s">
        <v>224</v>
      </c>
      <c r="EA41" s="54" t="s">
        <v>224</v>
      </c>
      <c r="EB41" s="54" t="s">
        <v>224</v>
      </c>
      <c r="EC41" s="54" t="s">
        <v>224</v>
      </c>
      <c r="ED41" s="54" t="s">
        <v>224</v>
      </c>
      <c r="EE41" s="54" t="s">
        <v>224</v>
      </c>
      <c r="EF41" s="54" t="s">
        <v>224</v>
      </c>
      <c r="EG41" s="54" t="s">
        <v>224</v>
      </c>
      <c r="EH41" s="54" t="s">
        <v>224</v>
      </c>
      <c r="EI41" s="54" t="s">
        <v>224</v>
      </c>
      <c r="EJ41" s="54" t="s">
        <v>224</v>
      </c>
      <c r="EK41" s="54" t="s">
        <v>224</v>
      </c>
      <c r="EL41" s="54" t="s">
        <v>224</v>
      </c>
      <c r="EM41" s="54" t="s">
        <v>224</v>
      </c>
      <c r="EN41" s="54" t="s">
        <v>224</v>
      </c>
      <c r="EO41" s="54" t="s">
        <v>224</v>
      </c>
      <c r="EP41" s="54" t="s">
        <v>224</v>
      </c>
      <c r="EQ41" s="54" t="s">
        <v>224</v>
      </c>
      <c r="ER41" s="54" t="s">
        <v>224</v>
      </c>
      <c r="ES41" s="55" t="s">
        <v>224</v>
      </c>
      <c r="ET41" s="55" t="s">
        <v>224</v>
      </c>
      <c r="EU41" s="55" t="s">
        <v>224</v>
      </c>
      <c r="EV41" s="55" t="s">
        <v>224</v>
      </c>
      <c r="EW41" s="55" t="s">
        <v>224</v>
      </c>
    </row>
    <row r="42" spans="1:155" s="52" customFormat="1" ht="12" customHeight="1">
      <c r="A42" s="51" t="s">
        <v>225</v>
      </c>
      <c r="F42" s="52">
        <f t="shared" ref="F42:BQ42" si="85">F40/B40-1</f>
        <v>1.7571109281261017</v>
      </c>
      <c r="G42" s="52">
        <f t="shared" si="85"/>
        <v>-0.43485135331932434</v>
      </c>
      <c r="H42" s="52">
        <f t="shared" si="85"/>
        <v>-0.81753108320495493</v>
      </c>
      <c r="I42" s="52">
        <f t="shared" si="85"/>
        <v>-0.73193701565782299</v>
      </c>
      <c r="J42" s="52">
        <f t="shared" si="85"/>
        <v>-0.77517044824261228</v>
      </c>
      <c r="K42" s="52">
        <f t="shared" si="85"/>
        <v>-9.3244984354870164E-2</v>
      </c>
      <c r="L42" s="52">
        <f t="shared" si="85"/>
        <v>0.60847688896469854</v>
      </c>
      <c r="M42" s="52">
        <f t="shared" si="85"/>
        <v>-0.21583089131078759</v>
      </c>
      <c r="N42" s="52">
        <f t="shared" si="85"/>
        <v>-9.3669348717173473E-2</v>
      </c>
      <c r="O42" s="52">
        <f t="shared" si="85"/>
        <v>-0.84576973043196002</v>
      </c>
      <c r="P42" s="52">
        <f t="shared" si="85"/>
        <v>0.52473357722284053</v>
      </c>
      <c r="Q42" s="52">
        <f t="shared" si="85"/>
        <v>1.3998992274101401</v>
      </c>
      <c r="R42" s="52">
        <f t="shared" si="85"/>
        <v>2.1902010050251377</v>
      </c>
      <c r="S42" s="52">
        <f t="shared" si="85"/>
        <v>20.067912608581448</v>
      </c>
      <c r="T42" s="52">
        <f t="shared" si="85"/>
        <v>1.9798316990054894</v>
      </c>
      <c r="U42" s="52">
        <f t="shared" si="85"/>
        <v>0.96553292742669283</v>
      </c>
      <c r="V42" s="52">
        <f t="shared" si="85"/>
        <v>0.33245386049197889</v>
      </c>
      <c r="W42" s="52">
        <f t="shared" si="85"/>
        <v>0.1971463198270802</v>
      </c>
      <c r="X42" s="52">
        <f t="shared" si="85"/>
        <v>0.5766914836511321</v>
      </c>
      <c r="Y42" s="52">
        <f t="shared" si="85"/>
        <v>0.3522458207972079</v>
      </c>
      <c r="Z42" s="52">
        <f t="shared" si="85"/>
        <v>0.39146282595631887</v>
      </c>
      <c r="AA42" s="52">
        <f t="shared" si="85"/>
        <v>0.92827920180345624</v>
      </c>
      <c r="AB42" s="52">
        <f t="shared" si="85"/>
        <v>0.83432386224863642</v>
      </c>
      <c r="AC42" s="52">
        <f t="shared" si="85"/>
        <v>0.75427544531774471</v>
      </c>
      <c r="AD42" s="52">
        <f t="shared" si="85"/>
        <v>0.43706016453563246</v>
      </c>
      <c r="AE42" s="52">
        <f t="shared" si="85"/>
        <v>-0.78046113877462664</v>
      </c>
      <c r="AF42" s="52">
        <f t="shared" si="85"/>
        <v>-0.91795546338176526</v>
      </c>
      <c r="AG42" s="52">
        <f t="shared" si="85"/>
        <v>-1.587443104852176</v>
      </c>
      <c r="AH42" s="52">
        <f t="shared" si="85"/>
        <v>-1.4469624936569794</v>
      </c>
      <c r="AI42" s="52">
        <f t="shared" si="85"/>
        <v>-0.77942409151422565</v>
      </c>
      <c r="AJ42" s="52">
        <f t="shared" si="85"/>
        <v>3.1177338447919878</v>
      </c>
      <c r="AK42" s="52">
        <f t="shared" si="85"/>
        <v>-1.8577414677457473</v>
      </c>
      <c r="AL42" s="52">
        <f t="shared" si="85"/>
        <v>-2.6246307482033422</v>
      </c>
      <c r="AM42" s="52">
        <f t="shared" si="85"/>
        <v>1.0890801385939373</v>
      </c>
      <c r="AN42" s="52">
        <f t="shared" si="85"/>
        <v>0.23949599904454821</v>
      </c>
      <c r="AO42" s="52">
        <f t="shared" si="85"/>
        <v>-8.5670454714704802E-2</v>
      </c>
      <c r="AP42" s="52">
        <f t="shared" si="85"/>
        <v>5.0674048292660201E-2</v>
      </c>
      <c r="AQ42" s="52">
        <f t="shared" si="85"/>
        <v>8.715478037558233</v>
      </c>
      <c r="AR42" s="52">
        <f t="shared" si="85"/>
        <v>0.96085100642687071</v>
      </c>
      <c r="AS42" s="52">
        <f t="shared" si="85"/>
        <v>9.6849598462264375E-2</v>
      </c>
      <c r="AT42" s="52">
        <f t="shared" si="85"/>
        <v>-0.46830726711523785</v>
      </c>
      <c r="AU42" s="52">
        <f t="shared" si="85"/>
        <v>-7.1495440327768112E-2</v>
      </c>
      <c r="AV42" s="52">
        <f t="shared" si="85"/>
        <v>0.28393684613985992</v>
      </c>
      <c r="AW42" s="52">
        <f t="shared" si="85"/>
        <v>0.42773021259532795</v>
      </c>
      <c r="AX42" s="52">
        <f t="shared" si="85"/>
        <v>0.11298412659857315</v>
      </c>
      <c r="AY42" s="52">
        <f t="shared" si="85"/>
        <v>-0.30734421057001626</v>
      </c>
      <c r="AZ42" s="52">
        <f t="shared" si="85"/>
        <v>-0.4343341561896007</v>
      </c>
      <c r="BA42" s="52">
        <f t="shared" si="85"/>
        <v>-0.10705722651881977</v>
      </c>
      <c r="BB42" s="52">
        <f t="shared" si="85"/>
        <v>0.75465397961633474</v>
      </c>
      <c r="BC42" s="52">
        <f t="shared" si="85"/>
        <v>0.47576805836215974</v>
      </c>
      <c r="BD42" s="52">
        <f t="shared" si="85"/>
        <v>0.50803112313937704</v>
      </c>
      <c r="BE42" s="52">
        <f t="shared" si="85"/>
        <v>0.39966916539982567</v>
      </c>
      <c r="BF42" s="52">
        <f t="shared" si="85"/>
        <v>0.15049751243781007</v>
      </c>
      <c r="BG42" s="52">
        <f t="shared" si="85"/>
        <v>6.7582621611585347E-2</v>
      </c>
      <c r="BH42" s="52">
        <f t="shared" si="85"/>
        <v>0.15305064898356502</v>
      </c>
      <c r="BI42" s="52">
        <f t="shared" si="85"/>
        <v>0.2276065833003893</v>
      </c>
      <c r="BJ42" s="52">
        <f t="shared" si="85"/>
        <v>0.45405405405405408</v>
      </c>
      <c r="BK42" s="621">
        <f t="shared" si="85"/>
        <v>0.76086956521739135</v>
      </c>
      <c r="BL42" s="621">
        <f t="shared" si="85"/>
        <v>1.5019455252918288</v>
      </c>
      <c r="BM42" s="52">
        <f t="shared" si="85"/>
        <v>1.4983050847457626</v>
      </c>
      <c r="BN42" s="52">
        <f t="shared" si="85"/>
        <v>1.0817843866171004</v>
      </c>
      <c r="BO42" s="52">
        <f t="shared" si="85"/>
        <v>1.1358024691358026</v>
      </c>
      <c r="BP42" s="52">
        <f t="shared" si="85"/>
        <v>0.39657853810264387</v>
      </c>
      <c r="BQ42" s="52">
        <f t="shared" si="85"/>
        <v>0.4599728629579376</v>
      </c>
      <c r="BR42" s="52">
        <f t="shared" ref="BR42:DQ42" si="86">BR40/BN40-1</f>
        <v>1.3196428571428571</v>
      </c>
      <c r="BS42" s="52">
        <f t="shared" si="86"/>
        <v>0.67485549132947975</v>
      </c>
      <c r="BT42" s="52">
        <f t="shared" si="86"/>
        <v>0.19153674832962131</v>
      </c>
      <c r="BU42" s="52">
        <f t="shared" si="86"/>
        <v>-0.69981412639405205</v>
      </c>
      <c r="BV42" s="52">
        <f t="shared" si="86"/>
        <v>-0.70823710546574281</v>
      </c>
      <c r="BW42" s="52">
        <f t="shared" si="86"/>
        <v>-0.5012942191544435</v>
      </c>
      <c r="BX42" s="52">
        <f t="shared" si="86"/>
        <v>-0.12710280373831773</v>
      </c>
      <c r="BY42" s="52">
        <f t="shared" si="86"/>
        <v>2.0959752321981426</v>
      </c>
      <c r="BZ42" s="52">
        <f t="shared" si="86"/>
        <v>1.5883905013192612</v>
      </c>
      <c r="CA42" s="52">
        <f t="shared" si="86"/>
        <v>0.97577854671280284</v>
      </c>
      <c r="CB42" s="52">
        <f t="shared" si="86"/>
        <v>0.72376873661670227</v>
      </c>
      <c r="CC42" s="52">
        <f t="shared" si="86"/>
        <v>0.67199999999999993</v>
      </c>
      <c r="CD42" s="52">
        <f t="shared" si="86"/>
        <v>1.1692150866462794</v>
      </c>
      <c r="CE42" s="52">
        <f t="shared" si="86"/>
        <v>1.2819614711033274</v>
      </c>
      <c r="CF42" s="52">
        <f t="shared" si="86"/>
        <v>0.75590062111801237</v>
      </c>
      <c r="CG42" s="52">
        <f t="shared" si="86"/>
        <v>0.86961722488038284</v>
      </c>
      <c r="CH42" s="52">
        <f t="shared" si="86"/>
        <v>0.58693609022556381</v>
      </c>
      <c r="CI42" s="52">
        <f t="shared" si="86"/>
        <v>-0.74059861857252496</v>
      </c>
      <c r="CJ42" s="52">
        <f t="shared" si="86"/>
        <v>-0.72019808984789524</v>
      </c>
      <c r="CK42" s="52">
        <f t="shared" si="86"/>
        <v>-0.5249520153550864</v>
      </c>
      <c r="CL42" s="52">
        <f t="shared" si="86"/>
        <v>-0.31388806633106303</v>
      </c>
      <c r="CM42" s="52">
        <f t="shared" si="86"/>
        <v>9.2573964497041423</v>
      </c>
      <c r="CN42" s="52">
        <f t="shared" si="86"/>
        <v>12.372945638432364</v>
      </c>
      <c r="CO42" s="52">
        <f t="shared" si="86"/>
        <v>8.263299663299664</v>
      </c>
      <c r="CP42" s="52">
        <f t="shared" si="86"/>
        <v>6.3577902460077684</v>
      </c>
      <c r="CQ42" s="52">
        <f t="shared" si="86"/>
        <v>1.7088260744159216</v>
      </c>
      <c r="CR42" s="52">
        <f t="shared" si="86"/>
        <v>1.0820570996407639</v>
      </c>
      <c r="CS42" s="52">
        <f t="shared" si="86"/>
        <v>0.75886885722593767</v>
      </c>
      <c r="CT42" s="52">
        <f t="shared" si="86"/>
        <v>0.27880103237916476</v>
      </c>
      <c r="CU42" s="52">
        <f t="shared" si="86"/>
        <v>0.51951232497471111</v>
      </c>
      <c r="CV42" s="52">
        <f t="shared" si="86"/>
        <v>0.63898474391572835</v>
      </c>
      <c r="CW42" s="52">
        <f t="shared" si="86"/>
        <v>0.83814837776400086</v>
      </c>
      <c r="CX42" s="52">
        <f t="shared" si="86"/>
        <v>1.4669969267464795</v>
      </c>
      <c r="CY42" s="53">
        <f t="shared" si="86"/>
        <v>1.1527630084701261</v>
      </c>
      <c r="CZ42" s="53">
        <f t="shared" si="86"/>
        <v>1.055179691123405</v>
      </c>
      <c r="DA42" s="53">
        <f t="shared" si="86"/>
        <v>0.91328716683242495</v>
      </c>
      <c r="DB42" s="53">
        <f t="shared" si="86"/>
        <v>0.73251134130976459</v>
      </c>
      <c r="DC42" s="53">
        <f t="shared" si="86"/>
        <v>0.66782718767114035</v>
      </c>
      <c r="DD42" s="53">
        <f t="shared" si="86"/>
        <v>0.55226076745337349</v>
      </c>
      <c r="DE42" s="53">
        <f t="shared" si="86"/>
        <v>0.445479043140242</v>
      </c>
      <c r="DF42" s="53">
        <f t="shared" si="86"/>
        <v>0.35375682592203739</v>
      </c>
      <c r="DG42" s="53">
        <f t="shared" si="86"/>
        <v>0.26809036807331665</v>
      </c>
      <c r="DH42" s="53">
        <f t="shared" si="86"/>
        <v>0.21223103008962552</v>
      </c>
      <c r="DI42" s="53">
        <f t="shared" si="86"/>
        <v>0.19407186022995959</v>
      </c>
      <c r="DJ42" s="53">
        <f t="shared" si="86"/>
        <v>0.17195591003486244</v>
      </c>
      <c r="DK42" s="53">
        <f t="shared" si="86"/>
        <v>0.14945325735195936</v>
      </c>
      <c r="DL42" s="53">
        <f t="shared" si="86"/>
        <v>0.10560796036234565</v>
      </c>
      <c r="DM42" s="53">
        <f t="shared" si="86"/>
        <v>7.3178791583613956E-2</v>
      </c>
      <c r="DN42" s="53">
        <f t="shared" si="86"/>
        <v>8.4419281557782888E-2</v>
      </c>
      <c r="DO42" s="53">
        <f t="shared" si="86"/>
        <v>0.10637668787064913</v>
      </c>
      <c r="DP42" s="53">
        <f t="shared" si="86"/>
        <v>0.13846517711194295</v>
      </c>
      <c r="DQ42" s="53">
        <f t="shared" si="86"/>
        <v>0.16100204696186404</v>
      </c>
      <c r="DU42" s="52">
        <f>DU40/DT40-1</f>
        <v>-0.30462494359142689</v>
      </c>
      <c r="DV42" s="52">
        <f t="shared" ref="DV42:ET42" si="87">DV40/DU40-1</f>
        <v>-0.49769110714228204</v>
      </c>
      <c r="DW42" s="52">
        <f t="shared" si="87"/>
        <v>0.21286182559765776</v>
      </c>
      <c r="DX42" s="52">
        <f t="shared" si="87"/>
        <v>2.1186340707614058</v>
      </c>
      <c r="DY42" s="52">
        <f t="shared" si="87"/>
        <v>0.36724111162862916</v>
      </c>
      <c r="DZ42" s="52">
        <f t="shared" si="87"/>
        <v>0.73499025502114113</v>
      </c>
      <c r="EA42" s="52">
        <f t="shared" si="87"/>
        <v>-0.87228831933513118</v>
      </c>
      <c r="EB42" s="52">
        <f t="shared" si="87"/>
        <v>0.26940422280613663</v>
      </c>
      <c r="EC42" s="52">
        <f t="shared" si="87"/>
        <v>1.8821154622527243</v>
      </c>
      <c r="ED42" s="52">
        <f t="shared" si="87"/>
        <v>0.71815762329839949</v>
      </c>
      <c r="EE42" s="52">
        <f t="shared" si="87"/>
        <v>4.4288242670754041E-2</v>
      </c>
      <c r="EF42" s="52">
        <f t="shared" si="87"/>
        <v>-0.25065436108240657</v>
      </c>
      <c r="EG42" s="52">
        <f t="shared" si="87"/>
        <v>0.5084643987596531</v>
      </c>
      <c r="EH42" s="52">
        <f t="shared" si="87"/>
        <v>0.15653536662547829</v>
      </c>
      <c r="EI42" s="52">
        <f t="shared" si="87"/>
        <v>1.1422366992399566</v>
      </c>
      <c r="EJ42" s="52">
        <f t="shared" si="87"/>
        <v>0.63507349214394315</v>
      </c>
      <c r="EK42" s="52">
        <f t="shared" si="87"/>
        <v>0.19373837569745822</v>
      </c>
      <c r="EL42" s="52">
        <f t="shared" si="87"/>
        <v>-0.24928589976629445</v>
      </c>
      <c r="EM42" s="52">
        <f t="shared" si="87"/>
        <v>0.86959529574541672</v>
      </c>
      <c r="EN42" s="52">
        <f t="shared" si="87"/>
        <v>0.97724329324699344</v>
      </c>
      <c r="EO42" s="52">
        <f t="shared" si="87"/>
        <v>-0.40778515953962757</v>
      </c>
      <c r="EP42" s="52">
        <f t="shared" si="87"/>
        <v>4.3065255174593142</v>
      </c>
      <c r="EQ42" s="52">
        <f t="shared" si="87"/>
        <v>1.4430549352389459</v>
      </c>
      <c r="ER42" s="52">
        <f t="shared" si="87"/>
        <v>0.59552711761121269</v>
      </c>
      <c r="ES42" s="53">
        <f t="shared" si="87"/>
        <v>1.0968304430647278</v>
      </c>
      <c r="ET42" s="53">
        <f t="shared" si="87"/>
        <v>0.58034369130917174</v>
      </c>
      <c r="EU42" s="53">
        <f>EU40/ET40-1</f>
        <v>0.25067648600649139</v>
      </c>
      <c r="EV42" s="53">
        <f>EV40/EU40-1</f>
        <v>0.12275658963049785</v>
      </c>
      <c r="EW42" s="53">
        <f>EW40/EV40-1</f>
        <v>0.1233120357203048</v>
      </c>
    </row>
    <row r="43" spans="1:155" s="52" customFormat="1" ht="11.25" customHeight="1">
      <c r="A43" s="51" t="s">
        <v>228</v>
      </c>
      <c r="B43" s="52">
        <f t="shared" ref="B43:BM43" si="88">B40/B$5</f>
        <v>0.17641907260139789</v>
      </c>
      <c r="C43" s="52">
        <f t="shared" si="88"/>
        <v>0.18496200096200097</v>
      </c>
      <c r="D43" s="52">
        <f t="shared" si="88"/>
        <v>0.17607459120599711</v>
      </c>
      <c r="E43" s="52">
        <f t="shared" si="88"/>
        <v>0.22493686567875346</v>
      </c>
      <c r="F43" s="52">
        <f t="shared" si="88"/>
        <v>0.20104648270301329</v>
      </c>
      <c r="G43" s="52">
        <f t="shared" si="88"/>
        <v>6.3575833460102815E-2</v>
      </c>
      <c r="H43" s="52">
        <f t="shared" si="88"/>
        <v>2.7250501970699736E-2</v>
      </c>
      <c r="I43" s="52">
        <f t="shared" si="88"/>
        <v>7.0862926633503437E-2</v>
      </c>
      <c r="J43" s="52">
        <f t="shared" si="88"/>
        <v>6.5059521016931604E-2</v>
      </c>
      <c r="K43" s="52">
        <f t="shared" si="88"/>
        <v>5.3574147298455291E-2</v>
      </c>
      <c r="L43" s="52">
        <f t="shared" si="88"/>
        <v>3.8803132888540551E-2</v>
      </c>
      <c r="M43" s="52">
        <f t="shared" si="88"/>
        <v>5.0444909016582773E-2</v>
      </c>
      <c r="N43" s="52">
        <f t="shared" si="88"/>
        <v>5.0603405346414908E-2</v>
      </c>
      <c r="O43" s="52">
        <f t="shared" si="88"/>
        <v>8.3300260272199493E-3</v>
      </c>
      <c r="P43" s="52">
        <f t="shared" si="88"/>
        <v>5.5776768795421219E-2</v>
      </c>
      <c r="Q43" s="52">
        <f t="shared" si="88"/>
        <v>0.10089747844568878</v>
      </c>
      <c r="R43" s="52">
        <f t="shared" si="88"/>
        <v>0.13048303833545155</v>
      </c>
      <c r="S43" s="52">
        <f t="shared" si="88"/>
        <v>0.13924030813552954</v>
      </c>
      <c r="T43" s="52">
        <f t="shared" si="88"/>
        <v>0.14688343631891523</v>
      </c>
      <c r="U43" s="52">
        <f t="shared" si="88"/>
        <v>0.17730353180327463</v>
      </c>
      <c r="V43" s="52">
        <f t="shared" si="88"/>
        <v>0.14888230833652338</v>
      </c>
      <c r="W43" s="52">
        <f t="shared" si="88"/>
        <v>0.13936487573434339</v>
      </c>
      <c r="X43" s="52">
        <f t="shared" si="88"/>
        <v>0.16465709285717767</v>
      </c>
      <c r="Y43" s="52">
        <f t="shared" si="88"/>
        <v>0.17285091247540885</v>
      </c>
      <c r="Z43" s="52">
        <f t="shared" si="88"/>
        <v>0.16729757900222672</v>
      </c>
      <c r="AA43" s="52">
        <f t="shared" si="88"/>
        <v>0.19755082314625028</v>
      </c>
      <c r="AB43" s="52">
        <f t="shared" si="88"/>
        <v>0.22215997353883168</v>
      </c>
      <c r="AC43" s="52">
        <f t="shared" si="88"/>
        <v>0.22157840911925361</v>
      </c>
      <c r="AD43" s="52">
        <f t="shared" si="88"/>
        <v>0.17598501111508005</v>
      </c>
      <c r="AE43" s="52">
        <f t="shared" si="88"/>
        <v>4.5438658595055741E-2</v>
      </c>
      <c r="AF43" s="52">
        <f t="shared" si="88"/>
        <v>2.2652355303540817E-2</v>
      </c>
      <c r="AG43" s="52">
        <f t="shared" si="88"/>
        <v>-0.32537930747807292</v>
      </c>
      <c r="AH43" s="52">
        <f t="shared" si="88"/>
        <v>-0.13658501334626053</v>
      </c>
      <c r="AI43" s="52">
        <f t="shared" si="88"/>
        <v>1.1521918302168617E-2</v>
      </c>
      <c r="AJ43" s="52">
        <f t="shared" si="88"/>
        <v>9.2703104275215178E-2</v>
      </c>
      <c r="AK43" s="52">
        <f t="shared" si="88"/>
        <v>0.13667546066720404</v>
      </c>
      <c r="AL43" s="52">
        <f t="shared" si="88"/>
        <v>0.14712626009045598</v>
      </c>
      <c r="AM43" s="52">
        <f t="shared" si="88"/>
        <v>2.3040946341751935E-2</v>
      </c>
      <c r="AN43" s="52">
        <f t="shared" si="88"/>
        <v>0.12297846220932991</v>
      </c>
      <c r="AO43" s="52">
        <f t="shared" si="88"/>
        <v>0.1385168370984774</v>
      </c>
      <c r="AP43" s="52">
        <f t="shared" si="88"/>
        <v>0.16097268405958598</v>
      </c>
      <c r="AQ43" s="52">
        <f t="shared" si="88"/>
        <v>0.17864138032123414</v>
      </c>
      <c r="AR43" s="52">
        <f t="shared" si="88"/>
        <v>0.19087114746102907</v>
      </c>
      <c r="AS43" s="52">
        <f t="shared" si="88"/>
        <v>0.14128183769515953</v>
      </c>
      <c r="AT43" s="52">
        <f t="shared" si="88"/>
        <v>8.9026973316451874E-2</v>
      </c>
      <c r="AU43" s="52">
        <f t="shared" si="88"/>
        <v>0.16146111637794816</v>
      </c>
      <c r="AV43" s="52">
        <f t="shared" si="88"/>
        <v>0.21699429454119634</v>
      </c>
      <c r="AW43" s="52">
        <f t="shared" si="88"/>
        <v>0.17370191760426854</v>
      </c>
      <c r="AX43" s="52">
        <f t="shared" si="88"/>
        <v>9.5986442368018884E-2</v>
      </c>
      <c r="AY43" s="52">
        <f t="shared" si="88"/>
        <v>0.11950824671165067</v>
      </c>
      <c r="AZ43" s="52">
        <f t="shared" si="88"/>
        <v>0.14023209455324512</v>
      </c>
      <c r="BA43" s="52">
        <f t="shared" si="88"/>
        <v>0.15004745599177785</v>
      </c>
      <c r="BB43" s="52">
        <f t="shared" si="88"/>
        <v>0.14581238262692625</v>
      </c>
      <c r="BC43" s="52">
        <f t="shared" si="88"/>
        <v>0.15628241677729177</v>
      </c>
      <c r="BD43" s="52">
        <f t="shared" si="88"/>
        <v>0.18189185086772949</v>
      </c>
      <c r="BE43" s="52">
        <f t="shared" si="88"/>
        <v>0.19216498175950048</v>
      </c>
      <c r="BF43" s="52">
        <f t="shared" si="88"/>
        <v>0.16072980017376196</v>
      </c>
      <c r="BG43" s="52">
        <f t="shared" si="88"/>
        <v>0.15958369470945361</v>
      </c>
      <c r="BH43" s="52">
        <f t="shared" si="88"/>
        <v>0.19693486590038314</v>
      </c>
      <c r="BI43" s="52">
        <f t="shared" si="88"/>
        <v>0.21056388294075659</v>
      </c>
      <c r="BJ43" s="52">
        <f t="shared" si="88"/>
        <v>0.20613026819923372</v>
      </c>
      <c r="BK43" s="621">
        <f t="shared" si="88"/>
        <v>0.22689075630252101</v>
      </c>
      <c r="BL43" s="621">
        <f t="shared" si="88"/>
        <v>0.32085828343313372</v>
      </c>
      <c r="BM43" s="52">
        <f t="shared" si="88"/>
        <v>0.33916244822825586</v>
      </c>
      <c r="BN43" s="52">
        <f t="shared" ref="BN43:DQ43" si="89">BN40/BN$5</f>
        <v>0.28910686628807436</v>
      </c>
      <c r="BO43" s="52">
        <f t="shared" si="89"/>
        <v>0.31031390134529147</v>
      </c>
      <c r="BP43" s="52">
        <f t="shared" si="89"/>
        <v>0.34066767830045525</v>
      </c>
      <c r="BQ43" s="52">
        <f t="shared" si="89"/>
        <v>0.36963242871865337</v>
      </c>
      <c r="BR43" s="52">
        <f>BR40/BR$5</f>
        <v>0.40505144995322734</v>
      </c>
      <c r="BS43" s="52">
        <f t="shared" si="89"/>
        <v>0.37111751520973424</v>
      </c>
      <c r="BT43" s="52">
        <f>BT40/BT$5</f>
        <v>0.33637220999685635</v>
      </c>
      <c r="BU43" s="52">
        <f t="shared" si="89"/>
        <v>0.14648526077097507</v>
      </c>
      <c r="BV43" s="52">
        <f t="shared" si="89"/>
        <v>0.17072072072072073</v>
      </c>
      <c r="BW43" s="52">
        <f t="shared" si="89"/>
        <v>0.22411787514540518</v>
      </c>
      <c r="BX43" s="52">
        <f t="shared" si="89"/>
        <v>0.30988719309887192</v>
      </c>
      <c r="BY43" s="52">
        <f t="shared" si="89"/>
        <v>0.322061191626409</v>
      </c>
      <c r="BZ43" s="52">
        <f t="shared" si="89"/>
        <v>0.31850649350649352</v>
      </c>
      <c r="CA43" s="52">
        <f t="shared" si="89"/>
        <v>0.29539575788929123</v>
      </c>
      <c r="CB43" s="52">
        <f t="shared" si="89"/>
        <v>0.34066864155734239</v>
      </c>
      <c r="CC43" s="52">
        <f t="shared" si="89"/>
        <v>0.3341994803118129</v>
      </c>
      <c r="CD43" s="52">
        <f t="shared" si="89"/>
        <v>0.37590531708178765</v>
      </c>
      <c r="CE43" s="52">
        <f t="shared" si="89"/>
        <v>0.40049177808513908</v>
      </c>
      <c r="CF43" s="52">
        <f t="shared" si="89"/>
        <v>0.39800084471350133</v>
      </c>
      <c r="CG43" s="52">
        <f t="shared" si="89"/>
        <v>0.40900170090278687</v>
      </c>
      <c r="CH43" s="52">
        <f t="shared" si="89"/>
        <v>0.40745656370656369</v>
      </c>
      <c r="CI43" s="52">
        <f t="shared" si="89"/>
        <v>0.10083532219570406</v>
      </c>
      <c r="CJ43" s="52">
        <f t="shared" si="89"/>
        <v>0.13336705445961894</v>
      </c>
      <c r="CK43" s="52">
        <f t="shared" si="89"/>
        <v>0.24541398116013882</v>
      </c>
      <c r="CL43" s="52">
        <f t="shared" si="89"/>
        <v>0.32216351501668522</v>
      </c>
      <c r="CM43" s="52">
        <f t="shared" si="89"/>
        <v>0.51336344117864807</v>
      </c>
      <c r="CN43" s="52">
        <f t="shared" si="89"/>
        <v>0.58377483443708611</v>
      </c>
      <c r="CO43" s="52">
        <f t="shared" si="89"/>
        <v>0.6223589557978555</v>
      </c>
      <c r="CP43" s="52">
        <f t="shared" si="89"/>
        <v>0.65458454922438947</v>
      </c>
      <c r="CQ43" s="52">
        <f t="shared" si="89"/>
        <v>0.62526631158455392</v>
      </c>
      <c r="CR43" s="52">
        <f t="shared" si="89"/>
        <v>0.627786329171655</v>
      </c>
      <c r="CS43" s="52">
        <f t="shared" si="89"/>
        <v>0.61516361140067632</v>
      </c>
      <c r="CT43" s="52">
        <f t="shared" si="89"/>
        <v>0.49478008261086653</v>
      </c>
      <c r="CU43" s="52">
        <f t="shared" si="89"/>
        <v>0.61059409965128464</v>
      </c>
      <c r="CV43" s="52">
        <f t="shared" si="89"/>
        <v>0.6332140476441076</v>
      </c>
      <c r="CW43" s="52">
        <f>CW40/CW$5</f>
        <v>0.65281019272828689</v>
      </c>
      <c r="CX43" s="52">
        <f>CX40/CX$5</f>
        <v>0.65898425534521843</v>
      </c>
      <c r="CY43" s="53">
        <f t="shared" si="89"/>
        <v>0.66031391828911423</v>
      </c>
      <c r="CZ43" s="53">
        <f t="shared" si="89"/>
        <v>0.67040999853445238</v>
      </c>
      <c r="DA43" s="53">
        <f t="shared" si="89"/>
        <v>0.67784755984433342</v>
      </c>
      <c r="DB43" s="53">
        <f t="shared" si="89"/>
        <v>0.67988686966251488</v>
      </c>
      <c r="DC43" s="53">
        <f t="shared" si="89"/>
        <v>0.68108177865315966</v>
      </c>
      <c r="DD43" s="53">
        <f t="shared" si="89"/>
        <v>0.68466361414159582</v>
      </c>
      <c r="DE43" s="53">
        <f t="shared" si="89"/>
        <v>0.68554543241989319</v>
      </c>
      <c r="DF43" s="53">
        <f t="shared" si="89"/>
        <v>0.68530359953925957</v>
      </c>
      <c r="DG43" s="53">
        <f t="shared" si="89"/>
        <v>0.68485661013583699</v>
      </c>
      <c r="DH43" s="53">
        <f t="shared" si="89"/>
        <v>0.68753471166825075</v>
      </c>
      <c r="DI43" s="53">
        <f t="shared" si="89"/>
        <v>0.68896182661034855</v>
      </c>
      <c r="DJ43" s="53">
        <f t="shared" si="89"/>
        <v>0.68857877802874767</v>
      </c>
      <c r="DK43" s="53">
        <f t="shared" si="89"/>
        <v>0.68783989866962836</v>
      </c>
      <c r="DL43" s="53">
        <f t="shared" si="89"/>
        <v>0.6889842779733375</v>
      </c>
      <c r="DM43" s="53">
        <f t="shared" si="89"/>
        <v>0.68901101348115923</v>
      </c>
      <c r="DN43" s="53">
        <f t="shared" si="89"/>
        <v>0.68927918023953949</v>
      </c>
      <c r="DO43" s="53">
        <f t="shared" si="89"/>
        <v>0.68937210964139584</v>
      </c>
      <c r="DP43" s="53">
        <f t="shared" si="89"/>
        <v>0.69126878723176255</v>
      </c>
      <c r="DQ43" s="53">
        <f t="shared" si="89"/>
        <v>0.69199421946637629</v>
      </c>
      <c r="DT43" s="62">
        <f>DT40/DT$5</f>
        <v>0.19579312011718392</v>
      </c>
      <c r="DU43" s="62">
        <f t="shared" ref="DU43:EW43" si="90">DU40/DU$5</f>
        <v>9.9756457983116789E-2</v>
      </c>
      <c r="DV43" s="62">
        <f t="shared" si="90"/>
        <v>5.1376755744139316E-2</v>
      </c>
      <c r="DW43" s="62">
        <f t="shared" si="90"/>
        <v>5.6513002522844108E-2</v>
      </c>
      <c r="DX43" s="62">
        <f t="shared" si="90"/>
        <v>0.14911686598445001</v>
      </c>
      <c r="DY43" s="62">
        <f t="shared" si="90"/>
        <v>0.15783256554496899</v>
      </c>
      <c r="DZ43" s="62">
        <f t="shared" si="90"/>
        <v>0.20506947528710101</v>
      </c>
      <c r="EA43" s="62">
        <f t="shared" si="90"/>
        <v>3.1336180555170255E-2</v>
      </c>
      <c r="EB43" s="62">
        <f t="shared" si="90"/>
        <v>4.0955133783964565E-2</v>
      </c>
      <c r="EC43" s="62">
        <f t="shared" si="90"/>
        <v>0.11081308460537871</v>
      </c>
      <c r="ED43" s="62">
        <f t="shared" si="90"/>
        <v>0.16874382492940093</v>
      </c>
      <c r="EE43" s="62">
        <f t="shared" si="90"/>
        <v>0.16459762359295532</v>
      </c>
      <c r="EF43" s="62">
        <f t="shared" si="90"/>
        <v>0.12781992570751469</v>
      </c>
      <c r="EG43" s="62">
        <f t="shared" si="90"/>
        <v>0.17010419935290072</v>
      </c>
      <c r="EH43" s="62">
        <f t="shared" si="90"/>
        <v>0.18383233532934132</v>
      </c>
      <c r="EI43" s="62">
        <f t="shared" si="90"/>
        <v>0.28552821997105643</v>
      </c>
      <c r="EJ43" s="62">
        <f t="shared" si="90"/>
        <v>0.33209800288243774</v>
      </c>
      <c r="EK43" s="62">
        <f t="shared" si="90"/>
        <v>0.32869580061454423</v>
      </c>
      <c r="EL43" s="62">
        <f t="shared" si="90"/>
        <v>0.26479208646272212</v>
      </c>
      <c r="EM43" s="62">
        <f t="shared" si="90"/>
        <v>0.32413793103448274</v>
      </c>
      <c r="EN43" s="60">
        <f t="shared" si="90"/>
        <v>0.39707958683213196</v>
      </c>
      <c r="EO43" s="60">
        <f t="shared" si="90"/>
        <v>0.2346333506339438</v>
      </c>
      <c r="EP43" s="60">
        <f t="shared" si="90"/>
        <v>0.55127868421916548</v>
      </c>
      <c r="EQ43" s="60">
        <f t="shared" si="90"/>
        <v>0.6287500862088784</v>
      </c>
      <c r="ER43" s="60">
        <f t="shared" si="90"/>
        <v>0.60625272068834568</v>
      </c>
      <c r="ES43" s="630">
        <f t="shared" si="90"/>
        <v>0.66812622508196151</v>
      </c>
      <c r="ET43" s="630">
        <f t="shared" si="90"/>
        <v>0.68303342322886207</v>
      </c>
      <c r="EU43" s="630">
        <f t="shared" si="90"/>
        <v>0.68675675193515184</v>
      </c>
      <c r="EV43" s="630">
        <f t="shared" si="90"/>
        <v>0.68861185502351796</v>
      </c>
      <c r="EW43" s="630">
        <f t="shared" si="90"/>
        <v>0.69053655890455512</v>
      </c>
      <c r="EY43" s="631"/>
    </row>
    <row r="44" spans="1:155" s="52" customFormat="1" ht="11.25" hidden="1" customHeight="1" outlineLevel="1">
      <c r="A44" s="632" t="s">
        <v>240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>
        <f t="shared" ref="AL44:CV44" si="91">AL40+AL29+AL20</f>
        <v>172.56999999999996</v>
      </c>
      <c r="AM44" s="35">
        <f t="shared" si="91"/>
        <v>43.321999999999903</v>
      </c>
      <c r="AN44" s="35">
        <f t="shared" si="91"/>
        <v>128.96200000000005</v>
      </c>
      <c r="AO44" s="35">
        <f t="shared" si="91"/>
        <v>148.14400000000001</v>
      </c>
      <c r="AP44" s="35">
        <f t="shared" si="91"/>
        <v>186.60100000000003</v>
      </c>
      <c r="AQ44" s="35">
        <f t="shared" si="91"/>
        <v>217.54199999999997</v>
      </c>
      <c r="AR44" s="35">
        <f t="shared" si="91"/>
        <v>236.732</v>
      </c>
      <c r="AS44" s="35">
        <f t="shared" si="91"/>
        <v>170.1049999999999</v>
      </c>
      <c r="AT44" s="35">
        <f t="shared" si="91"/>
        <v>117.90800000000006</v>
      </c>
      <c r="AU44" s="35">
        <f t="shared" si="91"/>
        <v>200.86399999999992</v>
      </c>
      <c r="AV44" s="35">
        <f t="shared" si="91"/>
        <v>294.35399999999987</v>
      </c>
      <c r="AW44" s="35">
        <f t="shared" si="91"/>
        <v>228.04000000000005</v>
      </c>
      <c r="AX44" s="35">
        <f t="shared" si="91"/>
        <v>125.03899999999999</v>
      </c>
      <c r="AY44" s="35">
        <f t="shared" si="91"/>
        <v>149.19800000000009</v>
      </c>
      <c r="AZ44" s="35">
        <f t="shared" si="91"/>
        <v>182.09900000000013</v>
      </c>
      <c r="BA44" s="35">
        <f t="shared" si="91"/>
        <v>207.89100000000005</v>
      </c>
      <c r="BB44" s="35">
        <f t="shared" si="91"/>
        <v>196.32100000000014</v>
      </c>
      <c r="BC44" s="35">
        <f t="shared" si="91"/>
        <v>210.35200000000003</v>
      </c>
      <c r="BD44" s="35">
        <f t="shared" si="91"/>
        <v>264.88700000000011</v>
      </c>
      <c r="BE44" s="35">
        <f t="shared" si="91"/>
        <v>282.30499999999995</v>
      </c>
      <c r="BF44" s="35">
        <f t="shared" si="91"/>
        <v>230</v>
      </c>
      <c r="BG44" s="35">
        <f t="shared" si="91"/>
        <v>231</v>
      </c>
      <c r="BH44" s="35">
        <f t="shared" si="91"/>
        <v>308</v>
      </c>
      <c r="BI44" s="35">
        <f t="shared" si="91"/>
        <v>355</v>
      </c>
      <c r="BJ44" s="35">
        <f t="shared" si="91"/>
        <v>322</v>
      </c>
      <c r="BK44" s="35">
        <f t="shared" si="91"/>
        <v>382</v>
      </c>
      <c r="BL44" s="35">
        <f t="shared" si="91"/>
        <v>708</v>
      </c>
      <c r="BM44" s="35">
        <f t="shared" si="91"/>
        <v>808</v>
      </c>
      <c r="BN44" s="35">
        <f t="shared" si="91"/>
        <v>636</v>
      </c>
      <c r="BO44" s="35">
        <f t="shared" si="91"/>
        <v>773</v>
      </c>
      <c r="BP44" s="35">
        <f t="shared" si="91"/>
        <v>1005</v>
      </c>
      <c r="BQ44" s="35">
        <f t="shared" si="91"/>
        <v>1202</v>
      </c>
      <c r="BR44" s="35">
        <f t="shared" si="91"/>
        <v>1428</v>
      </c>
      <c r="BS44" s="35">
        <f t="shared" si="91"/>
        <v>1291</v>
      </c>
      <c r="BT44" s="35">
        <f t="shared" si="91"/>
        <v>1210</v>
      </c>
      <c r="BU44" s="35">
        <f t="shared" si="91"/>
        <v>479</v>
      </c>
      <c r="BV44" s="35">
        <f t="shared" si="91"/>
        <v>557</v>
      </c>
      <c r="BW44" s="35">
        <f t="shared" si="91"/>
        <v>802</v>
      </c>
      <c r="BX44" s="35">
        <f t="shared" si="91"/>
        <v>1157</v>
      </c>
      <c r="BY44" s="35">
        <f t="shared" si="91"/>
        <v>1220</v>
      </c>
      <c r="BZ44" s="35">
        <f t="shared" si="91"/>
        <v>1205</v>
      </c>
      <c r="CA44" s="35">
        <f t="shared" si="91"/>
        <v>1516</v>
      </c>
      <c r="CB44" s="35">
        <f t="shared" si="91"/>
        <v>1993</v>
      </c>
      <c r="CC44" s="35">
        <f t="shared" si="91"/>
        <v>2089</v>
      </c>
      <c r="CD44" s="35">
        <f t="shared" si="91"/>
        <v>2557</v>
      </c>
      <c r="CE44" s="35">
        <f t="shared" si="91"/>
        <v>3071</v>
      </c>
      <c r="CF44" s="35">
        <f t="shared" si="91"/>
        <v>3386</v>
      </c>
      <c r="CG44" s="35">
        <f t="shared" si="91"/>
        <v>3677</v>
      </c>
      <c r="CH44" s="35">
        <f t="shared" si="91"/>
        <v>3955</v>
      </c>
      <c r="CI44" s="35">
        <f t="shared" si="91"/>
        <v>1325</v>
      </c>
      <c r="CJ44" s="35">
        <f t="shared" si="91"/>
        <v>1536</v>
      </c>
      <c r="CK44" s="35">
        <f t="shared" si="91"/>
        <v>2224</v>
      </c>
      <c r="CL44" s="35">
        <f t="shared" si="91"/>
        <v>3052</v>
      </c>
      <c r="CM44" s="35">
        <f t="shared" si="91"/>
        <v>7776</v>
      </c>
      <c r="CN44" s="35">
        <f>CN40+CN29+CN20</f>
        <v>11557</v>
      </c>
      <c r="CO44" s="35">
        <f>CO40+CO29+CO20</f>
        <v>14749</v>
      </c>
      <c r="CP44" s="35">
        <f>CP40+CP29+CP20</f>
        <v>18059</v>
      </c>
      <c r="CQ44" s="35">
        <f t="shared" si="91"/>
        <v>19937</v>
      </c>
      <c r="CR44" s="35">
        <f t="shared" si="91"/>
        <v>23276</v>
      </c>
      <c r="CS44" s="35">
        <f t="shared" si="91"/>
        <v>25516</v>
      </c>
      <c r="CT44" s="35">
        <f t="shared" si="91"/>
        <v>23275</v>
      </c>
      <c r="CU44" s="35">
        <f t="shared" si="91"/>
        <v>30165</v>
      </c>
      <c r="CV44" s="35">
        <f t="shared" si="91"/>
        <v>37752</v>
      </c>
      <c r="CW44" s="35">
        <f>CW40+CW29+CW20</f>
        <v>46107</v>
      </c>
      <c r="CX44" s="35">
        <f>CX40+CX29+CX20</f>
        <v>55416</v>
      </c>
      <c r="CY44" s="48">
        <f t="shared" ref="CY44:DQ44" si="92">CY40+CY29+CY20</f>
        <v>63107.289024745871</v>
      </c>
      <c r="CZ44" s="48">
        <f t="shared" si="92"/>
        <v>75884.006910481548</v>
      </c>
      <c r="DA44" s="48">
        <f t="shared" si="92"/>
        <v>86823.262769705267</v>
      </c>
      <c r="DB44" s="48">
        <f t="shared" si="92"/>
        <v>94945.581367903069</v>
      </c>
      <c r="DC44" s="48">
        <f t="shared" si="92"/>
        <v>104275.43549281154</v>
      </c>
      <c r="DD44" s="48">
        <f t="shared" si="92"/>
        <v>116992.05794529582</v>
      </c>
      <c r="DE44" s="48">
        <f t="shared" si="92"/>
        <v>124870.57274598318</v>
      </c>
      <c r="DF44" s="48">
        <f t="shared" si="92"/>
        <v>128052.07260852128</v>
      </c>
      <c r="DG44" s="48">
        <f t="shared" si="92"/>
        <v>131894.24536614856</v>
      </c>
      <c r="DH44" s="48">
        <f t="shared" si="92"/>
        <v>141580.86849872587</v>
      </c>
      <c r="DI44" s="48">
        <f t="shared" si="92"/>
        <v>148893.12194889688</v>
      </c>
      <c r="DJ44" s="48">
        <f t="shared" si="92"/>
        <v>149898.09262251164</v>
      </c>
      <c r="DK44" s="48">
        <f t="shared" si="92"/>
        <v>151473.34181436052</v>
      </c>
      <c r="DL44" s="48">
        <f t="shared" si="92"/>
        <v>156484.40738639174</v>
      </c>
      <c r="DM44" s="48">
        <f t="shared" si="92"/>
        <v>159805.0808313702</v>
      </c>
      <c r="DN44" s="48">
        <f t="shared" si="92"/>
        <v>162545.60243122512</v>
      </c>
      <c r="DO44" s="48">
        <f t="shared" si="92"/>
        <v>167533.4067416396</v>
      </c>
      <c r="DP44" s="48">
        <f t="shared" si="92"/>
        <v>178028.92259647031</v>
      </c>
      <c r="DQ44" s="48">
        <f t="shared" si="92"/>
        <v>185359.11704108532</v>
      </c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49">
        <f t="shared" ref="ED44:EQ44" si="93">ED40+ED29+ED20</f>
        <v>810.9799999999999</v>
      </c>
      <c r="EE44" s="49">
        <f t="shared" si="93"/>
        <v>841.16600000000005</v>
      </c>
      <c r="EF44" s="49">
        <f t="shared" si="93"/>
        <v>664.2270000000002</v>
      </c>
      <c r="EG44" s="49">
        <f t="shared" si="93"/>
        <v>953.86500000000012</v>
      </c>
      <c r="EH44" s="49">
        <f t="shared" si="93"/>
        <v>1124</v>
      </c>
      <c r="EI44" s="49">
        <f t="shared" si="93"/>
        <v>2220</v>
      </c>
      <c r="EJ44" s="49">
        <f t="shared" si="93"/>
        <v>3616</v>
      </c>
      <c r="EK44" s="49">
        <f t="shared" si="93"/>
        <v>4408</v>
      </c>
      <c r="EL44" s="49">
        <f t="shared" si="93"/>
        <v>3736</v>
      </c>
      <c r="EM44" s="49">
        <f t="shared" si="93"/>
        <v>6803</v>
      </c>
      <c r="EN44" s="49">
        <f t="shared" si="93"/>
        <v>12691</v>
      </c>
      <c r="EO44" s="49">
        <f t="shared" si="93"/>
        <v>9040</v>
      </c>
      <c r="EP44" s="49">
        <f t="shared" si="93"/>
        <v>37134</v>
      </c>
      <c r="EQ44" s="49">
        <f t="shared" si="93"/>
        <v>86788</v>
      </c>
      <c r="ER44" s="49">
        <f>ER40+ER29+ER20</f>
        <v>137299</v>
      </c>
      <c r="ES44" s="633">
        <f>ES40+ES29+ES20</f>
        <v>281230.55870493269</v>
      </c>
      <c r="ET44" s="633">
        <f>ET40+ET29+ET20</f>
        <v>441083.64755199361</v>
      </c>
      <c r="EU44" s="633">
        <f>SUM(DF44:DI44)</f>
        <v>550420.30842229258</v>
      </c>
      <c r="EV44" s="633">
        <f>SUM(DJ44:DM44)</f>
        <v>617660.92265463411</v>
      </c>
      <c r="EW44" s="633">
        <f>SUM(DN44:DQ44)</f>
        <v>693467.04881042033</v>
      </c>
      <c r="EY44" s="631"/>
    </row>
    <row r="45" spans="1:155" s="52" customFormat="1" ht="11.25" hidden="1" customHeight="1" outlineLevel="1">
      <c r="A45" s="51" t="s">
        <v>223</v>
      </c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52">
        <f t="shared" ref="AM45:CX45" si="94">AM44/AL44-1</f>
        <v>-0.74895984238280167</v>
      </c>
      <c r="AN45" s="52">
        <f t="shared" si="94"/>
        <v>1.9768247080005619</v>
      </c>
      <c r="AO45" s="52">
        <f t="shared" si="94"/>
        <v>0.14874148974116363</v>
      </c>
      <c r="AP45" s="52">
        <f t="shared" si="94"/>
        <v>0.25959201857652037</v>
      </c>
      <c r="AQ45" s="52">
        <f t="shared" si="94"/>
        <v>0.16581368802953866</v>
      </c>
      <c r="AR45" s="52">
        <f t="shared" si="94"/>
        <v>8.8212850851789648E-2</v>
      </c>
      <c r="AS45" s="52">
        <f t="shared" si="94"/>
        <v>-0.28144484057922081</v>
      </c>
      <c r="AT45" s="52">
        <f t="shared" si="94"/>
        <v>-0.30685165045119123</v>
      </c>
      <c r="AU45" s="52">
        <f t="shared" si="94"/>
        <v>0.70356549173932059</v>
      </c>
      <c r="AV45" s="52">
        <f t="shared" si="94"/>
        <v>0.46543930221443364</v>
      </c>
      <c r="AW45" s="52">
        <f t="shared" si="94"/>
        <v>-0.22528655972060796</v>
      </c>
      <c r="AX45" s="52">
        <f t="shared" si="94"/>
        <v>-0.45167952990703397</v>
      </c>
      <c r="AY45" s="52">
        <f t="shared" si="94"/>
        <v>0.19321171794400227</v>
      </c>
      <c r="AZ45" s="52">
        <f t="shared" si="94"/>
        <v>0.22051904181021209</v>
      </c>
      <c r="BA45" s="52">
        <f t="shared" si="94"/>
        <v>0.1416372412808411</v>
      </c>
      <c r="BB45" s="52">
        <f t="shared" si="94"/>
        <v>-5.5654164922963933E-2</v>
      </c>
      <c r="BC45" s="52">
        <f t="shared" si="94"/>
        <v>7.1469684852867976E-2</v>
      </c>
      <c r="BD45" s="52">
        <f t="shared" si="94"/>
        <v>0.25925591389670677</v>
      </c>
      <c r="BE45" s="52">
        <f t="shared" si="94"/>
        <v>6.5756341383306216E-2</v>
      </c>
      <c r="BF45" s="52">
        <f t="shared" si="94"/>
        <v>-0.18527833371707891</v>
      </c>
      <c r="BG45" s="52">
        <f t="shared" si="94"/>
        <v>4.3478260869564966E-3</v>
      </c>
      <c r="BH45" s="52">
        <f t="shared" si="94"/>
        <v>0.33333333333333326</v>
      </c>
      <c r="BI45" s="52">
        <f t="shared" si="94"/>
        <v>0.15259740259740262</v>
      </c>
      <c r="BJ45" s="52">
        <f t="shared" si="94"/>
        <v>-9.2957746478873227E-2</v>
      </c>
      <c r="BK45" s="52">
        <f t="shared" si="94"/>
        <v>0.18633540372670798</v>
      </c>
      <c r="BL45" s="52">
        <f t="shared" si="94"/>
        <v>0.85340314136125661</v>
      </c>
      <c r="BM45" s="52">
        <f t="shared" si="94"/>
        <v>0.14124293785310726</v>
      </c>
      <c r="BN45" s="52">
        <f t="shared" si="94"/>
        <v>-0.21287128712871284</v>
      </c>
      <c r="BO45" s="52">
        <f t="shared" si="94"/>
        <v>0.21540880503144644</v>
      </c>
      <c r="BP45" s="52">
        <f t="shared" si="94"/>
        <v>0.30012936610608021</v>
      </c>
      <c r="BQ45" s="52">
        <f t="shared" si="94"/>
        <v>0.1960199004975125</v>
      </c>
      <c r="BR45" s="52">
        <f t="shared" si="94"/>
        <v>0.18801996672212984</v>
      </c>
      <c r="BS45" s="52">
        <f t="shared" si="94"/>
        <v>-9.5938375350140048E-2</v>
      </c>
      <c r="BT45" s="52">
        <f t="shared" si="94"/>
        <v>-6.2742060418280454E-2</v>
      </c>
      <c r="BU45" s="52">
        <f t="shared" si="94"/>
        <v>-0.60413223140495864</v>
      </c>
      <c r="BV45" s="52">
        <f t="shared" si="94"/>
        <v>0.16283924843423803</v>
      </c>
      <c r="BW45" s="52">
        <f t="shared" si="94"/>
        <v>0.43985637342908435</v>
      </c>
      <c r="BX45" s="52">
        <f t="shared" si="94"/>
        <v>0.44264339152119692</v>
      </c>
      <c r="BY45" s="52">
        <f t="shared" si="94"/>
        <v>5.4451166810717266E-2</v>
      </c>
      <c r="BZ45" s="52">
        <f t="shared" si="94"/>
        <v>-1.2295081967213073E-2</v>
      </c>
      <c r="CA45" s="52">
        <f t="shared" si="94"/>
        <v>0.25809128630705391</v>
      </c>
      <c r="CB45" s="52">
        <f t="shared" si="94"/>
        <v>0.31464379947229548</v>
      </c>
      <c r="CC45" s="52">
        <f t="shared" si="94"/>
        <v>4.8168590065228223E-2</v>
      </c>
      <c r="CD45" s="52">
        <f t="shared" si="94"/>
        <v>0.22403063666826228</v>
      </c>
      <c r="CE45" s="52">
        <f t="shared" si="94"/>
        <v>0.20101681658193193</v>
      </c>
      <c r="CF45" s="52">
        <f t="shared" si="94"/>
        <v>0.10257245197004239</v>
      </c>
      <c r="CG45" s="52">
        <f t="shared" si="94"/>
        <v>8.5942114589486085E-2</v>
      </c>
      <c r="CH45" s="52">
        <f t="shared" si="94"/>
        <v>7.5605112863747603E-2</v>
      </c>
      <c r="CI45" s="52">
        <f t="shared" si="94"/>
        <v>-0.66498103666245267</v>
      </c>
      <c r="CJ45" s="52">
        <f t="shared" si="94"/>
        <v>0.15924528301886798</v>
      </c>
      <c r="CK45" s="52">
        <f t="shared" si="94"/>
        <v>0.44791666666666674</v>
      </c>
      <c r="CL45" s="52">
        <f t="shared" si="94"/>
        <v>0.3723021582733812</v>
      </c>
      <c r="CM45" s="52">
        <f t="shared" si="94"/>
        <v>1.5478374836173003</v>
      </c>
      <c r="CN45" s="52">
        <f t="shared" si="94"/>
        <v>0.48623971193415638</v>
      </c>
      <c r="CO45" s="52">
        <f t="shared" si="94"/>
        <v>0.27619624470018178</v>
      </c>
      <c r="CP45" s="52">
        <f t="shared" si="94"/>
        <v>0.22442199471150581</v>
      </c>
      <c r="CQ45" s="52">
        <f t="shared" si="94"/>
        <v>0.1039924691289662</v>
      </c>
      <c r="CR45" s="52">
        <f t="shared" si="94"/>
        <v>0.1674775542960325</v>
      </c>
      <c r="CS45" s="52">
        <f t="shared" si="94"/>
        <v>9.6236466746863814E-2</v>
      </c>
      <c r="CT45" s="52">
        <f t="shared" si="94"/>
        <v>-8.7827245649788388E-2</v>
      </c>
      <c r="CU45" s="52">
        <f t="shared" si="94"/>
        <v>0.29602577873254554</v>
      </c>
      <c r="CV45" s="52">
        <f t="shared" si="94"/>
        <v>0.2515166583789159</v>
      </c>
      <c r="CW45" s="52">
        <f t="shared" si="94"/>
        <v>0.22131277813095984</v>
      </c>
      <c r="CX45" s="52">
        <f t="shared" si="94"/>
        <v>0.20189992842735371</v>
      </c>
      <c r="CY45" s="53">
        <f t="shared" ref="CY45:DQ45" si="95">CY44/CX44-1</f>
        <v>0.13879184756651286</v>
      </c>
      <c r="CZ45" s="53">
        <f t="shared" si="95"/>
        <v>0.20246025590998884</v>
      </c>
      <c r="DA45" s="53">
        <f t="shared" si="95"/>
        <v>0.14415759399906869</v>
      </c>
      <c r="DB45" s="53">
        <f t="shared" si="95"/>
        <v>9.3550027251819268E-2</v>
      </c>
      <c r="DC45" s="53">
        <f t="shared" si="95"/>
        <v>9.8265279863381627E-2</v>
      </c>
      <c r="DD45" s="53">
        <f t="shared" si="95"/>
        <v>0.121952235369575</v>
      </c>
      <c r="DE45" s="53">
        <f t="shared" si="95"/>
        <v>6.7342304589353086E-2</v>
      </c>
      <c r="DF45" s="53">
        <f t="shared" si="95"/>
        <v>2.5478379674048757E-2</v>
      </c>
      <c r="DG45" s="53">
        <f t="shared" si="95"/>
        <v>3.0004768211550292E-2</v>
      </c>
      <c r="DH45" s="53">
        <f t="shared" si="95"/>
        <v>7.3442348494329623E-2</v>
      </c>
      <c r="DI45" s="53">
        <f t="shared" si="95"/>
        <v>5.164718600547924E-2</v>
      </c>
      <c r="DJ45" s="53">
        <f t="shared" si="95"/>
        <v>6.7496111335465514E-3</v>
      </c>
      <c r="DK45" s="53">
        <f t="shared" si="95"/>
        <v>1.0508800774509108E-2</v>
      </c>
      <c r="DL45" s="53">
        <f t="shared" si="95"/>
        <v>3.3082161600241022E-2</v>
      </c>
      <c r="DM45" s="53">
        <f t="shared" si="95"/>
        <v>2.1220474937027056E-2</v>
      </c>
      <c r="DN45" s="53">
        <f t="shared" si="95"/>
        <v>1.7149151864243706E-2</v>
      </c>
      <c r="DO45" s="53">
        <f t="shared" si="95"/>
        <v>3.0685569069916152E-2</v>
      </c>
      <c r="DP45" s="53">
        <f t="shared" si="95"/>
        <v>6.264730156783771E-2</v>
      </c>
      <c r="DQ45" s="53">
        <f t="shared" si="95"/>
        <v>4.1174177418519919E-2</v>
      </c>
      <c r="DT45" s="54" t="s">
        <v>224</v>
      </c>
      <c r="DU45" s="54" t="s">
        <v>224</v>
      </c>
      <c r="DV45" s="54" t="s">
        <v>224</v>
      </c>
      <c r="DW45" s="54" t="s">
        <v>224</v>
      </c>
      <c r="DX45" s="54" t="s">
        <v>224</v>
      </c>
      <c r="DY45" s="54" t="s">
        <v>224</v>
      </c>
      <c r="DZ45" s="54" t="s">
        <v>224</v>
      </c>
      <c r="EA45" s="54" t="s">
        <v>224</v>
      </c>
      <c r="EB45" s="54" t="s">
        <v>224</v>
      </c>
      <c r="EC45" s="54" t="s">
        <v>224</v>
      </c>
      <c r="ED45" s="54" t="s">
        <v>224</v>
      </c>
      <c r="EE45" s="54" t="s">
        <v>224</v>
      </c>
      <c r="EF45" s="54" t="s">
        <v>224</v>
      </c>
      <c r="EG45" s="54" t="s">
        <v>224</v>
      </c>
      <c r="EH45" s="54" t="s">
        <v>224</v>
      </c>
      <c r="EI45" s="54" t="s">
        <v>224</v>
      </c>
      <c r="EJ45" s="54" t="s">
        <v>224</v>
      </c>
      <c r="EK45" s="54" t="s">
        <v>224</v>
      </c>
      <c r="EL45" s="54" t="s">
        <v>224</v>
      </c>
      <c r="EM45" s="54" t="s">
        <v>224</v>
      </c>
      <c r="EN45" s="54" t="s">
        <v>224</v>
      </c>
      <c r="EO45" s="54" t="s">
        <v>224</v>
      </c>
      <c r="EP45" s="54" t="s">
        <v>224</v>
      </c>
      <c r="EQ45" s="54" t="s">
        <v>224</v>
      </c>
      <c r="ER45" s="54" t="s">
        <v>224</v>
      </c>
      <c r="ES45" s="55" t="s">
        <v>224</v>
      </c>
      <c r="ET45" s="55" t="s">
        <v>224</v>
      </c>
      <c r="EU45" s="55" t="s">
        <v>224</v>
      </c>
      <c r="EV45" s="55" t="s">
        <v>224</v>
      </c>
      <c r="EW45" s="55" t="s">
        <v>224</v>
      </c>
      <c r="EY45" s="631"/>
    </row>
    <row r="46" spans="1:155" s="52" customFormat="1" ht="11.25" hidden="1" customHeight="1" outlineLevel="1">
      <c r="A46" s="51" t="s">
        <v>225</v>
      </c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P46" s="52">
        <f t="shared" ref="AP46:DA46" si="96">AP44/AL44-1</f>
        <v>8.1306136640204363E-2</v>
      </c>
      <c r="AQ46" s="52">
        <f t="shared" si="96"/>
        <v>4.0215133188680223</v>
      </c>
      <c r="AR46" s="52">
        <f t="shared" si="96"/>
        <v>0.83567252368914802</v>
      </c>
      <c r="AS46" s="52">
        <f t="shared" si="96"/>
        <v>0.14824090074522012</v>
      </c>
      <c r="AT46" s="52">
        <f t="shared" si="96"/>
        <v>-0.36812771635736119</v>
      </c>
      <c r="AU46" s="52">
        <f t="shared" si="96"/>
        <v>-7.6665655367699315E-2</v>
      </c>
      <c r="AV46" s="52">
        <f t="shared" si="96"/>
        <v>0.24340604565500179</v>
      </c>
      <c r="AW46" s="52">
        <f t="shared" si="96"/>
        <v>0.34058375709120936</v>
      </c>
      <c r="AX46" s="52">
        <f t="shared" si="96"/>
        <v>6.0479356786646621E-2</v>
      </c>
      <c r="AY46" s="52">
        <f t="shared" si="96"/>
        <v>-0.25721881472040709</v>
      </c>
      <c r="AZ46" s="52">
        <f t="shared" si="96"/>
        <v>-0.38136053867112318</v>
      </c>
      <c r="BA46" s="52">
        <f t="shared" si="96"/>
        <v>-8.8357305735835778E-2</v>
      </c>
      <c r="BB46" s="52">
        <f t="shared" si="96"/>
        <v>0.5700781356216873</v>
      </c>
      <c r="BC46" s="52">
        <f t="shared" si="96"/>
        <v>0.40988485100336391</v>
      </c>
      <c r="BD46" s="52">
        <f t="shared" si="96"/>
        <v>0.45463182115223</v>
      </c>
      <c r="BE46" s="52">
        <f t="shared" si="96"/>
        <v>0.35794719348119863</v>
      </c>
      <c r="BF46" s="52">
        <f t="shared" si="96"/>
        <v>0.17155067466037677</v>
      </c>
      <c r="BG46" s="52">
        <f t="shared" si="96"/>
        <v>9.8159275880428831E-2</v>
      </c>
      <c r="BH46" s="52">
        <f t="shared" si="96"/>
        <v>0.16275996934541848</v>
      </c>
      <c r="BI46" s="52">
        <f t="shared" si="96"/>
        <v>0.25750518056711735</v>
      </c>
      <c r="BJ46" s="52">
        <f t="shared" si="96"/>
        <v>0.39999999999999991</v>
      </c>
      <c r="BK46" s="52">
        <f t="shared" si="96"/>
        <v>0.65367965367965364</v>
      </c>
      <c r="BL46" s="52">
        <f t="shared" si="96"/>
        <v>1.2987012987012987</v>
      </c>
      <c r="BM46" s="52">
        <f t="shared" si="96"/>
        <v>1.2760563380281691</v>
      </c>
      <c r="BN46" s="52">
        <f t="shared" si="96"/>
        <v>0.97515527950310554</v>
      </c>
      <c r="BO46" s="52">
        <f t="shared" si="96"/>
        <v>1.0235602094240837</v>
      </c>
      <c r="BP46" s="52">
        <f t="shared" si="96"/>
        <v>0.41949152542372881</v>
      </c>
      <c r="BQ46" s="52">
        <f t="shared" si="96"/>
        <v>0.48762376237623761</v>
      </c>
      <c r="BR46" s="52">
        <f t="shared" si="96"/>
        <v>1.2452830188679247</v>
      </c>
      <c r="BS46" s="52">
        <f t="shared" si="96"/>
        <v>0.67011642949547223</v>
      </c>
      <c r="BT46" s="52">
        <f t="shared" si="96"/>
        <v>0.20398009950248763</v>
      </c>
      <c r="BU46" s="52">
        <f t="shared" si="96"/>
        <v>-0.6014975041597338</v>
      </c>
      <c r="BV46" s="52">
        <f t="shared" si="96"/>
        <v>-0.60994397759103647</v>
      </c>
      <c r="BW46" s="52">
        <f t="shared" si="96"/>
        <v>-0.37877614252517433</v>
      </c>
      <c r="BX46" s="52">
        <f t="shared" si="96"/>
        <v>-4.3801652892561993E-2</v>
      </c>
      <c r="BY46" s="52">
        <f t="shared" si="96"/>
        <v>1.546972860125261</v>
      </c>
      <c r="BZ46" s="52">
        <f t="shared" si="96"/>
        <v>1.1633752244165172</v>
      </c>
      <c r="CA46" s="52">
        <f t="shared" si="96"/>
        <v>0.89027431421446379</v>
      </c>
      <c r="CB46" s="52">
        <f t="shared" si="96"/>
        <v>0.72255834053586865</v>
      </c>
      <c r="CC46" s="52">
        <f t="shared" si="96"/>
        <v>0.71229508196721314</v>
      </c>
      <c r="CD46" s="52">
        <f t="shared" si="96"/>
        <v>1.1219917012448133</v>
      </c>
      <c r="CE46" s="52">
        <f t="shared" si="96"/>
        <v>1.0257255936675462</v>
      </c>
      <c r="CF46" s="52">
        <f t="shared" si="96"/>
        <v>0.69894631209232316</v>
      </c>
      <c r="CG46" s="52">
        <f t="shared" si="96"/>
        <v>0.76017233125897565</v>
      </c>
      <c r="CH46" s="52">
        <f t="shared" si="96"/>
        <v>0.54673445443879554</v>
      </c>
      <c r="CI46" s="52">
        <f t="shared" si="96"/>
        <v>-0.56854444806252036</v>
      </c>
      <c r="CJ46" s="52">
        <f t="shared" si="96"/>
        <v>-0.54636739515652688</v>
      </c>
      <c r="CK46" s="52">
        <f t="shared" si="96"/>
        <v>-0.39515909709001906</v>
      </c>
      <c r="CL46" s="52">
        <f t="shared" si="96"/>
        <v>-0.22831858407079642</v>
      </c>
      <c r="CM46" s="52">
        <f t="shared" si="96"/>
        <v>4.868679245283019</v>
      </c>
      <c r="CN46" s="52">
        <f t="shared" si="96"/>
        <v>6.524088541666667</v>
      </c>
      <c r="CO46" s="52">
        <f t="shared" si="96"/>
        <v>5.6317446043165464</v>
      </c>
      <c r="CP46" s="52">
        <f t="shared" si="96"/>
        <v>4.9171035386631718</v>
      </c>
      <c r="CQ46" s="52">
        <f t="shared" si="96"/>
        <v>1.5639146090534979</v>
      </c>
      <c r="CR46" s="52">
        <f t="shared" si="96"/>
        <v>1.0140174785844076</v>
      </c>
      <c r="CS46" s="52">
        <f t="shared" si="96"/>
        <v>0.73001559427757812</v>
      </c>
      <c r="CT46" s="52">
        <f t="shared" si="96"/>
        <v>0.28883105376820417</v>
      </c>
      <c r="CU46" s="52">
        <f t="shared" si="96"/>
        <v>0.51301600040126405</v>
      </c>
      <c r="CV46" s="52">
        <f t="shared" si="96"/>
        <v>0.62192816635160675</v>
      </c>
      <c r="CW46" s="52">
        <f t="shared" si="96"/>
        <v>0.80698385326853739</v>
      </c>
      <c r="CX46" s="52">
        <f t="shared" si="96"/>
        <v>1.3809237379162189</v>
      </c>
      <c r="CY46" s="53">
        <f t="shared" si="96"/>
        <v>1.0920699162852934</v>
      </c>
      <c r="CZ46" s="53">
        <f t="shared" si="96"/>
        <v>1.0100658749332894</v>
      </c>
      <c r="DA46" s="53">
        <f t="shared" si="96"/>
        <v>0.88308202159553351</v>
      </c>
      <c r="DB46" s="53">
        <f t="shared" ref="DB46:DQ46" si="97">DB44/CX44-1</f>
        <v>0.71332433535266104</v>
      </c>
      <c r="DC46" s="53">
        <f t="shared" si="97"/>
        <v>0.65235168717075864</v>
      </c>
      <c r="DD46" s="53">
        <f t="shared" si="97"/>
        <v>0.5417221982401168</v>
      </c>
      <c r="DE46" s="53">
        <f t="shared" si="97"/>
        <v>0.43821562059003316</v>
      </c>
      <c r="DF46" s="53">
        <f t="shared" si="97"/>
        <v>0.34868912026916155</v>
      </c>
      <c r="DG46" s="53">
        <f t="shared" si="97"/>
        <v>0.26486400888961992</v>
      </c>
      <c r="DH46" s="53">
        <f t="shared" si="97"/>
        <v>0.21017504081283467</v>
      </c>
      <c r="DI46" s="53">
        <f t="shared" si="97"/>
        <v>0.19237958691661761</v>
      </c>
      <c r="DJ46" s="53">
        <f t="shared" si="97"/>
        <v>0.17060262726693742</v>
      </c>
      <c r="DK46" s="53">
        <f t="shared" si="97"/>
        <v>0.14844541847795467</v>
      </c>
      <c r="DL46" s="53">
        <f t="shared" si="97"/>
        <v>0.1052652031711474</v>
      </c>
      <c r="DM46" s="53">
        <f t="shared" si="97"/>
        <v>7.3287192448140859E-2</v>
      </c>
      <c r="DN46" s="53">
        <f t="shared" si="97"/>
        <v>8.4374054315445646E-2</v>
      </c>
      <c r="DO46" s="53">
        <f t="shared" si="97"/>
        <v>0.10602568567452364</v>
      </c>
      <c r="DP46" s="53">
        <f t="shared" si="97"/>
        <v>0.13767835128058969</v>
      </c>
      <c r="DQ46" s="53">
        <f t="shared" si="97"/>
        <v>0.15990753283170189</v>
      </c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52">
        <f>EE44/ED44-1</f>
        <v>3.7221633085896322E-2</v>
      </c>
      <c r="EF46" s="52">
        <f t="shared" ref="EF46:ET46" si="98">EF44/EE44-1</f>
        <v>-0.21034968127575271</v>
      </c>
      <c r="EG46" s="52">
        <f t="shared" si="98"/>
        <v>0.43605273498367247</v>
      </c>
      <c r="EH46" s="52">
        <f t="shared" si="98"/>
        <v>0.17836381458592143</v>
      </c>
      <c r="EI46" s="52">
        <f t="shared" si="98"/>
        <v>0.97508896797153022</v>
      </c>
      <c r="EJ46" s="52">
        <f t="shared" si="98"/>
        <v>0.62882882882882885</v>
      </c>
      <c r="EK46" s="52">
        <f t="shared" si="98"/>
        <v>0.21902654867256643</v>
      </c>
      <c r="EL46" s="52">
        <f t="shared" si="98"/>
        <v>-0.15245009074410165</v>
      </c>
      <c r="EM46" s="52">
        <f t="shared" si="98"/>
        <v>0.82093147751605988</v>
      </c>
      <c r="EN46" s="52">
        <f t="shared" si="98"/>
        <v>0.8655005144789063</v>
      </c>
      <c r="EO46" s="52">
        <f t="shared" si="98"/>
        <v>-0.28768418564336928</v>
      </c>
      <c r="EP46" s="52">
        <f t="shared" si="98"/>
        <v>3.107743362831858</v>
      </c>
      <c r="EQ46" s="52">
        <f t="shared" si="98"/>
        <v>1.3371573221306621</v>
      </c>
      <c r="ER46" s="52">
        <f t="shared" si="98"/>
        <v>0.58200442457482593</v>
      </c>
      <c r="ES46" s="53">
        <f t="shared" si="98"/>
        <v>1.0483074072275302</v>
      </c>
      <c r="ET46" s="53">
        <f t="shared" si="98"/>
        <v>0.56840582895110958</v>
      </c>
      <c r="EU46" s="53">
        <f>EU44/ET44-1</f>
        <v>0.24788191871794729</v>
      </c>
      <c r="EV46" s="53">
        <f>EV44/EU44-1</f>
        <v>0.12216230615668588</v>
      </c>
      <c r="EW46" s="53">
        <f>EW44/EV44-1</f>
        <v>0.12273097321744175</v>
      </c>
      <c r="EY46" s="631"/>
    </row>
    <row r="47" spans="1:155" s="52" customFormat="1" ht="11.25" hidden="1" customHeight="1" outlineLevel="1">
      <c r="A47" s="51" t="s">
        <v>228</v>
      </c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>
        <f t="shared" ref="AL47:CV47" si="99">+AL44/AL5</f>
        <v>0.17225769679570935</v>
      </c>
      <c r="AM47" s="62">
        <f t="shared" si="99"/>
        <v>5.3404305677458686E-2</v>
      </c>
      <c r="AN47" s="62">
        <f t="shared" si="99"/>
        <v>0.1528145114656505</v>
      </c>
      <c r="AO47" s="62">
        <f t="shared" si="99"/>
        <v>0.16713448920097115</v>
      </c>
      <c r="AP47" s="62">
        <f t="shared" si="99"/>
        <v>0.19396407006368768</v>
      </c>
      <c r="AQ47" s="62">
        <f t="shared" si="99"/>
        <v>0.21400724237764834</v>
      </c>
      <c r="AR47" s="62">
        <f t="shared" si="99"/>
        <v>0.22203755463430189</v>
      </c>
      <c r="AS47" s="62">
        <f t="shared" si="99"/>
        <v>0.17845790049035129</v>
      </c>
      <c r="AT47" s="62">
        <f t="shared" si="99"/>
        <v>0.12748506017556935</v>
      </c>
      <c r="AU47" s="62">
        <f t="shared" si="99"/>
        <v>0.19234872207379311</v>
      </c>
      <c r="AV47" s="62">
        <f t="shared" si="99"/>
        <v>0.2444577322669855</v>
      </c>
      <c r="AW47" s="62">
        <f t="shared" si="99"/>
        <v>0.20601643144560228</v>
      </c>
      <c r="AX47" s="62">
        <f t="shared" si="99"/>
        <v>0.1309666830411243</v>
      </c>
      <c r="AY47" s="62">
        <f t="shared" si="99"/>
        <v>0.15267314615272848</v>
      </c>
      <c r="AZ47" s="62">
        <f t="shared" si="99"/>
        <v>0.17277485917490787</v>
      </c>
      <c r="BA47" s="62">
        <f t="shared" si="99"/>
        <v>0.18168827968096993</v>
      </c>
      <c r="BB47" s="62">
        <f t="shared" si="99"/>
        <v>0.17802259185137306</v>
      </c>
      <c r="BC47" s="62">
        <f t="shared" si="99"/>
        <v>0.19073941082167237</v>
      </c>
      <c r="BD47" s="62">
        <f t="shared" si="99"/>
        <v>0.21616687694123146</v>
      </c>
      <c r="BE47" s="62">
        <f t="shared" si="99"/>
        <v>0.22575117111843607</v>
      </c>
      <c r="BF47" s="62">
        <f t="shared" si="99"/>
        <v>0.19982623805386621</v>
      </c>
      <c r="BG47" s="62">
        <f t="shared" si="99"/>
        <v>0.20034692107545535</v>
      </c>
      <c r="BH47" s="62">
        <f t="shared" si="99"/>
        <v>0.23601532567049807</v>
      </c>
      <c r="BI47" s="62">
        <f t="shared" si="99"/>
        <v>0.25339043540328338</v>
      </c>
      <c r="BJ47" s="62">
        <f t="shared" si="99"/>
        <v>0.24674329501915709</v>
      </c>
      <c r="BK47" s="62">
        <f t="shared" si="99"/>
        <v>0.26750700280112044</v>
      </c>
      <c r="BL47" s="62">
        <f t="shared" si="99"/>
        <v>0.3532934131736527</v>
      </c>
      <c r="BM47" s="62">
        <f t="shared" si="99"/>
        <v>0.3718361711919006</v>
      </c>
      <c r="BN47" s="62">
        <f t="shared" si="99"/>
        <v>0.32834279814145584</v>
      </c>
      <c r="BO47" s="62">
        <f t="shared" si="99"/>
        <v>0.34663677130044845</v>
      </c>
      <c r="BP47" s="62">
        <f t="shared" si="99"/>
        <v>0.38125948406676785</v>
      </c>
      <c r="BQ47" s="62">
        <f t="shared" si="99"/>
        <v>0.41291652353143249</v>
      </c>
      <c r="BR47" s="62">
        <f t="shared" si="99"/>
        <v>0.4452759588400374</v>
      </c>
      <c r="BS47" s="62">
        <f t="shared" si="99"/>
        <v>0.41338456612231828</v>
      </c>
      <c r="BT47" s="62">
        <f t="shared" si="99"/>
        <v>0.38038352719270668</v>
      </c>
      <c r="BU47" s="62">
        <f t="shared" si="99"/>
        <v>0.21723356009070294</v>
      </c>
      <c r="BV47" s="62">
        <f t="shared" si="99"/>
        <v>0.25090090090090089</v>
      </c>
      <c r="BW47" s="62">
        <f t="shared" si="99"/>
        <v>0.31097324544397054</v>
      </c>
      <c r="BX47" s="62">
        <f t="shared" si="99"/>
        <v>0.38387524883875251</v>
      </c>
      <c r="BY47" s="62">
        <f t="shared" si="99"/>
        <v>0.39291465378421903</v>
      </c>
      <c r="BZ47" s="62">
        <f t="shared" si="99"/>
        <v>0.39123376623376621</v>
      </c>
      <c r="CA47" s="62">
        <f t="shared" si="99"/>
        <v>0.39213657527159856</v>
      </c>
      <c r="CB47" s="62">
        <f t="shared" si="99"/>
        <v>0.42170969107067285</v>
      </c>
      <c r="CC47" s="62">
        <f t="shared" si="99"/>
        <v>0.41754947031780931</v>
      </c>
      <c r="CD47" s="62">
        <f t="shared" si="99"/>
        <v>0.45168698109874583</v>
      </c>
      <c r="CE47" s="62">
        <f t="shared" si="99"/>
        <v>0.47195328108191181</v>
      </c>
      <c r="CF47" s="62">
        <f t="shared" si="99"/>
        <v>0.47669998592144164</v>
      </c>
      <c r="CG47" s="62">
        <f t="shared" si="99"/>
        <v>0.48109381133062934</v>
      </c>
      <c r="CH47" s="62">
        <f t="shared" si="99"/>
        <v>0.47719594594594594</v>
      </c>
      <c r="CI47" s="62">
        <f t="shared" si="99"/>
        <v>0.19764319809069211</v>
      </c>
      <c r="CJ47" s="62">
        <f t="shared" si="99"/>
        <v>0.25897824987354578</v>
      </c>
      <c r="CK47" s="62">
        <f t="shared" si="99"/>
        <v>0.36754255494959509</v>
      </c>
      <c r="CL47" s="62">
        <f t="shared" si="99"/>
        <v>0.42436040044493883</v>
      </c>
      <c r="CM47" s="62">
        <f t="shared" si="99"/>
        <v>0.57570148811727251</v>
      </c>
      <c r="CN47" s="62">
        <f>+CN44/CN5</f>
        <v>0.63780353200883</v>
      </c>
      <c r="CO47" s="62">
        <f>+CO44/CO5</f>
        <v>0.66728498393883184</v>
      </c>
      <c r="CP47" s="62">
        <f>+CP44/CP5</f>
        <v>0.69340347104899402</v>
      </c>
      <c r="CQ47" s="62">
        <f t="shared" si="99"/>
        <v>0.66368175765645809</v>
      </c>
      <c r="CR47" s="62">
        <f t="shared" si="99"/>
        <v>0.66347414628584456</v>
      </c>
      <c r="CS47" s="62">
        <f t="shared" si="99"/>
        <v>0.64875034959700995</v>
      </c>
      <c r="CT47" s="62">
        <f t="shared" si="99"/>
        <v>0.52823294448731328</v>
      </c>
      <c r="CU47" s="62">
        <f t="shared" si="99"/>
        <v>0.64533726975162053</v>
      </c>
      <c r="CV47" s="62">
        <f t="shared" si="99"/>
        <v>0.66224607936006741</v>
      </c>
      <c r="CW47" s="62">
        <f>+CW44/CW5</f>
        <v>0.67678013122550529</v>
      </c>
      <c r="CX47" s="62">
        <f>+CX44/CX5</f>
        <v>0.6789928321999632</v>
      </c>
      <c r="CY47" s="63">
        <f t="shared" ref="CY47:DQ47" si="100">+CY44/CY5</f>
        <v>0.67821059157995056</v>
      </c>
      <c r="CZ47" s="63">
        <f t="shared" si="100"/>
        <v>0.68575633541522196</v>
      </c>
      <c r="DA47" s="63">
        <f t="shared" si="100"/>
        <v>0.69164268658315942</v>
      </c>
      <c r="DB47" s="63">
        <f t="shared" si="100"/>
        <v>0.69277196179356848</v>
      </c>
      <c r="DC47" s="63">
        <f t="shared" si="100"/>
        <v>0.69305039749158803</v>
      </c>
      <c r="DD47" s="63">
        <f t="shared" si="100"/>
        <v>0.69558152527391015</v>
      </c>
      <c r="DE47" s="63">
        <f t="shared" si="100"/>
        <v>0.69598230093471491</v>
      </c>
      <c r="DF47" s="63">
        <f t="shared" si="100"/>
        <v>0.69567733771085905</v>
      </c>
      <c r="DG47" s="63">
        <f t="shared" si="100"/>
        <v>0.69511848641649687</v>
      </c>
      <c r="DH47" s="63">
        <f t="shared" si="100"/>
        <v>0.69731372694770899</v>
      </c>
      <c r="DI47" s="63">
        <f t="shared" si="100"/>
        <v>0.69845942508026038</v>
      </c>
      <c r="DJ47" s="63">
        <f t="shared" si="100"/>
        <v>0.69819494120422265</v>
      </c>
      <c r="DK47" s="63">
        <f t="shared" si="100"/>
        <v>0.69753434270710701</v>
      </c>
      <c r="DL47" s="63">
        <f t="shared" si="100"/>
        <v>0.69856727602887148</v>
      </c>
      <c r="DM47" s="63">
        <f t="shared" si="100"/>
        <v>0.69857984583180899</v>
      </c>
      <c r="DN47" s="63">
        <f t="shared" si="100"/>
        <v>0.69887597586688321</v>
      </c>
      <c r="DO47" s="63">
        <f t="shared" si="100"/>
        <v>0.69886636035988403</v>
      </c>
      <c r="DP47" s="63">
        <f t="shared" si="100"/>
        <v>0.70039915958119603</v>
      </c>
      <c r="DQ47" s="63">
        <f t="shared" si="100"/>
        <v>0.70094305671401058</v>
      </c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>
        <f t="shared" ref="ED47:EW47" si="101">+ED44/ED5</f>
        <v>0.20284997486199108</v>
      </c>
      <c r="EE47" s="62">
        <f t="shared" si="101"/>
        <v>0.196526811270329</v>
      </c>
      <c r="EF47" s="62">
        <f t="shared" si="101"/>
        <v>0.16082347375236133</v>
      </c>
      <c r="EG47" s="62">
        <f t="shared" si="101"/>
        <v>0.2037516979041151</v>
      </c>
      <c r="EH47" s="62">
        <f t="shared" si="101"/>
        <v>0.22435129740518961</v>
      </c>
      <c r="EI47" s="62">
        <f t="shared" si="101"/>
        <v>0.32127351664254705</v>
      </c>
      <c r="EJ47" s="62">
        <f t="shared" si="101"/>
        <v>0.3722462425365452</v>
      </c>
      <c r="EK47" s="62">
        <f t="shared" si="101"/>
        <v>0.37623762376237624</v>
      </c>
      <c r="EL47" s="62">
        <f t="shared" si="101"/>
        <v>0.34218721377541672</v>
      </c>
      <c r="EM47" s="62">
        <f t="shared" si="101"/>
        <v>0.40797601199400302</v>
      </c>
      <c r="EN47" s="62">
        <f t="shared" si="101"/>
        <v>0.47153897599762207</v>
      </c>
      <c r="EO47" s="62">
        <f t="shared" si="101"/>
        <v>0.33513753985319195</v>
      </c>
      <c r="EP47" s="62">
        <f t="shared" si="101"/>
        <v>0.60953350185483079</v>
      </c>
      <c r="EQ47" s="62">
        <f t="shared" si="101"/>
        <v>0.66505743427051967</v>
      </c>
      <c r="ER47" s="62">
        <f t="shared" si="101"/>
        <v>0.63582602413655775</v>
      </c>
      <c r="ES47" s="63">
        <f t="shared" si="101"/>
        <v>0.68450234442044988</v>
      </c>
      <c r="ET47" s="63">
        <f t="shared" si="101"/>
        <v>0.69448884977603431</v>
      </c>
      <c r="EU47" s="63">
        <f t="shared" si="101"/>
        <v>0.69671436797137654</v>
      </c>
      <c r="EV47" s="63">
        <f t="shared" si="101"/>
        <v>0.69822659679897336</v>
      </c>
      <c r="EW47" s="63">
        <f t="shared" si="101"/>
        <v>0.69981598889796259</v>
      </c>
      <c r="EY47" s="634"/>
    </row>
    <row r="48" spans="1:155" s="52" customFormat="1" ht="11.25" hidden="1" customHeight="1" outlineLevel="1">
      <c r="A48" s="51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  <c r="AS48" s="49"/>
      <c r="AT48" s="49"/>
      <c r="AU48" s="49"/>
      <c r="AV48" s="49"/>
      <c r="AW48" s="49"/>
      <c r="AX48" s="66"/>
      <c r="AY48" s="66"/>
      <c r="AZ48" s="66"/>
      <c r="BA48" s="66"/>
      <c r="BB48" s="66"/>
      <c r="BC48" s="66"/>
      <c r="BD48" s="66"/>
      <c r="BE48" s="66"/>
      <c r="BF48" s="66"/>
      <c r="BG48" s="66"/>
      <c r="BH48" s="66"/>
      <c r="BI48" s="66"/>
      <c r="BJ48" s="66"/>
      <c r="BK48" s="66"/>
      <c r="BL48" s="66"/>
      <c r="BM48" s="66"/>
      <c r="BN48" s="66"/>
      <c r="BO48" s="66"/>
      <c r="BP48" s="66"/>
      <c r="BQ48" s="66"/>
      <c r="BR48" s="66"/>
      <c r="BS48" s="66"/>
      <c r="BT48" s="66"/>
      <c r="BU48" s="66"/>
      <c r="BV48" s="66"/>
      <c r="BW48" s="66"/>
      <c r="BX48" s="66"/>
      <c r="BY48" s="66"/>
      <c r="BZ48" s="633"/>
      <c r="CA48" s="635"/>
      <c r="CB48" s="633"/>
      <c r="CC48" s="633"/>
      <c r="CD48" s="633"/>
      <c r="CE48" s="633"/>
      <c r="CF48" s="633"/>
      <c r="CG48" s="633"/>
      <c r="CH48" s="633"/>
      <c r="CI48" s="633"/>
      <c r="CJ48" s="633"/>
      <c r="CK48" s="633"/>
      <c r="CL48" s="633"/>
      <c r="CM48" s="633"/>
      <c r="CN48" s="633"/>
      <c r="CO48" s="633"/>
      <c r="CP48" s="633"/>
      <c r="CQ48" s="633"/>
      <c r="CR48" s="633"/>
      <c r="CS48" s="633"/>
      <c r="CT48" s="633"/>
      <c r="CU48" s="633"/>
      <c r="CV48" s="633"/>
      <c r="CW48" s="633"/>
      <c r="CX48" s="633"/>
      <c r="CY48" s="67"/>
      <c r="CZ48" s="67"/>
      <c r="DA48" s="67"/>
      <c r="DB48" s="67"/>
      <c r="DC48" s="67"/>
      <c r="DD48" s="67"/>
      <c r="DE48" s="67"/>
      <c r="DF48" s="67"/>
      <c r="DG48" s="67"/>
      <c r="DH48" s="67"/>
      <c r="DI48" s="67"/>
      <c r="DJ48" s="67"/>
      <c r="DK48" s="67"/>
      <c r="DL48" s="67"/>
      <c r="DM48" s="67"/>
      <c r="DN48" s="67"/>
      <c r="DO48" s="67"/>
      <c r="DP48" s="67"/>
      <c r="DQ48" s="67"/>
      <c r="DT48" s="62"/>
      <c r="DU48" s="62"/>
      <c r="DV48" s="62"/>
      <c r="DW48" s="62"/>
      <c r="DX48" s="62"/>
      <c r="DY48" s="62"/>
      <c r="DZ48" s="62"/>
      <c r="EA48" s="62"/>
      <c r="EB48" s="62"/>
      <c r="EC48" s="62"/>
      <c r="ED48" s="62"/>
      <c r="EE48" s="49"/>
      <c r="EF48" s="49"/>
      <c r="EG48" s="623"/>
      <c r="EH48" s="623"/>
      <c r="EI48" s="623"/>
      <c r="EJ48" s="623"/>
      <c r="EK48" s="623"/>
      <c r="EL48" s="623"/>
      <c r="EM48" s="623"/>
      <c r="EN48" s="623"/>
      <c r="EO48" s="623"/>
      <c r="EP48" s="623"/>
      <c r="EQ48" s="623"/>
      <c r="ER48" s="623"/>
      <c r="ES48" s="623"/>
      <c r="ET48" s="623"/>
      <c r="EU48" s="623"/>
      <c r="EV48" s="623"/>
      <c r="EW48" s="623"/>
      <c r="EY48" s="631"/>
    </row>
    <row r="49" spans="1:155" s="640" customFormat="1" ht="12" customHeight="1" collapsed="1">
      <c r="A49" s="636" t="s">
        <v>241</v>
      </c>
      <c r="B49" s="637">
        <f>NVDA!V54</f>
        <v>1.6960300362277296E-3</v>
      </c>
      <c r="C49" s="637">
        <f>NVDA!W54</f>
        <v>1.7918658226757963E-3</v>
      </c>
      <c r="D49" s="637">
        <f>NVDA!X54</f>
        <v>2.3624472797011426E-3</v>
      </c>
      <c r="E49" s="637">
        <f>NVDA!Y54</f>
        <v>3.6120953939325529E-3</v>
      </c>
      <c r="F49" s="637">
        <f>NVDA!AA54</f>
        <v>2.122879925249736E-3</v>
      </c>
      <c r="G49" s="637">
        <f>NVDA!AB54</f>
        <v>9.8526594378937969E-4</v>
      </c>
      <c r="H49" s="637">
        <f>NVDA!AC54</f>
        <v>2.5088869767765225E-4</v>
      </c>
      <c r="I49" s="637">
        <f>NVDA!AD54</f>
        <v>1.1282685737367937E-3</v>
      </c>
      <c r="J49" s="637">
        <f>NVDA!AF54</f>
        <v>1.7884968487916298E-4</v>
      </c>
      <c r="K49" s="637">
        <f>NVDA!AG54</f>
        <v>1.8323202578806843E-4</v>
      </c>
      <c r="L49" s="637">
        <f>NVDA!AH54</f>
        <v>-1.0334066805660539E-4</v>
      </c>
      <c r="M49" s="637">
        <f>NVDA!AI54</f>
        <v>3.064485965419356E-4</v>
      </c>
      <c r="N49" s="637">
        <f>NVDA!AK54</f>
        <v>4.3655929642512759E-5</v>
      </c>
      <c r="O49" s="637">
        <f>NVDA!AL54</f>
        <v>-7.6509092412124378E-4</v>
      </c>
      <c r="P49" s="637">
        <f>NVDA!AM54</f>
        <v>4.7627586978194684E-5</v>
      </c>
      <c r="Q49" s="637">
        <f>NVDA!AN54</f>
        <v>1.3502522702441479E-3</v>
      </c>
      <c r="R49" s="637">
        <f>NVDA!AP54</f>
        <v>2.208131108303972E-3</v>
      </c>
      <c r="S49" s="637">
        <f>NVDA!AQ54</f>
        <v>2.4451481460995264E-3</v>
      </c>
      <c r="T49" s="637">
        <f>NVDA!AR54</f>
        <v>2.6323047274457749E-3</v>
      </c>
      <c r="U49" s="637">
        <f>NVDA!AS54</f>
        <v>3.433903568627032E-3</v>
      </c>
      <c r="V49" s="637">
        <f>NVDA!AU54</f>
        <v>3.9100081829418192E-3</v>
      </c>
      <c r="W49" s="637">
        <f>NVDA!AV54</f>
        <v>3.7498044117786921E-3</v>
      </c>
      <c r="X49" s="637">
        <f>NVDA!AW54</f>
        <v>5.1644747772963727E-3</v>
      </c>
      <c r="Y49" s="637">
        <f>NVDA!AX54</f>
        <v>6.2704656377455979E-3</v>
      </c>
      <c r="Z49" s="637">
        <f>NVDA!AZ54</f>
        <v>5.5264591784375382E-3</v>
      </c>
      <c r="AA49" s="637">
        <f>NVDA!BA54</f>
        <v>7.1515220770101496E-3</v>
      </c>
      <c r="AB49" s="637">
        <f>NVDA!BB54</f>
        <v>9.6112058206970791E-3</v>
      </c>
      <c r="AC49" s="637">
        <f>NVDA!BC54</f>
        <v>1.0710955672690679E-2</v>
      </c>
      <c r="AD49" s="637">
        <f>NVDA!BE54</f>
        <v>7.4665661017349963E-3</v>
      </c>
      <c r="AE49" s="637">
        <f>NVDA!BF54</f>
        <v>1.799533214264143E-3</v>
      </c>
      <c r="AF49" s="637">
        <f>NVDA!BG54</f>
        <v>1.1197691555542937E-3</v>
      </c>
      <c r="AG49" s="637">
        <f>NVDA!BH54</f>
        <v>-6.0052176824561231E-3</v>
      </c>
      <c r="AH49" s="637">
        <f>NVDA!BJ54</f>
        <v>-3.5606676661005658E-3</v>
      </c>
      <c r="AI49" s="637">
        <f>NVDA!BK54</f>
        <v>5.4893492228531696E-4</v>
      </c>
      <c r="AJ49" s="637">
        <f>NVDA!BL54</f>
        <v>3.8010484330087517E-3</v>
      </c>
      <c r="AK49" s="637">
        <f>NVDA!BM54</f>
        <v>5.6296288660856487E-3</v>
      </c>
      <c r="AL49" s="637">
        <f>NVDA!BO54</f>
        <v>5.8204187161694544E-3</v>
      </c>
      <c r="AM49" s="637">
        <f>NVDA!BP54</f>
        <v>8.6322059538138617E-4</v>
      </c>
      <c r="AN49" s="637">
        <f>NVDA!BQ54</f>
        <v>3.6412207713748274E-3</v>
      </c>
      <c r="AO49" s="637">
        <f>NVDA!BR54</f>
        <v>4.7647446052673141E-3</v>
      </c>
      <c r="AP49" s="637">
        <f>NVDA!BT54</f>
        <v>5.5103802280129233E-3</v>
      </c>
      <c r="AQ49" s="637">
        <f>NVDA!BU54</f>
        <v>6.4801346724566479E-3</v>
      </c>
      <c r="AR49" s="637">
        <f>NVDA!BV54</f>
        <v>7.525180911402308E-3</v>
      </c>
      <c r="AS49" s="637">
        <f>NVDA!BW54</f>
        <v>5.188215629187887E-3</v>
      </c>
      <c r="AT49" s="637">
        <f>NVDA!BY54</f>
        <v>2.9097979916189232E-3</v>
      </c>
      <c r="AU49" s="637">
        <f>NVDA!BZ54</f>
        <v>5.7771249937815213E-3</v>
      </c>
      <c r="AV49" s="637">
        <f>NVDA!CA54</f>
        <v>8.6504623555884157E-3</v>
      </c>
      <c r="AW49" s="637">
        <f>NVDA!CB54</f>
        <v>7.3418695278914788E-3</v>
      </c>
      <c r="AX49" s="637">
        <f>NVDA!CD54</f>
        <v>3.387321532951613E-3</v>
      </c>
      <c r="AY49" s="637">
        <f>NVDA!CE54</f>
        <v>4.4812890409894526E-3</v>
      </c>
      <c r="AZ49" s="637">
        <f>NVDA!CF54</f>
        <v>5.0739105769492133E-3</v>
      </c>
      <c r="BA49" s="637">
        <f>NVDA!CG54</f>
        <v>6.4944332439604022E-3</v>
      </c>
      <c r="BB49" s="637">
        <f>NVDA!CI54</f>
        <v>5.9400759437749648E-3</v>
      </c>
      <c r="BC49" s="637">
        <f>NVDA!CJ54</f>
        <v>6.1348962094179196E-3</v>
      </c>
      <c r="BD49" s="637">
        <f>NVDA!CK54</f>
        <v>8.3303326221199937E-3</v>
      </c>
      <c r="BE49" s="637">
        <f>NVDA!CL54</f>
        <v>9.2349521087081114E-3</v>
      </c>
      <c r="BF49" s="637">
        <f>NVDA!CN54</f>
        <v>6.6281138790035589E-3</v>
      </c>
      <c r="BG49" s="637">
        <f>NVDA!CO54</f>
        <v>6.8840579710144926E-3</v>
      </c>
      <c r="BH49" s="637">
        <f>NVDA!CP54</f>
        <v>9.3693693693693691E-3</v>
      </c>
      <c r="BI49" s="637">
        <f>NVDA!CQ54</f>
        <v>1.0405643738977073E-2</v>
      </c>
      <c r="BJ49" s="637">
        <f>NVDA!CS54</f>
        <v>9.3749999999999997E-3</v>
      </c>
      <c r="BK49" s="638">
        <f>NVDA!CT54</f>
        <v>1.0786802030456852E-2</v>
      </c>
      <c r="BL49" s="638">
        <f>NVDA!CU54</f>
        <v>2.0764802631578948E-2</v>
      </c>
      <c r="BM49" s="637">
        <f>NVDA!CV54</f>
        <v>2.5400641025641026E-2</v>
      </c>
      <c r="BN49" s="637">
        <f>NVDA!CX54</f>
        <v>1.8181818181818181E-2</v>
      </c>
      <c r="BO49" s="637">
        <f>NVDA!CY54</f>
        <v>2.2138314785373609E-2</v>
      </c>
      <c r="BP49" s="637">
        <f>NVDA!CZ54</f>
        <v>2.8993610223642174E-2</v>
      </c>
      <c r="BQ49" s="637">
        <f>NVDA!DA54</f>
        <v>3.8078149920255183E-2</v>
      </c>
      <c r="BR49" s="637">
        <f>NVDA!DC54</f>
        <v>4.6092503987240831E-2</v>
      </c>
      <c r="BS49" s="637">
        <f>NVDA!DD54</f>
        <v>4.3159999999999997E-2</v>
      </c>
      <c r="BT49" s="637">
        <f>NVDA!DE54</f>
        <v>4.0439999999999997E-2</v>
      </c>
      <c r="BU49" s="637">
        <f>NVDA!DF54</f>
        <v>1.3731825525040387E-2</v>
      </c>
      <c r="BV49" s="637">
        <f>NVDA!DH54</f>
        <v>1.4813311688311688E-2</v>
      </c>
      <c r="BW49" s="637">
        <f>NVDA!DI54</f>
        <v>2.1834415584415585E-2</v>
      </c>
      <c r="BX49" s="637">
        <f>NVDA!DJ54</f>
        <v>3.5558252427184467E-2</v>
      </c>
      <c r="BY49" s="637">
        <f>NVDA!DK54</f>
        <v>3.8325281803542673E-2</v>
      </c>
      <c r="BZ49" s="637">
        <f>NVDA!DM54</f>
        <v>3.6012861736334403E-2</v>
      </c>
      <c r="CA49" s="637">
        <f>NVDA!DN54</f>
        <v>3.9616613418530351E-2</v>
      </c>
      <c r="CB49" s="637">
        <f>NVDA!DO54</f>
        <v>5.7579365079365077E-2</v>
      </c>
      <c r="CC49" s="637">
        <f>NVDA!DP54</f>
        <v>6.1014263074484945E-2</v>
      </c>
      <c r="CD49" s="637">
        <f>NVDA!DR54</f>
        <v>7.4525316455696197E-2</v>
      </c>
      <c r="CE49" s="637">
        <f>NVDA!DS54</f>
        <v>8.5229067930489733E-2</v>
      </c>
      <c r="CF49" s="637">
        <f>NVDA!DT54</f>
        <v>9.5114263199369581E-2</v>
      </c>
      <c r="CG49" s="637">
        <f>NVDA!DU54</f>
        <v>0.1099803536345776</v>
      </c>
      <c r="CH49" s="637">
        <f>NVDA!DW54</f>
        <v>0.11292865589278675</v>
      </c>
      <c r="CI49" s="637">
        <f>NVDA!DX54</f>
        <v>2.5556438791732909E-2</v>
      </c>
      <c r="CJ49" s="637">
        <f>NVDA!DY54</f>
        <v>2.8451380552220889E-2</v>
      </c>
      <c r="CK49" s="637">
        <f>NVDA!DZ54</f>
        <v>5.7932983447719015E-2</v>
      </c>
      <c r="CL49" s="637">
        <f>NVDA!EB54</f>
        <v>7.9437751004016066E-2</v>
      </c>
      <c r="CM49" s="637">
        <f>NVDA!EC54</f>
        <v>0.23601440576230492</v>
      </c>
      <c r="CN49" s="637">
        <f>NVDA!ED54</f>
        <v>0.36251002405773858</v>
      </c>
      <c r="CO49" s="637">
        <f>NVDA!EE54</f>
        <v>0.47574297188755021</v>
      </c>
      <c r="CP49" s="637">
        <f>NVDA!EG54</f>
        <v>0.57159501807955004</v>
      </c>
      <c r="CQ49" s="637">
        <f>NVDA!EH54</f>
        <v>0.63578557630392785</v>
      </c>
      <c r="CR49" s="637">
        <f>NVDA!EI54</f>
        <v>0.75716476951642853</v>
      </c>
      <c r="CS49" s="637">
        <f>NVDA!EJ54</f>
        <v>0.8396745729782239</v>
      </c>
      <c r="CT49" s="637">
        <f>NVDA!EL54</f>
        <v>0.74844581691113732</v>
      </c>
      <c r="CU49" s="637">
        <f>NVDA!EM54</f>
        <v>0.98479536931354961</v>
      </c>
      <c r="CV49" s="637">
        <f>NVDA!EN54</f>
        <v>1.2299146346444472</v>
      </c>
      <c r="CW49" s="637">
        <f>NVDA!EO54</f>
        <v>1.5520219384413882</v>
      </c>
      <c r="CX49" s="637">
        <f>NVDA!EQ54</f>
        <v>1.8674101102865812</v>
      </c>
      <c r="CY49" s="639">
        <f>NVDA!ER54</f>
        <v>2.1162258697567786</v>
      </c>
      <c r="CZ49" s="639">
        <f>NVDA!ES54</f>
        <v>2.5636890582306679</v>
      </c>
      <c r="DA49" s="639">
        <f>NVDA!ET54</f>
        <v>2.9517426695047355</v>
      </c>
      <c r="DB49" s="639">
        <f>NVDA!EV54</f>
        <v>3.2479876917207471</v>
      </c>
      <c r="DC49" s="639">
        <f>NVDA!EW54</f>
        <v>3.5892808208282614</v>
      </c>
      <c r="DD49" s="639">
        <f>NVDA!EX54</f>
        <v>4.0551324753528704</v>
      </c>
      <c r="DE49" s="639">
        <f>NVDA!EY54</f>
        <v>4.3558085926950545</v>
      </c>
      <c r="DF49" s="639">
        <f>NVDA!FA54</f>
        <v>4.4934218704696658</v>
      </c>
      <c r="DG49" s="639">
        <f>NVDA!FB54</f>
        <v>4.6561255755336362</v>
      </c>
      <c r="DH49" s="639">
        <f>NVDA!FC54</f>
        <v>5.0302478797631744</v>
      </c>
      <c r="DI49" s="639">
        <f>NVDA!FD54</f>
        <v>5.3230450699334311</v>
      </c>
      <c r="DJ49" s="639">
        <f>NVDA!FF54</f>
        <v>5.3938311973132853</v>
      </c>
      <c r="DK49" s="639">
        <f>NVDA!FG54</f>
        <v>5.486305465996054</v>
      </c>
      <c r="DL49" s="639">
        <f>NVDA!FH54</f>
        <v>5.7063104620063658</v>
      </c>
      <c r="DM49" s="639">
        <f>NVDA!FI54</f>
        <v>5.8665488958654732</v>
      </c>
      <c r="DN49" s="639">
        <f>NVDA!FK54</f>
        <v>6.011173865581485</v>
      </c>
      <c r="DO49" s="639">
        <f>NVDA!FL54</f>
        <v>6.2422857384482011</v>
      </c>
      <c r="DP49" s="639">
        <f>NVDA!FM54</f>
        <v>6.6852389841614448</v>
      </c>
      <c r="DQ49" s="639">
        <f>NVDA!FN54</f>
        <v>7.0139699477468209</v>
      </c>
      <c r="DT49" s="637">
        <f>SUM(B49:E49)</f>
        <v>9.462438532537221E-3</v>
      </c>
      <c r="DU49" s="637">
        <f>SUM(F49:I49)</f>
        <v>4.4873031404535618E-3</v>
      </c>
      <c r="DV49" s="637">
        <f>SUM(J49:M49)</f>
        <v>5.6518963915256162E-4</v>
      </c>
      <c r="DW49" s="637">
        <f>SUM(N49:Q49)</f>
        <v>6.7644486274361158E-4</v>
      </c>
      <c r="DX49" s="637">
        <f>SUM(R49:U49)</f>
        <v>1.0719487550476305E-2</v>
      </c>
      <c r="DY49" s="637">
        <f>SUM(V49:Y49)</f>
        <v>1.9094753009762482E-2</v>
      </c>
      <c r="DZ49" s="637">
        <f>SUM(Z49:AC49)</f>
        <v>3.3000142748835448E-2</v>
      </c>
      <c r="EA49" s="637">
        <f>SUM(AD49:AG49)</f>
        <v>4.3806507890973099E-3</v>
      </c>
      <c r="EB49" s="637">
        <f>SUM(AH49:AK49)</f>
        <v>6.4189445552791519E-3</v>
      </c>
      <c r="EC49" s="637">
        <f>SUM(AL49:AO49)</f>
        <v>1.5089604688192981E-2</v>
      </c>
      <c r="ED49" s="637">
        <f>SUM(AP49:AS49)</f>
        <v>2.4703911441059767E-2</v>
      </c>
      <c r="EE49" s="637">
        <f>SUM(AT49:AW49)</f>
        <v>2.4679254868880337E-2</v>
      </c>
      <c r="EF49" s="637">
        <f>SUM(AX49:BA49)</f>
        <v>1.9436954394850683E-2</v>
      </c>
      <c r="EG49" s="637">
        <f>SUM(BB49:BE49)</f>
        <v>2.9640256884020992E-2</v>
      </c>
      <c r="EH49" s="637">
        <f>SUM(BF49:BI49)</f>
        <v>3.3287184958364496E-2</v>
      </c>
      <c r="EI49" s="637">
        <f>SUM(BJ49:BM49)</f>
        <v>6.6327245687676825E-2</v>
      </c>
      <c r="EJ49" s="637">
        <f>NVDA!DB54</f>
        <v>0.10739189311108915</v>
      </c>
      <c r="EK49" s="637">
        <f>NVDA!DG54</f>
        <v>0.14342432951228121</v>
      </c>
      <c r="EL49" s="637">
        <f>NVDA!DL54</f>
        <v>0.11053126150345441</v>
      </c>
      <c r="EM49" s="637">
        <f>NVDA!DQ54</f>
        <v>0.19422310330871478</v>
      </c>
      <c r="EN49" s="637">
        <f>NVDA!DV54</f>
        <v>0.36484900122013308</v>
      </c>
      <c r="EO49" s="637">
        <f>NVDA!EA54</f>
        <v>0.22486945868445957</v>
      </c>
      <c r="EP49" s="637">
        <f>NVDA!EF54</f>
        <v>1.1537051527116098</v>
      </c>
      <c r="EQ49" s="637">
        <f>NVDA!EK54</f>
        <v>2.8042199368781304</v>
      </c>
      <c r="ER49" s="637">
        <f>NVDA!EP54</f>
        <v>4.5151777593105225</v>
      </c>
      <c r="ES49" s="639">
        <f>NVDA!EU54</f>
        <v>9.4990677077787637</v>
      </c>
      <c r="ET49" s="639">
        <f>NVDA!EZ54</f>
        <v>15.248209580596935</v>
      </c>
      <c r="EU49" s="639">
        <f>NVDA!FE54</f>
        <v>19.502840395699909</v>
      </c>
      <c r="EV49" s="639">
        <f>NVDA!FJ54</f>
        <v>22.452996021181182</v>
      </c>
      <c r="EW49" s="639">
        <f>NVDA!FO54</f>
        <v>25.952668535937953</v>
      </c>
    </row>
    <row r="50" spans="1:155" s="52" customFormat="1" ht="11.25" customHeight="1">
      <c r="A50" s="51" t="s">
        <v>223</v>
      </c>
      <c r="C50" s="52">
        <f>C49/B49-1</f>
        <v>5.6505948834032704E-2</v>
      </c>
      <c r="D50" s="52">
        <f>D49/C49-1</f>
        <v>0.31842867351155579</v>
      </c>
      <c r="E50" s="52">
        <f t="shared" ref="E50:BP50" si="102">E49/D49-1</f>
        <v>0.52896338681026345</v>
      </c>
      <c r="F50" s="52">
        <f t="shared" si="102"/>
        <v>-0.41228575280274682</v>
      </c>
      <c r="G50" s="52">
        <f t="shared" si="102"/>
        <v>-0.53588239632843448</v>
      </c>
      <c r="H50" s="52">
        <f t="shared" si="102"/>
        <v>-0.74535941360895674</v>
      </c>
      <c r="I50" s="52">
        <f t="shared" si="102"/>
        <v>3.4970880879872075</v>
      </c>
      <c r="J50" s="52">
        <f t="shared" si="102"/>
        <v>-0.84148305727702943</v>
      </c>
      <c r="K50" s="52">
        <f t="shared" si="102"/>
        <v>2.4502927762306781E-2</v>
      </c>
      <c r="L50" s="52">
        <f t="shared" si="102"/>
        <v>-1.5639880234481076</v>
      </c>
      <c r="M50" s="52">
        <f t="shared" si="102"/>
        <v>-3.965421090311481</v>
      </c>
      <c r="N50" s="52">
        <f t="shared" si="102"/>
        <v>-0.8575424063443583</v>
      </c>
      <c r="O50" s="52">
        <f t="shared" si="102"/>
        <v>-18.525475471176026</v>
      </c>
      <c r="P50" s="52">
        <f t="shared" si="102"/>
        <v>-1.0622508847989511</v>
      </c>
      <c r="Q50" s="52">
        <f t="shared" si="102"/>
        <v>27.350213729331561</v>
      </c>
      <c r="R50" s="52">
        <f t="shared" si="102"/>
        <v>0.63534708066419721</v>
      </c>
      <c r="S50" s="52">
        <f t="shared" si="102"/>
        <v>0.10733829929944827</v>
      </c>
      <c r="T50" s="52">
        <f t="shared" si="102"/>
        <v>7.6542021245133318E-2</v>
      </c>
      <c r="U50" s="52">
        <f t="shared" si="102"/>
        <v>0.30452357313474065</v>
      </c>
      <c r="V50" s="52">
        <f t="shared" si="102"/>
        <v>0.13864821908937497</v>
      </c>
      <c r="W50" s="52">
        <f t="shared" si="102"/>
        <v>-4.0972745750775585E-2</v>
      </c>
      <c r="X50" s="52">
        <f t="shared" si="102"/>
        <v>0.37726510776775202</v>
      </c>
      <c r="Y50" s="52">
        <f t="shared" si="102"/>
        <v>0.21415359898963748</v>
      </c>
      <c r="Z50" s="52">
        <f t="shared" si="102"/>
        <v>-0.11865250561767693</v>
      </c>
      <c r="AA50" s="52">
        <f t="shared" si="102"/>
        <v>0.29405137106831125</v>
      </c>
      <c r="AB50" s="52">
        <f t="shared" si="102"/>
        <v>0.34393849549790589</v>
      </c>
      <c r="AC50" s="52">
        <f t="shared" si="102"/>
        <v>0.114423712540352</v>
      </c>
      <c r="AD50" s="52">
        <f t="shared" si="102"/>
        <v>-0.30290383697766399</v>
      </c>
      <c r="AE50" s="52">
        <f t="shared" si="102"/>
        <v>-0.75898784129882846</v>
      </c>
      <c r="AF50" s="52">
        <f t="shared" si="102"/>
        <v>-0.37774465807112945</v>
      </c>
      <c r="AG50" s="52">
        <f t="shared" si="102"/>
        <v>-6.362906856890068</v>
      </c>
      <c r="AH50" s="52">
        <f t="shared" si="102"/>
        <v>-0.40707100818296083</v>
      </c>
      <c r="AI50" s="52">
        <f t="shared" si="102"/>
        <v>-1.1541662895168416</v>
      </c>
      <c r="AJ50" s="52">
        <f t="shared" si="102"/>
        <v>5.9244062978982797</v>
      </c>
      <c r="AK50" s="52">
        <f t="shared" si="102"/>
        <v>0.48107264753516144</v>
      </c>
      <c r="AL50" s="52">
        <f t="shared" si="102"/>
        <v>3.3890306914044377E-2</v>
      </c>
      <c r="AM50" s="52">
        <f t="shared" si="102"/>
        <v>-0.85169098006930155</v>
      </c>
      <c r="AN50" s="52">
        <f t="shared" si="102"/>
        <v>3.2181810661805068</v>
      </c>
      <c r="AO50" s="52">
        <f t="shared" si="102"/>
        <v>0.30855691111205941</v>
      </c>
      <c r="AP50" s="52">
        <f t="shared" si="102"/>
        <v>0.15649015519558507</v>
      </c>
      <c r="AQ50" s="52">
        <f t="shared" si="102"/>
        <v>0.17598684742548598</v>
      </c>
      <c r="AR50" s="52">
        <f t="shared" si="102"/>
        <v>0.16126921611483702</v>
      </c>
      <c r="AS50" s="52">
        <f t="shared" si="102"/>
        <v>-0.31055270427763448</v>
      </c>
      <c r="AT50" s="52">
        <f t="shared" si="102"/>
        <v>-0.43915245633798095</v>
      </c>
      <c r="AU50" s="52">
        <f t="shared" si="102"/>
        <v>0.98540414503733453</v>
      </c>
      <c r="AV50" s="52">
        <f t="shared" si="102"/>
        <v>0.49736458271194506</v>
      </c>
      <c r="AW50" s="52">
        <f t="shared" si="102"/>
        <v>-0.15127432198483048</v>
      </c>
      <c r="AX50" s="52">
        <f t="shared" si="102"/>
        <v>-0.53862956565990316</v>
      </c>
      <c r="AY50" s="52">
        <f t="shared" si="102"/>
        <v>0.32295945259279479</v>
      </c>
      <c r="AZ50" s="52">
        <f t="shared" si="102"/>
        <v>0.13224354210120581</v>
      </c>
      <c r="BA50" s="52">
        <f t="shared" si="102"/>
        <v>0.2799660430486548</v>
      </c>
      <c r="BB50" s="52">
        <f t="shared" si="102"/>
        <v>-8.5358841851361E-2</v>
      </c>
      <c r="BC50" s="52">
        <f t="shared" si="102"/>
        <v>3.2797605196802415E-2</v>
      </c>
      <c r="BD50" s="52">
        <f t="shared" si="102"/>
        <v>0.35786040020233334</v>
      </c>
      <c r="BE50" s="52">
        <f t="shared" si="102"/>
        <v>0.10859344129741366</v>
      </c>
      <c r="BF50" s="52">
        <f t="shared" si="102"/>
        <v>-0.28227956128179921</v>
      </c>
      <c r="BG50" s="52">
        <f t="shared" si="102"/>
        <v>3.8614920727555679E-2</v>
      </c>
      <c r="BH50" s="52">
        <f t="shared" si="102"/>
        <v>0.36102418207681364</v>
      </c>
      <c r="BI50" s="52">
        <f t="shared" si="102"/>
        <v>0.11060236060236073</v>
      </c>
      <c r="BJ50" s="52">
        <f>BJ49/BI49-1</f>
        <v>-9.9046610169491678E-2</v>
      </c>
      <c r="BK50" s="621">
        <f t="shared" si="102"/>
        <v>0.15059221658206434</v>
      </c>
      <c r="BL50" s="621">
        <f t="shared" si="102"/>
        <v>0.92501934984520129</v>
      </c>
      <c r="BM50" s="52">
        <f t="shared" si="102"/>
        <v>0.22325463315562333</v>
      </c>
      <c r="BN50" s="52">
        <f t="shared" si="102"/>
        <v>-0.2841984513908804</v>
      </c>
      <c r="BO50" s="52">
        <f t="shared" si="102"/>
        <v>0.21760731319554849</v>
      </c>
      <c r="BP50" s="52">
        <f t="shared" si="102"/>
        <v>0.30965751028157462</v>
      </c>
      <c r="BQ50" s="52">
        <f t="shared" ref="BQ50:DQ50" si="103">BQ49/BP49-1</f>
        <v>0.31332902755260306</v>
      </c>
      <c r="BR50" s="52">
        <f t="shared" si="103"/>
        <v>0.21047120418848175</v>
      </c>
      <c r="BS50" s="52">
        <f t="shared" si="103"/>
        <v>-6.3622145328719792E-2</v>
      </c>
      <c r="BT50" s="52">
        <f t="shared" si="103"/>
        <v>-6.302131603336425E-2</v>
      </c>
      <c r="BU50" s="52">
        <f t="shared" si="103"/>
        <v>-0.66043952707615261</v>
      </c>
      <c r="BV50" s="52">
        <f t="shared" si="103"/>
        <v>7.8757639419404057E-2</v>
      </c>
      <c r="BW50" s="52">
        <f t="shared" si="103"/>
        <v>0.47397260273972597</v>
      </c>
      <c r="BX50" s="52">
        <f t="shared" si="103"/>
        <v>0.62854152380264927</v>
      </c>
      <c r="BY50" s="52">
        <f t="shared" si="103"/>
        <v>7.7816798843657331E-2</v>
      </c>
      <c r="BZ50" s="52">
        <f t="shared" si="103"/>
        <v>-6.0336674862871198E-2</v>
      </c>
      <c r="CA50" s="52">
        <f t="shared" si="103"/>
        <v>0.10006846188954821</v>
      </c>
      <c r="CB50" s="52">
        <f t="shared" si="103"/>
        <v>0.45341461853558629</v>
      </c>
      <c r="CC50" s="52">
        <f t="shared" si="103"/>
        <v>5.9655016869070154E-2</v>
      </c>
      <c r="CD50" s="52">
        <f t="shared" si="103"/>
        <v>0.22144090087128054</v>
      </c>
      <c r="CE50" s="52">
        <f t="shared" si="103"/>
        <v>0.14362570981039302</v>
      </c>
      <c r="CF50" s="52">
        <f t="shared" si="103"/>
        <v>0.11598384810381734</v>
      </c>
      <c r="CG50" s="52">
        <f t="shared" si="103"/>
        <v>0.15629717284406786</v>
      </c>
      <c r="CH50" s="52">
        <f t="shared" si="103"/>
        <v>2.6807535716835584E-2</v>
      </c>
      <c r="CI50" s="52">
        <f t="shared" si="103"/>
        <v>-0.77369394340444542</v>
      </c>
      <c r="CJ50" s="52">
        <f t="shared" si="103"/>
        <v>0.11327641476497297</v>
      </c>
      <c r="CK50" s="52">
        <f t="shared" si="103"/>
        <v>1.0362099245548499</v>
      </c>
      <c r="CL50" s="52">
        <f t="shared" si="103"/>
        <v>0.37120076123308565</v>
      </c>
      <c r="CM50" s="52">
        <f t="shared" si="103"/>
        <v>1.9710610229936263</v>
      </c>
      <c r="CN50" s="52">
        <f t="shared" si="103"/>
        <v>0.53596566653151689</v>
      </c>
      <c r="CO50" s="52">
        <f t="shared" si="103"/>
        <v>0.31235811512835987</v>
      </c>
      <c r="CP50" s="52">
        <f t="shared" si="103"/>
        <v>0.20147863837420199</v>
      </c>
      <c r="CQ50" s="52">
        <f t="shared" si="103"/>
        <v>0.11230076574153114</v>
      </c>
      <c r="CR50" s="52">
        <f t="shared" si="103"/>
        <v>0.19091215299051889</v>
      </c>
      <c r="CS50" s="52">
        <f t="shared" si="103"/>
        <v>0.10897205837309509</v>
      </c>
      <c r="CT50" s="52">
        <f t="shared" si="103"/>
        <v>-0.10864775354993694</v>
      </c>
      <c r="CU50" s="52">
        <f t="shared" si="103"/>
        <v>0.31578712454808744</v>
      </c>
      <c r="CV50" s="52">
        <f t="shared" si="103"/>
        <v>0.24890375500217643</v>
      </c>
      <c r="CW50" s="52">
        <f t="shared" si="103"/>
        <v>0.26189403290583524</v>
      </c>
      <c r="CX50" s="52">
        <f t="shared" si="103"/>
        <v>0.20321115574044035</v>
      </c>
      <c r="CY50" s="53">
        <f t="shared" si="103"/>
        <v>0.13324109048119759</v>
      </c>
      <c r="CZ50" s="53">
        <f t="shared" si="103"/>
        <v>0.21144396487569495</v>
      </c>
      <c r="DA50" s="53">
        <f t="shared" si="103"/>
        <v>0.15136531867163439</v>
      </c>
      <c r="DB50" s="53">
        <f t="shared" si="103"/>
        <v>0.10036275359522362</v>
      </c>
      <c r="DC50" s="53">
        <f t="shared" si="103"/>
        <v>0.10507833203231787</v>
      </c>
      <c r="DD50" s="53">
        <f t="shared" si="103"/>
        <v>0.12978969263739848</v>
      </c>
      <c r="DE50" s="53">
        <f t="shared" si="103"/>
        <v>7.4147051710319323E-2</v>
      </c>
      <c r="DF50" s="53">
        <f t="shared" si="103"/>
        <v>3.1593049796861283E-2</v>
      </c>
      <c r="DG50" s="53">
        <f t="shared" si="103"/>
        <v>3.6209309909947196E-2</v>
      </c>
      <c r="DH50" s="53">
        <f t="shared" si="103"/>
        <v>8.035056146153452E-2</v>
      </c>
      <c r="DI50" s="53">
        <f t="shared" si="103"/>
        <v>5.820730850028033E-2</v>
      </c>
      <c r="DJ50" s="53">
        <f t="shared" si="103"/>
        <v>1.329805148178842E-2</v>
      </c>
      <c r="DK50" s="53">
        <f t="shared" si="103"/>
        <v>1.7144449890984959E-2</v>
      </c>
      <c r="DL50" s="53">
        <f t="shared" si="103"/>
        <v>4.0100755849978853E-2</v>
      </c>
      <c r="DM50" s="53">
        <f t="shared" si="103"/>
        <v>2.8080917595704635E-2</v>
      </c>
      <c r="DN50" s="53">
        <f t="shared" si="103"/>
        <v>2.4652478362182872E-2</v>
      </c>
      <c r="DO50" s="53">
        <f t="shared" si="103"/>
        <v>3.8447045125413304E-2</v>
      </c>
      <c r="DP50" s="53">
        <f t="shared" si="103"/>
        <v>7.096010408254072E-2</v>
      </c>
      <c r="DQ50" s="53">
        <f t="shared" si="103"/>
        <v>4.9172657008103915E-2</v>
      </c>
      <c r="DT50" s="54" t="s">
        <v>224</v>
      </c>
      <c r="DU50" s="54" t="s">
        <v>224</v>
      </c>
      <c r="DV50" s="54" t="s">
        <v>224</v>
      </c>
      <c r="DW50" s="54" t="s">
        <v>224</v>
      </c>
      <c r="DX50" s="54" t="s">
        <v>224</v>
      </c>
      <c r="DY50" s="54" t="s">
        <v>224</v>
      </c>
      <c r="DZ50" s="54" t="s">
        <v>224</v>
      </c>
      <c r="EA50" s="54" t="s">
        <v>224</v>
      </c>
      <c r="EB50" s="54" t="s">
        <v>224</v>
      </c>
      <c r="EC50" s="54" t="s">
        <v>224</v>
      </c>
      <c r="ED50" s="54" t="s">
        <v>224</v>
      </c>
      <c r="EE50" s="54" t="s">
        <v>224</v>
      </c>
      <c r="EF50" s="54" t="s">
        <v>224</v>
      </c>
      <c r="EG50" s="54" t="s">
        <v>224</v>
      </c>
      <c r="EH50" s="54" t="s">
        <v>224</v>
      </c>
      <c r="EI50" s="54" t="s">
        <v>224</v>
      </c>
      <c r="EJ50" s="54" t="s">
        <v>224</v>
      </c>
      <c r="EK50" s="54" t="s">
        <v>224</v>
      </c>
      <c r="EL50" s="54" t="s">
        <v>224</v>
      </c>
      <c r="EM50" s="54" t="s">
        <v>224</v>
      </c>
      <c r="EN50" s="54" t="s">
        <v>224</v>
      </c>
      <c r="EO50" s="54" t="s">
        <v>224</v>
      </c>
      <c r="EP50" s="54" t="s">
        <v>224</v>
      </c>
      <c r="EQ50" s="54" t="s">
        <v>224</v>
      </c>
      <c r="ER50" s="54" t="s">
        <v>224</v>
      </c>
      <c r="ES50" s="55" t="s">
        <v>224</v>
      </c>
      <c r="ET50" s="55" t="s">
        <v>224</v>
      </c>
      <c r="EU50" s="55" t="s">
        <v>224</v>
      </c>
      <c r="EV50" s="55" t="s">
        <v>224</v>
      </c>
      <c r="EW50" s="55" t="s">
        <v>224</v>
      </c>
    </row>
    <row r="51" spans="1:155" s="52" customFormat="1" ht="11.25" customHeight="1">
      <c r="A51" s="51" t="s">
        <v>225</v>
      </c>
      <c r="F51" s="52">
        <f>F49/B49-1</f>
        <v>0.25167590190289069</v>
      </c>
      <c r="G51" s="52">
        <f t="shared" ref="G51:BR51" si="104">G49/C49-1</f>
        <v>-0.4501452445149714</v>
      </c>
      <c r="H51" s="52">
        <f t="shared" si="104"/>
        <v>-0.89380135597803034</v>
      </c>
      <c r="I51" s="52">
        <f t="shared" si="104"/>
        <v>-0.68764153470807776</v>
      </c>
      <c r="J51" s="52">
        <f t="shared" si="104"/>
        <v>-0.91575138906731945</v>
      </c>
      <c r="K51" s="52">
        <f t="shared" si="104"/>
        <v>-0.81402785010172041</v>
      </c>
      <c r="L51" s="52">
        <f t="shared" si="104"/>
        <v>-1.4118984594091997</v>
      </c>
      <c r="M51" s="52">
        <f t="shared" si="104"/>
        <v>-0.72839038179802662</v>
      </c>
      <c r="N51" s="52">
        <f t="shared" si="104"/>
        <v>-0.75590714810591808</v>
      </c>
      <c r="O51" s="52">
        <f t="shared" si="104"/>
        <v>-5.1755305647614822</v>
      </c>
      <c r="P51" s="52">
        <f t="shared" si="104"/>
        <v>-1.4608794182761276</v>
      </c>
      <c r="Q51" s="52">
        <f t="shared" si="104"/>
        <v>3.4061297244654671</v>
      </c>
      <c r="R51" s="52">
        <f t="shared" si="104"/>
        <v>49.580324972708013</v>
      </c>
      <c r="S51" s="52">
        <f t="shared" si="104"/>
        <v>-4.1958922384394199</v>
      </c>
      <c r="T51" s="52">
        <f t="shared" si="104"/>
        <v>54.268488169491384</v>
      </c>
      <c r="U51" s="52">
        <f t="shared" si="104"/>
        <v>1.5431570413180089</v>
      </c>
      <c r="V51" s="52">
        <f t="shared" si="104"/>
        <v>0.77073189551005883</v>
      </c>
      <c r="W51" s="52">
        <f t="shared" si="104"/>
        <v>0.53356941490859722</v>
      </c>
      <c r="X51" s="52">
        <f t="shared" si="104"/>
        <v>0.96195931399920354</v>
      </c>
      <c r="Y51" s="52">
        <f t="shared" si="104"/>
        <v>0.82604593065282272</v>
      </c>
      <c r="Z51" s="52">
        <f t="shared" si="104"/>
        <v>0.4134137116509895</v>
      </c>
      <c r="AA51" s="52">
        <f t="shared" si="104"/>
        <v>0.90717202597185009</v>
      </c>
      <c r="AB51" s="52">
        <f t="shared" si="104"/>
        <v>0.86102289877550553</v>
      </c>
      <c r="AC51" s="52">
        <f t="shared" si="104"/>
        <v>0.70815953574726187</v>
      </c>
      <c r="AD51" s="52">
        <f t="shared" si="104"/>
        <v>0.35105785832402958</v>
      </c>
      <c r="AE51" s="52">
        <f t="shared" si="104"/>
        <v>-0.74837059930933236</v>
      </c>
      <c r="AF51" s="52">
        <f t="shared" si="104"/>
        <v>-0.88349337466658484</v>
      </c>
      <c r="AG51" s="52">
        <f t="shared" si="104"/>
        <v>-1.5606612393857069</v>
      </c>
      <c r="AH51" s="52">
        <f t="shared" si="104"/>
        <v>-1.4768815567404108</v>
      </c>
      <c r="AI51" s="52">
        <f t="shared" si="104"/>
        <v>-0.69495704889793597</v>
      </c>
      <c r="AJ51" s="52">
        <f t="shared" si="104"/>
        <v>2.394492886462126</v>
      </c>
      <c r="AK51" s="52">
        <f t="shared" si="104"/>
        <v>-1.9374562528403034</v>
      </c>
      <c r="AL51" s="52">
        <f t="shared" si="104"/>
        <v>-2.634642505837574</v>
      </c>
      <c r="AM51" s="52">
        <f t="shared" si="104"/>
        <v>0.57253721768627908</v>
      </c>
      <c r="AN51" s="52">
        <f t="shared" si="104"/>
        <v>-4.2048309683707763E-2</v>
      </c>
      <c r="AO51" s="52">
        <f t="shared" si="104"/>
        <v>-0.15363077769275746</v>
      </c>
      <c r="AP51" s="52">
        <f t="shared" si="104"/>
        <v>-5.3267385608397277E-2</v>
      </c>
      <c r="AQ51" s="52">
        <f t="shared" si="104"/>
        <v>6.5069277854678731</v>
      </c>
      <c r="AR51" s="52">
        <f t="shared" si="104"/>
        <v>1.0666642820893832</v>
      </c>
      <c r="AS51" s="52">
        <f t="shared" si="104"/>
        <v>8.8875912352665454E-2</v>
      </c>
      <c r="AT51" s="52">
        <f t="shared" si="104"/>
        <v>-0.47194243024710214</v>
      </c>
      <c r="AU51" s="52">
        <f t="shared" si="104"/>
        <v>-0.10848689328374905</v>
      </c>
      <c r="AV51" s="52">
        <f t="shared" si="104"/>
        <v>0.14953546731096634</v>
      </c>
      <c r="AW51" s="52">
        <f t="shared" si="104"/>
        <v>0.4151049325297036</v>
      </c>
      <c r="AX51" s="52">
        <f t="shared" si="104"/>
        <v>0.16410882910363478</v>
      </c>
      <c r="AY51" s="52">
        <f t="shared" si="104"/>
        <v>-0.22430464187409871</v>
      </c>
      <c r="AZ51" s="52">
        <f t="shared" si="104"/>
        <v>-0.41345209442228947</v>
      </c>
      <c r="BA51" s="52">
        <f t="shared" si="104"/>
        <v>-0.1154251353434842</v>
      </c>
      <c r="BB51" s="52">
        <f t="shared" si="104"/>
        <v>0.75362034161515101</v>
      </c>
      <c r="BC51" s="52">
        <f t="shared" si="104"/>
        <v>0.36900256897139494</v>
      </c>
      <c r="BD51" s="52">
        <f t="shared" si="104"/>
        <v>0.64179728747383002</v>
      </c>
      <c r="BE51" s="52">
        <f t="shared" si="104"/>
        <v>0.42197968041265144</v>
      </c>
      <c r="BF51" s="52">
        <f t="shared" si="104"/>
        <v>0.11582982132570852</v>
      </c>
      <c r="BG51" s="52">
        <f t="shared" si="104"/>
        <v>0.12211482248819561</v>
      </c>
      <c r="BH51" s="52">
        <f t="shared" si="104"/>
        <v>0.1247293228712576</v>
      </c>
      <c r="BI51" s="52">
        <f t="shared" si="104"/>
        <v>0.1267674825476417</v>
      </c>
      <c r="BJ51" s="52">
        <f t="shared" si="104"/>
        <v>0.4144295302013421</v>
      </c>
      <c r="BK51" s="621">
        <f t="shared" si="104"/>
        <v>0.56692492652952176</v>
      </c>
      <c r="BL51" s="621">
        <f t="shared" si="104"/>
        <v>1.2162433577935223</v>
      </c>
      <c r="BM51" s="52">
        <f t="shared" si="104"/>
        <v>1.441044654498044</v>
      </c>
      <c r="BN51" s="52">
        <f t="shared" si="104"/>
        <v>0.93939393939393945</v>
      </c>
      <c r="BO51" s="52">
        <f t="shared" si="104"/>
        <v>1.0523520059852243</v>
      </c>
      <c r="BP51" s="52">
        <f t="shared" si="104"/>
        <v>0.39628633789896561</v>
      </c>
      <c r="BQ51" s="52">
        <f t="shared" si="104"/>
        <v>0.49910192745988868</v>
      </c>
      <c r="BR51" s="52">
        <f t="shared" si="104"/>
        <v>1.5350877192982457</v>
      </c>
      <c r="BS51" s="52">
        <f t="shared" ref="BS51:DQ51" si="105">BS49/BO49-1</f>
        <v>0.94956122082585259</v>
      </c>
      <c r="BT51" s="52">
        <f t="shared" si="105"/>
        <v>0.394790082644628</v>
      </c>
      <c r="BU51" s="52">
        <f t="shared" si="105"/>
        <v>-0.63937781762511736</v>
      </c>
      <c r="BV51" s="52">
        <f t="shared" si="105"/>
        <v>-0.67861777063766682</v>
      </c>
      <c r="BW51" s="52">
        <f t="shared" si="105"/>
        <v>-0.49410529229806333</v>
      </c>
      <c r="BX51" s="52">
        <f t="shared" si="105"/>
        <v>-0.12071581535152154</v>
      </c>
      <c r="BY51" s="52">
        <f t="shared" si="105"/>
        <v>1.7909822866344607</v>
      </c>
      <c r="BZ51" s="52">
        <f t="shared" si="105"/>
        <v>1.4311148306391224</v>
      </c>
      <c r="CA51" s="52">
        <f t="shared" si="105"/>
        <v>0.81441143983752395</v>
      </c>
      <c r="CB51" s="52">
        <f t="shared" si="105"/>
        <v>0.61929681997941377</v>
      </c>
      <c r="CC51" s="52">
        <f t="shared" si="105"/>
        <v>0.59201081383425014</v>
      </c>
      <c r="CD51" s="52">
        <f t="shared" si="105"/>
        <v>1.0694083408679926</v>
      </c>
      <c r="CE51" s="52">
        <f t="shared" si="105"/>
        <v>1.1513466340518779</v>
      </c>
      <c r="CF51" s="52">
        <f t="shared" si="105"/>
        <v>0.6518810700372939</v>
      </c>
      <c r="CG51" s="52">
        <f t="shared" si="105"/>
        <v>0.80253514658229785</v>
      </c>
      <c r="CH51" s="52">
        <f t="shared" si="105"/>
        <v>0.51530595592868855</v>
      </c>
      <c r="CI51" s="52">
        <f t="shared" si="105"/>
        <v>-0.70014410092368995</v>
      </c>
      <c r="CJ51" s="52">
        <f t="shared" si="105"/>
        <v>-0.70087156652221783</v>
      </c>
      <c r="CK51" s="52">
        <f t="shared" si="105"/>
        <v>-0.47324243346036121</v>
      </c>
      <c r="CL51" s="52">
        <f t="shared" si="105"/>
        <v>-0.29656693089986463</v>
      </c>
      <c r="CM51" s="52">
        <f t="shared" si="105"/>
        <v>8.2350271368267371</v>
      </c>
      <c r="CN51" s="52">
        <f t="shared" si="105"/>
        <v>11.741386077641192</v>
      </c>
      <c r="CO51" s="52">
        <f t="shared" si="105"/>
        <v>7.2119535983655876</v>
      </c>
      <c r="CP51" s="52">
        <f t="shared" si="105"/>
        <v>6.1955085693532839</v>
      </c>
      <c r="CQ51" s="52">
        <f t="shared" si="105"/>
        <v>1.6938422434444145</v>
      </c>
      <c r="CR51" s="52">
        <f t="shared" si="105"/>
        <v>1.0886726414931673</v>
      </c>
      <c r="CS51" s="52">
        <f t="shared" si="105"/>
        <v>0.76497525469844452</v>
      </c>
      <c r="CT51" s="52">
        <f t="shared" si="105"/>
        <v>0.30939877577270036</v>
      </c>
      <c r="CU51" s="52">
        <f t="shared" si="105"/>
        <v>0.54894260898234482</v>
      </c>
      <c r="CV51" s="52">
        <f t="shared" si="105"/>
        <v>0.62436854455067348</v>
      </c>
      <c r="CW51" s="52">
        <f t="shared" si="105"/>
        <v>0.84836124420983072</v>
      </c>
      <c r="CX51" s="52">
        <f t="shared" si="105"/>
        <v>1.4950505007743242</v>
      </c>
      <c r="CY51" s="53">
        <f t="shared" si="105"/>
        <v>1.1488990867533131</v>
      </c>
      <c r="CZ51" s="53">
        <f t="shared" si="105"/>
        <v>1.084444713491679</v>
      </c>
      <c r="DA51" s="53">
        <f t="shared" si="105"/>
        <v>0.90186916588886046</v>
      </c>
      <c r="DB51" s="53">
        <f t="shared" si="105"/>
        <v>0.73930068913587288</v>
      </c>
      <c r="DC51" s="53">
        <f t="shared" si="105"/>
        <v>0.69607643121798879</v>
      </c>
      <c r="DD51" s="53">
        <f t="shared" si="105"/>
        <v>0.58175675101235691</v>
      </c>
      <c r="DE51" s="53">
        <f t="shared" si="105"/>
        <v>0.47567355301534575</v>
      </c>
      <c r="DF51" s="53">
        <f t="shared" si="105"/>
        <v>0.38344793667894161</v>
      </c>
      <c r="DG51" s="53">
        <f t="shared" si="105"/>
        <v>0.29723078465038855</v>
      </c>
      <c r="DH51" s="53">
        <f t="shared" si="105"/>
        <v>0.24046450031831612</v>
      </c>
      <c r="DI51" s="53">
        <f t="shared" si="105"/>
        <v>0.22205669892393542</v>
      </c>
      <c r="DJ51" s="53">
        <f t="shared" si="105"/>
        <v>0.20038388399741014</v>
      </c>
      <c r="DK51" s="53">
        <f t="shared" si="105"/>
        <v>0.17829843224691633</v>
      </c>
      <c r="DL51" s="53">
        <f t="shared" si="105"/>
        <v>0.13439945672717446</v>
      </c>
      <c r="DM51" s="53">
        <f t="shared" si="105"/>
        <v>0.10210393088759617</v>
      </c>
      <c r="DN51" s="53">
        <f t="shared" si="105"/>
        <v>0.11445346464971018</v>
      </c>
      <c r="DO51" s="53">
        <f t="shared" si="105"/>
        <v>0.1377940541476752</v>
      </c>
      <c r="DP51" s="53">
        <f t="shared" si="105"/>
        <v>0.17155192110085138</v>
      </c>
      <c r="DQ51" s="53">
        <f t="shared" si="105"/>
        <v>0.19558706016922622</v>
      </c>
      <c r="DU51" s="52">
        <f t="shared" ref="DU51:ET51" si="106">DU49/DT49-1</f>
        <v>-0.52577730095432873</v>
      </c>
      <c r="DV51" s="52">
        <f t="shared" si="106"/>
        <v>-0.874046922736886</v>
      </c>
      <c r="DW51" s="52">
        <f t="shared" si="106"/>
        <v>0.19684582993747846</v>
      </c>
      <c r="DX51" s="52">
        <f t="shared" si="106"/>
        <v>14.846801625484797</v>
      </c>
      <c r="DY51" s="52">
        <f t="shared" si="106"/>
        <v>0.78131211215540186</v>
      </c>
      <c r="DZ51" s="52">
        <f t="shared" si="106"/>
        <v>0.72823092982473381</v>
      </c>
      <c r="EA51" s="52">
        <f t="shared" si="106"/>
        <v>-0.86725358061513536</v>
      </c>
      <c r="EB51" s="52">
        <f t="shared" si="106"/>
        <v>0.46529473914122677</v>
      </c>
      <c r="EC51" s="52">
        <f t="shared" si="106"/>
        <v>1.3507921837060879</v>
      </c>
      <c r="ED51" s="52">
        <f t="shared" si="106"/>
        <v>0.63714768885825102</v>
      </c>
      <c r="EE51" s="52">
        <f t="shared" si="106"/>
        <v>-9.9808373415921636E-4</v>
      </c>
      <c r="EF51" s="52">
        <f t="shared" si="106"/>
        <v>-0.2124172914409993</v>
      </c>
      <c r="EG51" s="52">
        <f t="shared" si="106"/>
        <v>0.52494348043916839</v>
      </c>
      <c r="EH51" s="52">
        <f t="shared" si="106"/>
        <v>0.12303969188301989</v>
      </c>
      <c r="EI51" s="52">
        <f t="shared" si="106"/>
        <v>0.99257599495537785</v>
      </c>
      <c r="EJ51" s="52">
        <f t="shared" si="106"/>
        <v>0.61912185554603649</v>
      </c>
      <c r="EK51" s="52">
        <f t="shared" si="106"/>
        <v>0.33552287195383634</v>
      </c>
      <c r="EL51" s="52">
        <f t="shared" si="106"/>
        <v>-0.22934092228759706</v>
      </c>
      <c r="EM51" s="52">
        <f t="shared" si="106"/>
        <v>0.75717802065115092</v>
      </c>
      <c r="EN51" s="52">
        <f t="shared" si="106"/>
        <v>0.87850464236590287</v>
      </c>
      <c r="EO51" s="52">
        <f t="shared" si="106"/>
        <v>-0.38366431610762808</v>
      </c>
      <c r="EP51" s="52">
        <f t="shared" si="106"/>
        <v>4.1305551205622253</v>
      </c>
      <c r="EQ51" s="52">
        <f t="shared" si="106"/>
        <v>1.4306209695668213</v>
      </c>
      <c r="ER51" s="52">
        <f t="shared" si="106"/>
        <v>0.61013681556560062</v>
      </c>
      <c r="ES51" s="53">
        <f t="shared" si="106"/>
        <v>1.1038081364994348</v>
      </c>
      <c r="ET51" s="53">
        <f t="shared" si="106"/>
        <v>0.60523222380131192</v>
      </c>
      <c r="EU51" s="53">
        <f>EU49/ET49-1</f>
        <v>0.2790249433951193</v>
      </c>
      <c r="EV51" s="53">
        <f>EV49/EU49-1</f>
        <v>0.15126799817998515</v>
      </c>
      <c r="EW51" s="53">
        <f>EW49/EV49-1</f>
        <v>0.15586661626160403</v>
      </c>
    </row>
    <row r="52" spans="1:155" s="640" customFormat="1" ht="11.25" hidden="1" customHeight="1" outlineLevel="1">
      <c r="A52" s="636" t="s">
        <v>242</v>
      </c>
      <c r="B52" s="637">
        <f>NVDA!V53</f>
        <v>6.7841201449109184E-2</v>
      </c>
      <c r="C52" s="637">
        <f>NVDA!W53</f>
        <v>7.1674632907031854E-2</v>
      </c>
      <c r="D52" s="637">
        <f>NVDA!X53</f>
        <v>9.4497891188045705E-2</v>
      </c>
      <c r="E52" s="637">
        <f>NVDA!Y53</f>
        <v>0.14448381575730213</v>
      </c>
      <c r="F52" s="637">
        <f>NVDA!AA53</f>
        <v>8.4915197009989438E-2</v>
      </c>
      <c r="G52" s="637">
        <f>NVDA!AB53</f>
        <v>3.9410637751575196E-2</v>
      </c>
      <c r="H52" s="637">
        <f>NVDA!AC53</f>
        <v>1.003554790710609E-2</v>
      </c>
      <c r="I52" s="637">
        <f>NVDA!AD53</f>
        <v>1.1282685737367937E-3</v>
      </c>
      <c r="J52" s="637">
        <f>NVDA!AF53</f>
        <v>9.799513671778083E-4</v>
      </c>
      <c r="K52" s="637">
        <f>NVDA!AG53</f>
        <v>1.1529581612250849E-3</v>
      </c>
      <c r="L52" s="637">
        <f>NVDA!AH53</f>
        <v>8.5171345681080146E-4</v>
      </c>
      <c r="M52" s="637">
        <f>NVDA!AI53</f>
        <v>1.1412600992498666E-3</v>
      </c>
      <c r="N52" s="637">
        <f>NVDA!AK53</f>
        <v>9.9680261169847809E-4</v>
      </c>
      <c r="O52" s="637">
        <f>NVDA!AL53</f>
        <v>2.4043835966459635E-4</v>
      </c>
      <c r="P52" s="637">
        <f>NVDA!AM53</f>
        <v>1.2475246188346873E-3</v>
      </c>
      <c r="Q52" s="637">
        <f>NVDA!AN53</f>
        <v>2.2570335727220936E-3</v>
      </c>
      <c r="R52" s="637">
        <f>NVDA!AP53</f>
        <v>2.9753857973391275E-3</v>
      </c>
      <c r="S52" s="637">
        <f>NVDA!AQ53</f>
        <v>3.4495362944115641E-3</v>
      </c>
      <c r="T52" s="637">
        <f>NVDA!AR53</f>
        <v>3.5031141529122622E-3</v>
      </c>
      <c r="U52" s="637">
        <f>NVDA!AS53</f>
        <v>4.3901312042638717E-3</v>
      </c>
      <c r="V52" s="637">
        <f>NVDA!AU53</f>
        <v>4.7440947577814989E-3</v>
      </c>
      <c r="W52" s="637">
        <f>NVDA!AV53</f>
        <v>4.867445215847273E-3</v>
      </c>
      <c r="X52" s="637">
        <f>NVDA!AW53</f>
        <v>0.25838863971422588</v>
      </c>
      <c r="Y52" s="637">
        <f>NVDA!AX53</f>
        <v>0.30642175418162998</v>
      </c>
      <c r="Z52" s="637">
        <f>NVDA!AZ53</f>
        <v>0.28296037398327817</v>
      </c>
      <c r="AA52" s="637">
        <f>NVDA!BA53</f>
        <v>0.33670691333154834</v>
      </c>
      <c r="AB52" s="637">
        <f>NVDA!BB53</f>
        <v>0.44394495998709371</v>
      </c>
      <c r="AC52" s="637">
        <f>NVDA!BC53</f>
        <v>0.49312362641066776</v>
      </c>
      <c r="AD52" s="637">
        <f>NVDA!BE53</f>
        <v>8.9430715773434945E-3</v>
      </c>
      <c r="AE52" s="637">
        <f>NVDA!BF53</f>
        <v>3.2448843389502923E-3</v>
      </c>
      <c r="AF52" s="637">
        <f>NVDA!BG53</f>
        <v>2.7513745801862042E-3</v>
      </c>
      <c r="AG52" s="637">
        <f>NVDA!BH53</f>
        <v>-4.3868990597010753E-3</v>
      </c>
      <c r="AH52" s="637">
        <f>NVDA!BJ53</f>
        <v>-2.1516296120094331E-3</v>
      </c>
      <c r="AI52" s="637">
        <f>NVDA!BK53</f>
        <v>1.6764865321211785E-3</v>
      </c>
      <c r="AJ52" s="637">
        <f>NVDA!BL53</f>
        <v>4.8021261148958614E-3</v>
      </c>
      <c r="AK52" s="637">
        <f>NVDA!BM53</f>
        <v>6.6174638924823186E-3</v>
      </c>
      <c r="AL52" s="637">
        <f>NVDA!BO53</f>
        <v>6.9202550943574994E-3</v>
      </c>
      <c r="AM52" s="637">
        <f>NVDA!BP53</f>
        <v>1.7188062510474788E-3</v>
      </c>
      <c r="AN52" s="637">
        <f>NVDA!BQ53</f>
        <v>4.5263131863233896E-3</v>
      </c>
      <c r="AO52" s="637">
        <f>NVDA!BR53</f>
        <v>5.5802040921266128E-3</v>
      </c>
      <c r="AP52" s="637">
        <f>NVDA!BT53</f>
        <v>6.6280206284148923E-3</v>
      </c>
      <c r="AQ52" s="637">
        <f>NVDA!BU53</f>
        <v>7.7386409659097842E-3</v>
      </c>
      <c r="AR52" s="637">
        <f>NVDA!BV53</f>
        <v>8.7091498342478924E-3</v>
      </c>
      <c r="AS52" s="637">
        <f>NVDA!BW53</f>
        <v>6.530879411410076E-3</v>
      </c>
      <c r="AT52" s="637">
        <f>NVDA!BY53</f>
        <v>4.121497596932284E-3</v>
      </c>
      <c r="AU52" s="637">
        <f>NVDA!BZ53</f>
        <v>6.8382417839885851E-3</v>
      </c>
      <c r="AV52" s="637">
        <f>NVDA!CA53</f>
        <v>9.6595106902336771E-3</v>
      </c>
      <c r="AW52" s="637">
        <f>NVDA!CB53</f>
        <v>8.6903563080168132E-3</v>
      </c>
      <c r="AX52" s="637">
        <f>NVDA!CD53</f>
        <v>4.5939345828045122E-3</v>
      </c>
      <c r="AY52" s="637">
        <f>NVDA!CE53</f>
        <v>5.6304243538072276E-3</v>
      </c>
      <c r="AZ52" s="637">
        <f>NVDA!CF53</f>
        <v>6.3817617604696097E-3</v>
      </c>
      <c r="BA52" s="637">
        <f>NVDA!CG53</f>
        <v>7.8974921885283985E-3</v>
      </c>
      <c r="BB52" s="637">
        <f>NVDA!CI53</f>
        <v>7.2777259642860951E-3</v>
      </c>
      <c r="BC52" s="637">
        <f>NVDA!CJ53</f>
        <v>7.5989971467229391E-3</v>
      </c>
      <c r="BD52" s="637">
        <f>NVDA!CK53</f>
        <v>9.8725638255753798E-3</v>
      </c>
      <c r="BE52" s="637">
        <f>NVDA!CL53</f>
        <v>1.0828184263340118E-2</v>
      </c>
      <c r="BF52" s="637">
        <f>NVDA!CN53</f>
        <v>8.2295373665480422E-3</v>
      </c>
      <c r="BG52" s="637">
        <f>NVDA!CO53</f>
        <v>8.605072463768116E-3</v>
      </c>
      <c r="BH52" s="637">
        <f>NVDA!CP53</f>
        <v>1.1621621621621621E-2</v>
      </c>
      <c r="BI52" s="637">
        <f>NVDA!CQ53</f>
        <v>1.2918871252204586E-2</v>
      </c>
      <c r="BJ52" s="637">
        <f>NVDA!CS53</f>
        <v>1.1487676056338028E-2</v>
      </c>
      <c r="BK52" s="638">
        <f>NVDA!CT53</f>
        <v>1.3197969543147208E-2</v>
      </c>
      <c r="BL52" s="638">
        <f>NVDA!CU53</f>
        <v>2.34375E-2</v>
      </c>
      <c r="BM52" s="637">
        <f>NVDA!CV53</f>
        <v>2.8245192307692308E-2</v>
      </c>
      <c r="BN52" s="637">
        <f>NVDA!CX53</f>
        <v>2.1212121212121213E-2</v>
      </c>
      <c r="BO52" s="637">
        <f>NVDA!CY53</f>
        <v>2.5357710651828298E-2</v>
      </c>
      <c r="BP52" s="637">
        <f>NVDA!CZ53</f>
        <v>3.32667731629393E-2</v>
      </c>
      <c r="BQ52" s="637">
        <f>NVDA!DA53</f>
        <v>4.310207336523126E-2</v>
      </c>
      <c r="BR52" s="637">
        <f>NVDA!DC53</f>
        <v>5.1236044657097288E-2</v>
      </c>
      <c r="BS52" s="637">
        <f>NVDA!DD53</f>
        <v>4.8399999999999999E-2</v>
      </c>
      <c r="BT52" s="637">
        <f>NVDA!DE53</f>
        <v>4.6039999999999998E-2</v>
      </c>
      <c r="BU52" s="637">
        <f>NVDA!DF53</f>
        <v>2.0032310177705976E-2</v>
      </c>
      <c r="BV52" s="637">
        <f>NVDA!DH53</f>
        <v>2.2037337662337661E-2</v>
      </c>
      <c r="BW52" s="637">
        <f>NVDA!DI53</f>
        <v>3.0925324675324675E-2</v>
      </c>
      <c r="BX52" s="637">
        <f>NVDA!DJ53</f>
        <v>4.4579288025889965E-2</v>
      </c>
      <c r="BY52" s="637">
        <f>NVDA!DK53</f>
        <v>4.7181964573268918E-2</v>
      </c>
      <c r="BZ52" s="637">
        <f>NVDA!DM53</f>
        <v>4.5016077170418008E-2</v>
      </c>
      <c r="CA52" s="637">
        <f>NVDA!DN53</f>
        <v>5.4552715654952073E-2</v>
      </c>
      <c r="CB52" s="637">
        <f>NVDA!DO53</f>
        <v>7.2777777777777775E-2</v>
      </c>
      <c r="CC52" s="637">
        <f>NVDA!DP53</f>
        <v>7.7535657686212359E-2</v>
      </c>
      <c r="CD52" s="637">
        <f>NVDA!DR53</f>
        <v>9.1495253164556964E-2</v>
      </c>
      <c r="CE52" s="637">
        <f>NVDA!DS53</f>
        <v>0.10359399684044233</v>
      </c>
      <c r="CF52" s="637">
        <f>NVDA!DT53</f>
        <v>0.11713947990543735</v>
      </c>
      <c r="CG52" s="637">
        <f>NVDA!DU53</f>
        <v>0.13163064833005894</v>
      </c>
      <c r="CH52" s="637">
        <f>NVDA!DW53</f>
        <v>0.13571147024044147</v>
      </c>
      <c r="CI52" s="637">
        <f>NVDA!DX53</f>
        <v>5.1351351351351354E-2</v>
      </c>
      <c r="CJ52" s="637">
        <f>NVDA!DY53</f>
        <v>5.8263305322128853E-2</v>
      </c>
      <c r="CK52" s="637">
        <f>NVDA!DZ53</f>
        <v>8.7767460637868389E-2</v>
      </c>
      <c r="CL52" s="637">
        <f>NVDA!EB53</f>
        <v>0.10895582329317269</v>
      </c>
      <c r="CM52" s="637">
        <f>NVDA!EC53</f>
        <v>0.26970788315326133</v>
      </c>
      <c r="CN52" s="637">
        <f>NVDA!ED53</f>
        <v>0.40176423416198875</v>
      </c>
      <c r="CO52" s="637">
        <f>NVDA!EE53</f>
        <v>0.51562248995983939</v>
      </c>
      <c r="CP52" s="637">
        <f>NVDA!EG53</f>
        <v>0.61221374045801524</v>
      </c>
      <c r="CQ52" s="637">
        <f>NVDA!EH53</f>
        <v>0.68222794591113978</v>
      </c>
      <c r="CR52" s="637">
        <f>NVDA!EI53</f>
        <v>0.80770162266892709</v>
      </c>
      <c r="CS52" s="637">
        <f>NVDA!EJ53</f>
        <v>0.89314336598397148</v>
      </c>
      <c r="CT52" s="637">
        <f>NVDA!EL53</f>
        <v>0.80833773515907525</v>
      </c>
      <c r="CU52" s="637">
        <f>NVDA!EM53</f>
        <v>1.0509946192727866</v>
      </c>
      <c r="CV52" s="637">
        <f>NVDA!EN53</f>
        <v>1.2975125597353265</v>
      </c>
      <c r="CW52" s="637">
        <f>NVDA!EO53</f>
        <v>1.618860510805501</v>
      </c>
      <c r="CX52" s="637">
        <f>NVDA!EQ53</f>
        <v>1.9464556598745439</v>
      </c>
      <c r="CY52" s="639">
        <f>NVDA!ER53</f>
        <v>2.1848034673397723</v>
      </c>
      <c r="CZ52" s="639">
        <f>NVDA!ES53</f>
        <v>2.633933158001716</v>
      </c>
      <c r="DA52" s="639">
        <f>NVDA!ET53</f>
        <v>3.0236941034953482</v>
      </c>
      <c r="DB52" s="639">
        <f>NVDA!EV53</f>
        <v>3.3217335814270581</v>
      </c>
      <c r="DC52" s="639">
        <f>NVDA!EW53</f>
        <v>3.6648667551691005</v>
      </c>
      <c r="DD52" s="639">
        <f>NVDA!EX53</f>
        <v>4.1326533414338895</v>
      </c>
      <c r="DE52" s="639">
        <f>NVDA!EY53</f>
        <v>4.4353153873231239</v>
      </c>
      <c r="DF52" s="639">
        <f>NVDA!FA53</f>
        <v>4.5749670005940146</v>
      </c>
      <c r="DG52" s="639">
        <f>NVDA!FB53</f>
        <v>4.7397628983835478</v>
      </c>
      <c r="DH52" s="639">
        <f>NVDA!FC53</f>
        <v>5.1160327441249587</v>
      </c>
      <c r="DI52" s="639">
        <f>NVDA!FD53</f>
        <v>5.4110343585963996</v>
      </c>
      <c r="DJ52" s="639">
        <f>NVDA!FF53</f>
        <v>5.4841414290369555</v>
      </c>
      <c r="DK52" s="639">
        <f>NVDA!FG53</f>
        <v>5.5790004958366257</v>
      </c>
      <c r="DL52" s="639">
        <f>NVDA!FH53</f>
        <v>5.8014560073482047</v>
      </c>
      <c r="DM52" s="639">
        <f>NVDA!FI53</f>
        <v>5.9642125931997167</v>
      </c>
      <c r="DN52" s="639">
        <f>NVDA!FK53</f>
        <v>6.1114915900718234</v>
      </c>
      <c r="DO52" s="639">
        <f>NVDA!FL53</f>
        <v>6.3453336621996668</v>
      </c>
      <c r="DP52" s="639">
        <f>NVDA!FM53</f>
        <v>6.7910956262603932</v>
      </c>
      <c r="DQ52" s="639">
        <f>NVDA!FN53</f>
        <v>7.1227162512526148</v>
      </c>
      <c r="DT52" s="637">
        <f>SUM(B52:E52)</f>
        <v>0.37849754130148888</v>
      </c>
      <c r="DU52" s="637">
        <f>SUM(F52:I52)</f>
        <v>0.13548965124240753</v>
      </c>
      <c r="DV52" s="637">
        <f>SUM(J52:M52)</f>
        <v>4.1258830844635615E-3</v>
      </c>
      <c r="DW52" s="637">
        <f>SUM(N52:Q52)</f>
        <v>4.7417991629198561E-3</v>
      </c>
      <c r="DX52" s="637">
        <f>SUM(R52:U52)</f>
        <v>1.4318167448926826E-2</v>
      </c>
      <c r="DY52" s="637">
        <f>SUM(V52:Y52)</f>
        <v>0.5744219338694847</v>
      </c>
      <c r="DZ52" s="637">
        <f>SUM(Z52:AC52)</f>
        <v>1.556735873712588</v>
      </c>
      <c r="EA52" s="637">
        <f>SUM(AD52:AG52)</f>
        <v>1.0552431436778916E-2</v>
      </c>
      <c r="EB52" s="637">
        <f>SUM(AH52:AK52)</f>
        <v>1.0944446927489925E-2</v>
      </c>
      <c r="EC52" s="637">
        <f>SUM(AL52:AO52)</f>
        <v>1.874557862385498E-2</v>
      </c>
      <c r="ED52" s="637">
        <f>SUM(AP52:AS52)</f>
        <v>2.9606690839982644E-2</v>
      </c>
      <c r="EE52" s="637">
        <f>SUM(AT52:AW52)</f>
        <v>2.9309606379171359E-2</v>
      </c>
      <c r="EF52" s="637">
        <f>SUM(AX52:BA52)</f>
        <v>2.4503612885609746E-2</v>
      </c>
      <c r="EG52" s="637">
        <f>SUM(BB52:BE52)</f>
        <v>3.5577471199924535E-2</v>
      </c>
      <c r="EH52" s="637">
        <f>SUM(BF52:BI52)</f>
        <v>4.1375102704142366E-2</v>
      </c>
      <c r="EI52" s="637">
        <f>SUM(BJ52:BM52)</f>
        <v>7.636833790717755E-2</v>
      </c>
      <c r="EJ52" s="637">
        <f>NVDA!DB53</f>
        <v>0.12293867839212008</v>
      </c>
      <c r="EK52" s="637">
        <f>NVDA!DG53</f>
        <v>0.16570835483480326</v>
      </c>
      <c r="EL52" s="637">
        <f>NVDA!DL53</f>
        <v>0.14472391493682121</v>
      </c>
      <c r="EM52" s="641">
        <f>NVDA!DQ53</f>
        <v>0.24988222828936019</v>
      </c>
      <c r="EN52" s="641">
        <f>NVDA!DV53</f>
        <v>0.44385937824049559</v>
      </c>
      <c r="EO52" s="641">
        <f>NVDA!EA53</f>
        <v>0.33309358755179008</v>
      </c>
      <c r="EP52" s="641">
        <f>NVDA!EF53</f>
        <v>1.2960504305682621</v>
      </c>
      <c r="EQ52" s="641">
        <f>NVDA!EK53</f>
        <v>2.9952866750220535</v>
      </c>
      <c r="ER52" s="641">
        <f>NVDA!EP53</f>
        <v>4.7757054249726894</v>
      </c>
      <c r="ES52" s="642">
        <f>NVDA!EU53</f>
        <v>9.7888863887113811</v>
      </c>
      <c r="ET52" s="642">
        <f>NVDA!EZ53</f>
        <v>15.554569065353173</v>
      </c>
      <c r="EU52" s="642">
        <f>NVDA!FE53</f>
        <v>19.841797001698922</v>
      </c>
      <c r="EV52" s="642">
        <f>NVDA!FJ53</f>
        <v>22.828810525421503</v>
      </c>
      <c r="EW52" s="642">
        <f>NVDA!FO53</f>
        <v>26.370637129784498</v>
      </c>
    </row>
    <row r="53" spans="1:155" s="52" customFormat="1" ht="11.25" hidden="1" customHeight="1" outlineLevel="1">
      <c r="A53" s="51" t="s">
        <v>223</v>
      </c>
      <c r="C53" s="52">
        <f t="shared" ref="C53:BN53" si="107">C52/B52-1</f>
        <v>5.6505948834032704E-2</v>
      </c>
      <c r="D53" s="52">
        <f t="shared" si="107"/>
        <v>0.31842867351155557</v>
      </c>
      <c r="E53" s="52">
        <f t="shared" si="107"/>
        <v>0.52896338681026367</v>
      </c>
      <c r="F53" s="52">
        <f t="shared" si="107"/>
        <v>-0.41228575280274682</v>
      </c>
      <c r="G53" s="52">
        <f t="shared" si="107"/>
        <v>-0.53588239632843426</v>
      </c>
      <c r="H53" s="52">
        <f t="shared" si="107"/>
        <v>-0.74535941360895686</v>
      </c>
      <c r="I53" s="52">
        <f t="shared" si="107"/>
        <v>-0.88757279780031983</v>
      </c>
      <c r="J53" s="52">
        <f t="shared" si="107"/>
        <v>-0.13145558602927587</v>
      </c>
      <c r="K53" s="52">
        <f t="shared" si="107"/>
        <v>0.17654630611468414</v>
      </c>
      <c r="L53" s="52">
        <f t="shared" si="107"/>
        <v>-0.26127982310667153</v>
      </c>
      <c r="M53" s="52">
        <f t="shared" si="107"/>
        <v>0.33995781107328993</v>
      </c>
      <c r="N53" s="52">
        <f t="shared" si="107"/>
        <v>-0.12657718222720515</v>
      </c>
      <c r="O53" s="52">
        <f t="shared" si="107"/>
        <v>-0.75879039958080852</v>
      </c>
      <c r="P53" s="52">
        <f t="shared" si="107"/>
        <v>4.1885423797390038</v>
      </c>
      <c r="Q53" s="52">
        <f t="shared" si="107"/>
        <v>0.80920964496106573</v>
      </c>
      <c r="R53" s="52">
        <f t="shared" si="107"/>
        <v>0.31827272456149869</v>
      </c>
      <c r="S53" s="52">
        <f t="shared" si="107"/>
        <v>0.15935765287865089</v>
      </c>
      <c r="T53" s="52">
        <f t="shared" si="107"/>
        <v>1.5531901660955638E-2</v>
      </c>
      <c r="U53" s="52">
        <f t="shared" si="107"/>
        <v>0.25320814927318347</v>
      </c>
      <c r="V53" s="52">
        <f t="shared" si="107"/>
        <v>8.0627101343541563E-2</v>
      </c>
      <c r="W53" s="52">
        <f t="shared" si="107"/>
        <v>2.600084196536101E-2</v>
      </c>
      <c r="X53" s="52">
        <f t="shared" si="107"/>
        <v>52.085063776983539</v>
      </c>
      <c r="Y53" s="52">
        <f t="shared" si="107"/>
        <v>0.18589483856770195</v>
      </c>
      <c r="Z53" s="52">
        <f t="shared" si="107"/>
        <v>-7.6565648091829641E-2</v>
      </c>
      <c r="AA53" s="52">
        <f t="shared" si="107"/>
        <v>0.18994369632634989</v>
      </c>
      <c r="AB53" s="52">
        <f t="shared" si="107"/>
        <v>0.31849077761569533</v>
      </c>
      <c r="AC53" s="52">
        <f t="shared" si="107"/>
        <v>0.11077649451185057</v>
      </c>
      <c r="AD53" s="52">
        <f t="shared" si="107"/>
        <v>-0.98186444311655063</v>
      </c>
      <c r="AE53" s="52">
        <f t="shared" si="107"/>
        <v>-0.63716220865648343</v>
      </c>
      <c r="AF53" s="52">
        <f t="shared" si="107"/>
        <v>-0.15208855145935241</v>
      </c>
      <c r="AG53" s="52">
        <f t="shared" si="107"/>
        <v>-2.5944390455930519</v>
      </c>
      <c r="AH53" s="52">
        <f t="shared" si="107"/>
        <v>-0.50953291089491226</v>
      </c>
      <c r="AI53" s="52">
        <f t="shared" si="107"/>
        <v>-1.7791705983054804</v>
      </c>
      <c r="AJ53" s="52">
        <f t="shared" si="107"/>
        <v>1.8643988620773233</v>
      </c>
      <c r="AK53" s="52">
        <f t="shared" si="107"/>
        <v>0.37802792641272065</v>
      </c>
      <c r="AL53" s="52">
        <f t="shared" si="107"/>
        <v>4.5756381416627301E-2</v>
      </c>
      <c r="AM53" s="52">
        <f t="shared" si="107"/>
        <v>-0.751626749648445</v>
      </c>
      <c r="AN53" s="52">
        <f t="shared" si="107"/>
        <v>1.6334051226337776</v>
      </c>
      <c r="AO53" s="52">
        <f t="shared" si="107"/>
        <v>0.23283649681768326</v>
      </c>
      <c r="AP53" s="52">
        <f t="shared" si="107"/>
        <v>0.18777387331884432</v>
      </c>
      <c r="AQ53" s="52">
        <f t="shared" si="107"/>
        <v>0.16756440568901776</v>
      </c>
      <c r="AR53" s="52">
        <f t="shared" si="107"/>
        <v>0.12541076302846821</v>
      </c>
      <c r="AS53" s="52">
        <f t="shared" si="107"/>
        <v>-0.25011286569809354</v>
      </c>
      <c r="AT53" s="52">
        <f t="shared" si="107"/>
        <v>-0.36892149781059647</v>
      </c>
      <c r="AU53" s="52">
        <f t="shared" si="107"/>
        <v>0.6591643263551652</v>
      </c>
      <c r="AV53" s="52">
        <f t="shared" si="107"/>
        <v>0.41257226570299954</v>
      </c>
      <c r="AW53" s="52">
        <f t="shared" si="107"/>
        <v>-0.10033162271839868</v>
      </c>
      <c r="AX53" s="52">
        <f t="shared" si="107"/>
        <v>-0.47137557771174132</v>
      </c>
      <c r="AY53" s="52">
        <f t="shared" si="107"/>
        <v>0.22562136058323179</v>
      </c>
      <c r="AZ53" s="52">
        <f t="shared" si="107"/>
        <v>0.13344241205449037</v>
      </c>
      <c r="BA53" s="52">
        <f t="shared" si="107"/>
        <v>0.23750971674430721</v>
      </c>
      <c r="BB53" s="52">
        <f t="shared" si="107"/>
        <v>-7.8476332669572324E-2</v>
      </c>
      <c r="BC53" s="52">
        <f t="shared" si="107"/>
        <v>4.414444622034619E-2</v>
      </c>
      <c r="BD53" s="52">
        <f t="shared" si="107"/>
        <v>0.29919299020041268</v>
      </c>
      <c r="BE53" s="52">
        <f t="shared" si="107"/>
        <v>9.6795569484104504E-2</v>
      </c>
      <c r="BF53" s="52">
        <f t="shared" si="107"/>
        <v>-0.23998916471989218</v>
      </c>
      <c r="BG53" s="52">
        <f t="shared" si="107"/>
        <v>4.5632589110849997E-2</v>
      </c>
      <c r="BH53" s="52">
        <f t="shared" si="107"/>
        <v>0.35055476529160723</v>
      </c>
      <c r="BI53" s="52">
        <f t="shared" si="107"/>
        <v>0.11162380542225514</v>
      </c>
      <c r="BJ53" s="52">
        <f t="shared" si="107"/>
        <v>-0.11078330048550689</v>
      </c>
      <c r="BK53" s="621">
        <f t="shared" si="107"/>
        <v>0.14888072038430855</v>
      </c>
      <c r="BL53" s="621">
        <f t="shared" si="107"/>
        <v>0.77584134615384626</v>
      </c>
      <c r="BM53" s="52">
        <f t="shared" si="107"/>
        <v>0.20512820512820507</v>
      </c>
      <c r="BN53" s="52">
        <f t="shared" si="107"/>
        <v>-0.24900064474532557</v>
      </c>
      <c r="BO53" s="52">
        <f t="shared" ref="BO53:DQ53" si="108">BO52/BN52-1</f>
        <v>0.19543493072904838</v>
      </c>
      <c r="BP53" s="52">
        <f t="shared" si="108"/>
        <v>0.31189970655102317</v>
      </c>
      <c r="BQ53" s="52">
        <f t="shared" si="108"/>
        <v>0.29564936022255783</v>
      </c>
      <c r="BR53" s="52">
        <f t="shared" si="108"/>
        <v>0.18871415356151711</v>
      </c>
      <c r="BS53" s="52">
        <f t="shared" si="108"/>
        <v>-5.5352529182879362E-2</v>
      </c>
      <c r="BT53" s="52">
        <f t="shared" si="108"/>
        <v>-4.8760330578512368E-2</v>
      </c>
      <c r="BU53" s="52">
        <f t="shared" si="108"/>
        <v>-0.56489334974574335</v>
      </c>
      <c r="BV53" s="52">
        <f t="shared" si="108"/>
        <v>0.1000896784666947</v>
      </c>
      <c r="BW53" s="52">
        <f t="shared" si="108"/>
        <v>0.40331491712707179</v>
      </c>
      <c r="BX53" s="52">
        <f t="shared" si="108"/>
        <v>0.44151398550909282</v>
      </c>
      <c r="BY53" s="52">
        <f t="shared" si="108"/>
        <v>5.8383089157175716E-2</v>
      </c>
      <c r="BZ53" s="52">
        <f t="shared" si="108"/>
        <v>-4.5904985568956169E-2</v>
      </c>
      <c r="CA53" s="52">
        <f t="shared" si="108"/>
        <v>0.21184961204929253</v>
      </c>
      <c r="CB53" s="52">
        <f t="shared" si="108"/>
        <v>0.33408166585326171</v>
      </c>
      <c r="CC53" s="52">
        <f t="shared" si="108"/>
        <v>6.5375449123528551E-2</v>
      </c>
      <c r="CD53" s="52">
        <f t="shared" si="108"/>
        <v>0.18004097591896673</v>
      </c>
      <c r="CE53" s="52">
        <f t="shared" si="108"/>
        <v>0.13223356685100818</v>
      </c>
      <c r="CF53" s="52">
        <f t="shared" si="108"/>
        <v>0.13075548273186199</v>
      </c>
      <c r="CG53" s="52">
        <f t="shared" si="108"/>
        <v>0.12370866283783921</v>
      </c>
      <c r="CH53" s="52">
        <f t="shared" si="108"/>
        <v>3.1002064960965692E-2</v>
      </c>
      <c r="CI53" s="52">
        <f t="shared" si="108"/>
        <v>-0.62161377177351618</v>
      </c>
      <c r="CJ53" s="52">
        <f t="shared" si="108"/>
        <v>0.13460120890461447</v>
      </c>
      <c r="CK53" s="52">
        <f t="shared" si="108"/>
        <v>0.50639343498649114</v>
      </c>
      <c r="CL53" s="52">
        <f t="shared" si="108"/>
        <v>0.24141478517566117</v>
      </c>
      <c r="CM53" s="52">
        <f t="shared" si="108"/>
        <v>1.475387501111761</v>
      </c>
      <c r="CN53" s="52">
        <f t="shared" si="108"/>
        <v>0.48962733111396117</v>
      </c>
      <c r="CO53" s="52">
        <f t="shared" si="108"/>
        <v>0.28339569856271418</v>
      </c>
      <c r="CP53" s="52">
        <f t="shared" si="108"/>
        <v>0.18732939772603618</v>
      </c>
      <c r="CQ53" s="52">
        <f t="shared" si="108"/>
        <v>0.11436235554063989</v>
      </c>
      <c r="CR53" s="52">
        <f t="shared" si="108"/>
        <v>0.18391752714001286</v>
      </c>
      <c r="CS53" s="52">
        <f t="shared" si="108"/>
        <v>0.10578379554657213</v>
      </c>
      <c r="CT53" s="52">
        <f t="shared" si="108"/>
        <v>-9.4951867812919755E-2</v>
      </c>
      <c r="CU53" s="52">
        <f t="shared" si="108"/>
        <v>0.30019244872436657</v>
      </c>
      <c r="CV53" s="52">
        <f t="shared" si="108"/>
        <v>0.23455680546976798</v>
      </c>
      <c r="CW53" s="52">
        <f t="shared" si="108"/>
        <v>0.24766461693112607</v>
      </c>
      <c r="CX53" s="52">
        <f t="shared" si="108"/>
        <v>0.20236156659726068</v>
      </c>
      <c r="CY53" s="53">
        <f t="shared" si="108"/>
        <v>0.12245221526422578</v>
      </c>
      <c r="CZ53" s="53">
        <f t="shared" si="108"/>
        <v>0.20556983608635804</v>
      </c>
      <c r="DA53" s="53">
        <f t="shared" si="108"/>
        <v>0.1479767792548432</v>
      </c>
      <c r="DB53" s="53">
        <f t="shared" si="108"/>
        <v>9.8567999185890098E-2</v>
      </c>
      <c r="DC53" s="53">
        <f t="shared" si="108"/>
        <v>0.10329942643823586</v>
      </c>
      <c r="DD53" s="53">
        <f t="shared" si="108"/>
        <v>0.12764081684688833</v>
      </c>
      <c r="DE53" s="53">
        <f t="shared" si="108"/>
        <v>7.3236737002533303E-2</v>
      </c>
      <c r="DF53" s="53">
        <f t="shared" si="108"/>
        <v>3.1486287011299963E-2</v>
      </c>
      <c r="DG53" s="53">
        <f t="shared" si="108"/>
        <v>3.6021221085996036E-2</v>
      </c>
      <c r="DH53" s="53">
        <f t="shared" si="108"/>
        <v>7.9385794987705927E-2</v>
      </c>
      <c r="DI53" s="53">
        <f t="shared" si="108"/>
        <v>5.7662182637554293E-2</v>
      </c>
      <c r="DJ53" s="53">
        <f t="shared" si="108"/>
        <v>1.3510738538263345E-2</v>
      </c>
      <c r="DK53" s="53">
        <f t="shared" si="108"/>
        <v>1.7296976751441706E-2</v>
      </c>
      <c r="DL53" s="53">
        <f t="shared" si="108"/>
        <v>3.9873721408985041E-2</v>
      </c>
      <c r="DM53" s="53">
        <f t="shared" si="108"/>
        <v>2.8054437652438091E-2</v>
      </c>
      <c r="DN53" s="53">
        <f t="shared" si="108"/>
        <v>2.4693787246958809E-2</v>
      </c>
      <c r="DO53" s="53">
        <f t="shared" si="108"/>
        <v>3.8262684106073586E-2</v>
      </c>
      <c r="DP53" s="53">
        <f t="shared" si="108"/>
        <v>7.0250358419481351E-2</v>
      </c>
      <c r="DQ53" s="53">
        <f t="shared" si="108"/>
        <v>4.8831682432784795E-2</v>
      </c>
      <c r="DT53" s="54" t="s">
        <v>224</v>
      </c>
      <c r="DU53" s="54" t="s">
        <v>224</v>
      </c>
      <c r="DV53" s="54" t="s">
        <v>224</v>
      </c>
      <c r="DW53" s="54" t="s">
        <v>224</v>
      </c>
      <c r="DX53" s="54" t="s">
        <v>224</v>
      </c>
      <c r="DY53" s="54" t="s">
        <v>224</v>
      </c>
      <c r="DZ53" s="54" t="s">
        <v>224</v>
      </c>
      <c r="EA53" s="54" t="s">
        <v>224</v>
      </c>
      <c r="EB53" s="54" t="s">
        <v>224</v>
      </c>
      <c r="EC53" s="54" t="s">
        <v>224</v>
      </c>
      <c r="ED53" s="54" t="s">
        <v>224</v>
      </c>
      <c r="EE53" s="54" t="s">
        <v>224</v>
      </c>
      <c r="EF53" s="54" t="s">
        <v>224</v>
      </c>
      <c r="EG53" s="54" t="s">
        <v>224</v>
      </c>
      <c r="EH53" s="54" t="s">
        <v>224</v>
      </c>
      <c r="EI53" s="54" t="s">
        <v>224</v>
      </c>
      <c r="EJ53" s="54" t="s">
        <v>224</v>
      </c>
      <c r="EK53" s="54" t="s">
        <v>224</v>
      </c>
      <c r="EL53" s="54" t="s">
        <v>224</v>
      </c>
      <c r="EM53" s="54" t="s">
        <v>224</v>
      </c>
      <c r="EN53" s="54" t="s">
        <v>224</v>
      </c>
      <c r="EO53" s="54" t="s">
        <v>224</v>
      </c>
      <c r="EP53" s="54" t="s">
        <v>224</v>
      </c>
      <c r="EQ53" s="54" t="s">
        <v>224</v>
      </c>
      <c r="ER53" s="54" t="s">
        <v>224</v>
      </c>
      <c r="ES53" s="55" t="s">
        <v>224</v>
      </c>
      <c r="ET53" s="55" t="s">
        <v>224</v>
      </c>
      <c r="EU53" s="55" t="s">
        <v>224</v>
      </c>
      <c r="EV53" s="55" t="s">
        <v>224</v>
      </c>
      <c r="EW53" s="55" t="s">
        <v>224</v>
      </c>
    </row>
    <row r="54" spans="1:155" s="52" customFormat="1" ht="11.25" hidden="1" customHeight="1" outlineLevel="1">
      <c r="A54" s="51" t="s">
        <v>225</v>
      </c>
      <c r="F54" s="52">
        <f t="shared" ref="F54:BQ54" si="109">F52/B52-1</f>
        <v>0.25167590190289069</v>
      </c>
      <c r="G54" s="52">
        <f t="shared" si="109"/>
        <v>-0.45014524451497129</v>
      </c>
      <c r="H54" s="52">
        <f t="shared" si="109"/>
        <v>-0.89380135597803034</v>
      </c>
      <c r="I54" s="52">
        <f t="shared" si="109"/>
        <v>-0.99219103836770195</v>
      </c>
      <c r="J54" s="52">
        <f t="shared" si="109"/>
        <v>-0.98845964678074616</v>
      </c>
      <c r="K54" s="52">
        <f t="shared" si="109"/>
        <v>-0.97074500117220253</v>
      </c>
      <c r="L54" s="52">
        <f t="shared" si="109"/>
        <v>-0.91513034816886185</v>
      </c>
      <c r="M54" s="52">
        <f t="shared" si="109"/>
        <v>1.1514568264580305E-2</v>
      </c>
      <c r="N54" s="52">
        <f t="shared" si="109"/>
        <v>1.71960008272658E-2</v>
      </c>
      <c r="O54" s="52">
        <f t="shared" si="109"/>
        <v>-0.79145959693011181</v>
      </c>
      <c r="P54" s="52">
        <f t="shared" si="109"/>
        <v>0.4647233865553575</v>
      </c>
      <c r="Q54" s="52">
        <f t="shared" si="109"/>
        <v>0.97766799540753979</v>
      </c>
      <c r="R54" s="52">
        <f t="shared" si="109"/>
        <v>1.9849297768886158</v>
      </c>
      <c r="S54" s="52">
        <f t="shared" si="109"/>
        <v>13.346863367490755</v>
      </c>
      <c r="T54" s="52">
        <f t="shared" si="109"/>
        <v>1.808052121796619</v>
      </c>
      <c r="U54" s="52">
        <f t="shared" si="109"/>
        <v>0.94508901299556536</v>
      </c>
      <c r="V54" s="52">
        <f t="shared" si="109"/>
        <v>0.59444693257059944</v>
      </c>
      <c r="W54" s="52">
        <f t="shared" si="109"/>
        <v>0.41104334044340929</v>
      </c>
      <c r="X54" s="52">
        <f t="shared" si="109"/>
        <v>72.759697353686946</v>
      </c>
      <c r="Y54" s="52">
        <f t="shared" si="109"/>
        <v>68.797857951038196</v>
      </c>
      <c r="Z54" s="52">
        <f t="shared" si="109"/>
        <v>58.644755939824464</v>
      </c>
      <c r="AA54" s="52">
        <f t="shared" si="109"/>
        <v>68.175285678677739</v>
      </c>
      <c r="AB54" s="52">
        <f t="shared" si="109"/>
        <v>0.71812878645938327</v>
      </c>
      <c r="AC54" s="52">
        <f t="shared" si="109"/>
        <v>0.60929705440681992</v>
      </c>
      <c r="AD54" s="52">
        <f t="shared" si="109"/>
        <v>-0.96839461493688872</v>
      </c>
      <c r="AE54" s="52">
        <f t="shared" si="109"/>
        <v>-0.99036288175124243</v>
      </c>
      <c r="AF54" s="52">
        <f t="shared" si="109"/>
        <v>-0.99380244213096558</v>
      </c>
      <c r="AG54" s="52">
        <f t="shared" si="109"/>
        <v>-1.008896144546211</v>
      </c>
      <c r="AH54" s="52">
        <f t="shared" si="109"/>
        <v>-1.2405917914668605</v>
      </c>
      <c r="AI54" s="52">
        <f t="shared" si="109"/>
        <v>-0.48334474914951342</v>
      </c>
      <c r="AJ54" s="52">
        <f t="shared" si="109"/>
        <v>0.74535526695564247</v>
      </c>
      <c r="AK54" s="52">
        <f t="shared" si="109"/>
        <v>-2.508460487106178</v>
      </c>
      <c r="AL54" s="52">
        <f t="shared" si="109"/>
        <v>-4.2162854869312696</v>
      </c>
      <c r="AM54" s="52">
        <f t="shared" si="109"/>
        <v>2.5243101042246474E-2</v>
      </c>
      <c r="AN54" s="52">
        <f t="shared" si="109"/>
        <v>-5.7435586232714608E-2</v>
      </c>
      <c r="AO54" s="52">
        <f t="shared" si="109"/>
        <v>-0.15674581942699695</v>
      </c>
      <c r="AP54" s="52">
        <f t="shared" si="109"/>
        <v>-4.2228857456552915E-2</v>
      </c>
      <c r="AQ54" s="52">
        <f t="shared" si="109"/>
        <v>3.5023346646509363</v>
      </c>
      <c r="AR54" s="52">
        <f t="shared" si="109"/>
        <v>0.92411560485104571</v>
      </c>
      <c r="AS54" s="52">
        <f t="shared" si="109"/>
        <v>0.17036568978271216</v>
      </c>
      <c r="AT54" s="52">
        <f t="shared" si="109"/>
        <v>-0.37817067447511088</v>
      </c>
      <c r="AU54" s="52">
        <f t="shared" si="109"/>
        <v>-0.11635107325532124</v>
      </c>
      <c r="AV54" s="52">
        <f t="shared" si="109"/>
        <v>0.1091221157142781</v>
      </c>
      <c r="AW54" s="52">
        <f t="shared" si="109"/>
        <v>0.33065637268296877</v>
      </c>
      <c r="AX54" s="52">
        <f t="shared" si="109"/>
        <v>0.1146275048719847</v>
      </c>
      <c r="AY54" s="52">
        <f t="shared" si="109"/>
        <v>-0.17662689742989257</v>
      </c>
      <c r="AZ54" s="52">
        <f t="shared" si="109"/>
        <v>-0.33932867149037482</v>
      </c>
      <c r="BA54" s="52">
        <f t="shared" si="109"/>
        <v>-9.1234938060825055E-2</v>
      </c>
      <c r="BB54" s="52">
        <f t="shared" si="109"/>
        <v>0.58420322124900137</v>
      </c>
      <c r="BC54" s="52">
        <f t="shared" si="109"/>
        <v>0.3496313366832795</v>
      </c>
      <c r="BD54" s="52">
        <f t="shared" si="109"/>
        <v>0.54699661255435128</v>
      </c>
      <c r="BE54" s="52">
        <f t="shared" si="109"/>
        <v>0.37109148130196745</v>
      </c>
      <c r="BF54" s="52">
        <f t="shared" si="109"/>
        <v>0.13078417721864777</v>
      </c>
      <c r="BG54" s="52">
        <f t="shared" si="109"/>
        <v>0.13239580139585216</v>
      </c>
      <c r="BH54" s="52">
        <f t="shared" si="109"/>
        <v>0.17716348326006437</v>
      </c>
      <c r="BI54" s="52">
        <f t="shared" si="109"/>
        <v>0.19307826113956095</v>
      </c>
      <c r="BJ54" s="52">
        <f t="shared" si="109"/>
        <v>0.39590787971069674</v>
      </c>
      <c r="BK54" s="621">
        <f t="shared" si="109"/>
        <v>0.53374298690889654</v>
      </c>
      <c r="BL54" s="621">
        <f t="shared" si="109"/>
        <v>1.01671511627907</v>
      </c>
      <c r="BM54" s="52">
        <f t="shared" si="109"/>
        <v>1.186351404568128</v>
      </c>
      <c r="BN54" s="52">
        <f t="shared" si="109"/>
        <v>0.84651108789039831</v>
      </c>
      <c r="BO54" s="52">
        <f t="shared" si="109"/>
        <v>0.92133423015775961</v>
      </c>
      <c r="BP54" s="52">
        <f>BP52/BL52-1</f>
        <v>0.41938232161874356</v>
      </c>
      <c r="BQ54" s="52">
        <f t="shared" si="109"/>
        <v>0.52599681020733646</v>
      </c>
      <c r="BR54" s="52">
        <f t="shared" ref="BR54:DQ54" si="110">BR52/BN52-1</f>
        <v>1.4154135338345863</v>
      </c>
      <c r="BS54" s="52">
        <f t="shared" si="110"/>
        <v>0.90868965517241373</v>
      </c>
      <c r="BT54" s="52">
        <f t="shared" si="110"/>
        <v>0.38396350540216062</v>
      </c>
      <c r="BU54" s="52">
        <f t="shared" si="110"/>
        <v>-0.53523557885581319</v>
      </c>
      <c r="BV54" s="52">
        <f t="shared" si="110"/>
        <v>-0.56988604780433572</v>
      </c>
      <c r="BW54" s="52">
        <f t="shared" si="110"/>
        <v>-0.36104701084039925</v>
      </c>
      <c r="BX54" s="52">
        <f t="shared" si="110"/>
        <v>-3.1727019420287439E-2</v>
      </c>
      <c r="BY54" s="52">
        <f t="shared" si="110"/>
        <v>1.3552932315204407</v>
      </c>
      <c r="BZ54" s="52">
        <f t="shared" si="110"/>
        <v>1.0427184925950272</v>
      </c>
      <c r="CA54" s="52">
        <f t="shared" si="110"/>
        <v>0.76401432249083867</v>
      </c>
      <c r="CB54" s="52">
        <f t="shared" si="110"/>
        <v>0.63254688445251062</v>
      </c>
      <c r="CC54" s="52">
        <f t="shared" si="110"/>
        <v>0.64333254003883544</v>
      </c>
      <c r="CD54" s="52">
        <f t="shared" si="110"/>
        <v>1.0325016952983725</v>
      </c>
      <c r="CE54" s="52">
        <f t="shared" si="110"/>
        <v>0.89897048381015821</v>
      </c>
      <c r="CF54" s="52">
        <f t="shared" si="110"/>
        <v>0.60955010557089495</v>
      </c>
      <c r="CG54" s="52">
        <f t="shared" si="110"/>
        <v>0.69767887779800097</v>
      </c>
      <c r="CH54" s="52">
        <f t="shared" si="110"/>
        <v>0.48326241577101614</v>
      </c>
      <c r="CI54" s="52">
        <f t="shared" si="110"/>
        <v>-0.50430186190765669</v>
      </c>
      <c r="CJ54" s="52">
        <f t="shared" si="110"/>
        <v>-0.50261598080200798</v>
      </c>
      <c r="CK54" s="52">
        <f t="shared" si="110"/>
        <v>-0.33322929157201475</v>
      </c>
      <c r="CL54" s="52">
        <f t="shared" si="110"/>
        <v>-0.19715096225739448</v>
      </c>
      <c r="CM54" s="52">
        <f t="shared" si="110"/>
        <v>4.2522061456161415</v>
      </c>
      <c r="CN54" s="52">
        <f t="shared" si="110"/>
        <v>5.8956649805687489</v>
      </c>
      <c r="CO54" s="52">
        <f t="shared" si="110"/>
        <v>4.8748707802691911</v>
      </c>
      <c r="CP54" s="52">
        <f t="shared" si="110"/>
        <v>4.6189171166253518</v>
      </c>
      <c r="CQ54" s="52">
        <f t="shared" si="110"/>
        <v>1.5295068795726086</v>
      </c>
      <c r="CR54" s="52">
        <f t="shared" si="110"/>
        <v>1.0103870727907229</v>
      </c>
      <c r="CS54" s="52">
        <f t="shared" si="110"/>
        <v>0.73216526310467245</v>
      </c>
      <c r="CT54" s="52">
        <f t="shared" si="110"/>
        <v>0.32035216092068408</v>
      </c>
      <c r="CU54" s="52">
        <f t="shared" si="110"/>
        <v>0.54053293414878478</v>
      </c>
      <c r="CV54" s="52">
        <f t="shared" si="110"/>
        <v>0.60642559494667569</v>
      </c>
      <c r="CW54" s="52">
        <f t="shared" si="110"/>
        <v>0.81254272545820294</v>
      </c>
      <c r="CX54" s="52">
        <f t="shared" si="110"/>
        <v>1.4079732705927617</v>
      </c>
      <c r="CY54" s="53">
        <f t="shared" si="110"/>
        <v>1.0787960540192878</v>
      </c>
      <c r="CZ54" s="53">
        <f t="shared" si="110"/>
        <v>1.0299866373077728</v>
      </c>
      <c r="DA54" s="53">
        <f t="shared" si="110"/>
        <v>0.86779162461059745</v>
      </c>
      <c r="DB54" s="53">
        <f t="shared" si="110"/>
        <v>0.7065549706080414</v>
      </c>
      <c r="DC54" s="53">
        <f t="shared" si="110"/>
        <v>0.67743543524830674</v>
      </c>
      <c r="DD54" s="53">
        <f t="shared" si="110"/>
        <v>0.56900463813182189</v>
      </c>
      <c r="DE54" s="53">
        <f t="shared" si="110"/>
        <v>0.46685320522203666</v>
      </c>
      <c r="DF54" s="53">
        <f t="shared" si="110"/>
        <v>0.37728294230886261</v>
      </c>
      <c r="DG54" s="53">
        <f t="shared" si="110"/>
        <v>0.29329746891844377</v>
      </c>
      <c r="DH54" s="53">
        <f t="shared" si="110"/>
        <v>0.23795351834419054</v>
      </c>
      <c r="DI54" s="53">
        <f t="shared" si="110"/>
        <v>0.21998863351680575</v>
      </c>
      <c r="DJ54" s="53">
        <f t="shared" si="110"/>
        <v>0.19872808444845469</v>
      </c>
      <c r="DK54" s="53">
        <f t="shared" si="110"/>
        <v>0.17706320241024964</v>
      </c>
      <c r="DL54" s="53">
        <f t="shared" si="110"/>
        <v>0.13397554267227041</v>
      </c>
      <c r="DM54" s="53">
        <f t="shared" si="110"/>
        <v>0.10223151396636276</v>
      </c>
      <c r="DN54" s="53">
        <f t="shared" si="110"/>
        <v>0.11439350519175684</v>
      </c>
      <c r="DO54" s="53">
        <f t="shared" si="110"/>
        <v>0.13736029723154242</v>
      </c>
      <c r="DP54" s="53">
        <f t="shared" si="110"/>
        <v>0.17058469764464257</v>
      </c>
      <c r="DQ54" s="53">
        <f t="shared" si="110"/>
        <v>0.19424251566314088</v>
      </c>
      <c r="DU54" s="52">
        <f t="shared" ref="DU54:ET54" si="111">DU52/DT52-1</f>
        <v>-0.64203294220480966</v>
      </c>
      <c r="DV54" s="52">
        <f t="shared" si="111"/>
        <v>-0.96954835261121275</v>
      </c>
      <c r="DW54" s="52">
        <f t="shared" si="111"/>
        <v>0.14928103047214059</v>
      </c>
      <c r="DX54" s="52">
        <f t="shared" si="111"/>
        <v>2.0195642955299973</v>
      </c>
      <c r="DY54" s="52">
        <f t="shared" si="111"/>
        <v>39.118397547623225</v>
      </c>
      <c r="DZ54" s="52">
        <f t="shared" si="111"/>
        <v>1.710091279464089</v>
      </c>
      <c r="EA54" s="52">
        <f t="shared" si="111"/>
        <v>-0.99322143748662195</v>
      </c>
      <c r="EB54" s="52">
        <f t="shared" si="111"/>
        <v>3.7149304694337859E-2</v>
      </c>
      <c r="EC54" s="52">
        <f t="shared" si="111"/>
        <v>0.71279359734208336</v>
      </c>
      <c r="ED54" s="52">
        <f t="shared" si="111"/>
        <v>0.57939594365501135</v>
      </c>
      <c r="EE54" s="52">
        <f t="shared" si="111"/>
        <v>-1.0034369001823196E-2</v>
      </c>
      <c r="EF54" s="52">
        <f t="shared" si="111"/>
        <v>-0.16397332094425376</v>
      </c>
      <c r="EG54" s="52">
        <f t="shared" si="111"/>
        <v>0.45192757353827373</v>
      </c>
      <c r="EH54" s="52">
        <f t="shared" si="111"/>
        <v>0.16295794244730155</v>
      </c>
      <c r="EI54" s="52">
        <f t="shared" si="111"/>
        <v>0.84575585112763374</v>
      </c>
      <c r="EJ54" s="52">
        <f t="shared" si="111"/>
        <v>0.60981215201444861</v>
      </c>
      <c r="EK54" s="52">
        <f t="shared" si="111"/>
        <v>0.34789438931714223</v>
      </c>
      <c r="EL54" s="52">
        <f t="shared" si="111"/>
        <v>-0.12663477299561443</v>
      </c>
      <c r="EM54" s="52">
        <f t="shared" si="111"/>
        <v>0.72661324424816387</v>
      </c>
      <c r="EN54" s="52">
        <f t="shared" si="111"/>
        <v>0.77627429240991286</v>
      </c>
      <c r="EO54" s="52">
        <f t="shared" si="111"/>
        <v>-0.24955153843497135</v>
      </c>
      <c r="EP54" s="52">
        <f t="shared" si="111"/>
        <v>2.8909498081128611</v>
      </c>
      <c r="EQ54" s="52">
        <f t="shared" si="111"/>
        <v>1.311088059828621</v>
      </c>
      <c r="ER54" s="52">
        <f t="shared" si="111"/>
        <v>0.59440679411346409</v>
      </c>
      <c r="ES54" s="53">
        <f t="shared" si="111"/>
        <v>1.0497257509904645</v>
      </c>
      <c r="ET54" s="53">
        <f t="shared" si="111"/>
        <v>0.58900292103612739</v>
      </c>
      <c r="EU54" s="53">
        <f>EU52/ET52-1</f>
        <v>0.27562498956626702</v>
      </c>
      <c r="EV54" s="53">
        <f>EV52/EU52-1</f>
        <v>0.15054148187620431</v>
      </c>
      <c r="EW54" s="53">
        <f>EW52/EV52-1</f>
        <v>0.15514722505664147</v>
      </c>
      <c r="EY54" s="68"/>
    </row>
    <row r="55" spans="1:155" s="640" customFormat="1" ht="11.25" customHeight="1" collapsed="1">
      <c r="A55" s="636" t="s">
        <v>243</v>
      </c>
      <c r="B55" s="637">
        <f>NVDA!V58</f>
        <v>0</v>
      </c>
      <c r="C55" s="637">
        <f>NVDA!W58</f>
        <v>0</v>
      </c>
      <c r="D55" s="637">
        <f>NVDA!X58</f>
        <v>0</v>
      </c>
      <c r="E55" s="637">
        <f>NVDA!Y58</f>
        <v>0</v>
      </c>
      <c r="F55" s="637">
        <f>NVDA!AA58</f>
        <v>0</v>
      </c>
      <c r="G55" s="637">
        <f>NVDA!AB58</f>
        <v>0</v>
      </c>
      <c r="H55" s="637">
        <f>NVDA!AC58</f>
        <v>0</v>
      </c>
      <c r="I55" s="637">
        <f>NVDA!AD58</f>
        <v>0</v>
      </c>
      <c r="J55" s="637">
        <f>NVDA!AF58</f>
        <v>9.799513671778083E-4</v>
      </c>
      <c r="K55" s="637">
        <f>NVDA!AG58</f>
        <v>1.1529581612250849E-3</v>
      </c>
      <c r="L55" s="637">
        <f>NVDA!AH58</f>
        <v>3.0590223834192984E-4</v>
      </c>
      <c r="M55" s="637">
        <f>NVDA!AI58</f>
        <v>1.1412600992498666E-3</v>
      </c>
      <c r="N55" s="637">
        <f>NVDA!AK58</f>
        <v>9.9680261169847809E-4</v>
      </c>
      <c r="O55" s="637">
        <f>NVDA!AL58</f>
        <v>2.4043835966459635E-4</v>
      </c>
      <c r="P55" s="637">
        <f>NVDA!AM58</f>
        <v>1.2475246188346873E-3</v>
      </c>
      <c r="Q55" s="637">
        <f>NVDA!AN58</f>
        <v>2.2570335727220936E-3</v>
      </c>
      <c r="R55" s="637">
        <f>NVDA!AP58</f>
        <v>2.9753857973391275E-3</v>
      </c>
      <c r="S55" s="637">
        <f>NVDA!AQ58</f>
        <v>3.4495362944115641E-3</v>
      </c>
      <c r="T55" s="637">
        <f>NVDA!AR58</f>
        <v>2.9630769901426005E-3</v>
      </c>
      <c r="U55" s="637">
        <f>NVDA!AS58</f>
        <v>4.3901312042638717E-3</v>
      </c>
      <c r="V55" s="637">
        <f>NVDA!AU58</f>
        <v>3.9401378431956615E-3</v>
      </c>
      <c r="W55" s="637">
        <f>NVDA!AV58</f>
        <v>3.7498044117786921E-3</v>
      </c>
      <c r="X55" s="637">
        <f>NVDA!AW58</f>
        <v>4.537615718552033E-3</v>
      </c>
      <c r="Y55" s="637">
        <f>NVDA!AX58</f>
        <v>6.829927267076698E-3</v>
      </c>
      <c r="Z55" s="637">
        <f>NVDA!AZ58</f>
        <v>5.5264591784375382E-3</v>
      </c>
      <c r="AA55" s="637">
        <f>NVDA!BA58</f>
        <v>7.1515220770101496E-3</v>
      </c>
      <c r="AB55" s="637">
        <f>NVDA!BB58</f>
        <v>9.6112058206970791E-3</v>
      </c>
      <c r="AC55" s="637">
        <f>NVDA!BC58</f>
        <v>1.0546798692653809E-2</v>
      </c>
      <c r="AD55" s="637">
        <f>NVDA!BE58</f>
        <v>7.4665661017349963E-3</v>
      </c>
      <c r="AE55" s="637">
        <f>NVDA!BF58</f>
        <v>-5.2169992838592234E-3</v>
      </c>
      <c r="AF55" s="637">
        <f>NVDA!BG58</f>
        <v>5.5124916745787468E-4</v>
      </c>
      <c r="AG55" s="637">
        <f>NVDA!BH58</f>
        <v>-6.8669258456644858E-3</v>
      </c>
      <c r="AH55" s="637">
        <f>NVDA!BJ58</f>
        <v>-9.2815508558805257E-3</v>
      </c>
      <c r="AI55" s="637">
        <f>NVDA!BK58</f>
        <v>-4.6789659370639952E-3</v>
      </c>
      <c r="AJ55" s="637">
        <f>NVDA!BL58</f>
        <v>4.682301468885635E-3</v>
      </c>
      <c r="AK55" s="637">
        <f>NVDA!BM58</f>
        <v>5.6296288660856487E-3</v>
      </c>
      <c r="AL55" s="637">
        <f>NVDA!BO58</f>
        <v>5.8204187161694544E-3</v>
      </c>
      <c r="AM55" s="637">
        <f>NVDA!BP58</f>
        <v>-6.0510437289550047E-3</v>
      </c>
      <c r="AN55" s="637">
        <f>NVDA!BQ58</f>
        <v>3.6412207713748274E-3</v>
      </c>
      <c r="AO55" s="637">
        <f>NVDA!BR58</f>
        <v>7.1335895564691078E-3</v>
      </c>
      <c r="AP55" s="637">
        <f>NVDA!BT58</f>
        <v>5.5103802280129233E-3</v>
      </c>
      <c r="AQ55" s="637">
        <f>NVDA!BU58</f>
        <v>6.1722025494597129E-3</v>
      </c>
      <c r="AR55" s="637">
        <f>NVDA!BV58</f>
        <v>7.2638780233392E-3</v>
      </c>
      <c r="AS55" s="637">
        <f>NVDA!BW58</f>
        <v>4.6890230989704114E-3</v>
      </c>
      <c r="AT55" s="637">
        <f>NVDA!BY58</f>
        <v>2.4221848518562483E-3</v>
      </c>
      <c r="AU55" s="637">
        <f>NVDA!BZ58</f>
        <v>4.776030541946228E-3</v>
      </c>
      <c r="AV55" s="637">
        <f>NVDA!CA58</f>
        <v>8.3120641811575153E-3</v>
      </c>
      <c r="AW55" s="637">
        <f>NVDA!CB58</f>
        <v>6.9922815738451324E-3</v>
      </c>
      <c r="AX55" s="637">
        <f>NVDA!CD58</f>
        <v>3.1443060090230613E-3</v>
      </c>
      <c r="AY55" s="637">
        <f>NVDA!CE58</f>
        <v>4.0729316932598689E-3</v>
      </c>
      <c r="AZ55" s="637">
        <f>NVDA!CF58</f>
        <v>5.041766312471131E-3</v>
      </c>
      <c r="BA55" s="637">
        <f>NVDA!CG58</f>
        <v>6.3616295665066295E-3</v>
      </c>
      <c r="BB55" s="637">
        <f>NVDA!CI58</f>
        <v>5.9831142557615295E-3</v>
      </c>
      <c r="BC55" s="637">
        <f>NVDA!CJ58</f>
        <v>5.6073554257832503E-3</v>
      </c>
      <c r="BD55" s="637">
        <f>NVDA!CK58</f>
        <v>7.7466271110227377E-3</v>
      </c>
      <c r="BE55" s="637">
        <f>NVDA!CL58</f>
        <v>8.6748728378846975E-3</v>
      </c>
      <c r="BF55" s="637">
        <f>NVDA!CN58</f>
        <v>5.9608540925266901E-3</v>
      </c>
      <c r="BG55" s="637">
        <f>NVDA!CO58</f>
        <v>1.177536231884058E-3</v>
      </c>
      <c r="BH55" s="637">
        <f>NVDA!CP58</f>
        <v>1.088495575221239E-2</v>
      </c>
      <c r="BI55" s="637">
        <f>NVDA!CQ58</f>
        <v>8.7268128161888704E-3</v>
      </c>
      <c r="BJ55" s="637">
        <f>NVDA!CS58</f>
        <v>8.2077051926298158E-3</v>
      </c>
      <c r="BK55" s="638">
        <f>NVDA!CT58</f>
        <v>9.9763406940063092E-3</v>
      </c>
      <c r="BL55" s="638">
        <f>NVDA!CU58</f>
        <v>2.0750382848392038E-2</v>
      </c>
      <c r="BM55" s="637">
        <f>NVDA!CV58</f>
        <v>2.4810606060606061E-2</v>
      </c>
      <c r="BN55" s="637">
        <f>NVDA!CX58</f>
        <v>1.9773790951638066E-2</v>
      </c>
      <c r="BO55" s="637">
        <f>NVDA!CY58</f>
        <v>2.3025276461295419E-2</v>
      </c>
      <c r="BP55" s="637">
        <f>NVDA!CZ58</f>
        <v>3.3359872611464968E-2</v>
      </c>
      <c r="BQ55" s="637">
        <f>NVDA!DA58</f>
        <v>4.4506369426751589E-2</v>
      </c>
      <c r="BR55" s="637">
        <f>NVDA!DC58</f>
        <v>4.9601275917065389E-2</v>
      </c>
      <c r="BS55" s="637">
        <f>NVDA!DD58</f>
        <v>4.3969648562300317E-2</v>
      </c>
      <c r="BT55" s="637">
        <f>NVDA!DE58</f>
        <v>4.9200000000000001E-2</v>
      </c>
      <c r="BU55" s="637">
        <f>NVDA!DF58</f>
        <v>2.2899838449111469E-2</v>
      </c>
      <c r="BV55" s="637">
        <f>NVDA!DH58</f>
        <v>1.5990259740259739E-2</v>
      </c>
      <c r="BW55" s="637">
        <f>NVDA!DI58</f>
        <v>2.2402597402597403E-2</v>
      </c>
      <c r="BX55" s="637">
        <f>NVDA!DJ58</f>
        <v>3.6367313915857603E-2</v>
      </c>
      <c r="BY55" s="637">
        <f>NVDA!DK58</f>
        <v>3.8244766505636074E-2</v>
      </c>
      <c r="BZ55" s="637">
        <f>NVDA!DM58</f>
        <v>3.6856913183279744E-2</v>
      </c>
      <c r="CA55" s="637">
        <f>NVDA!DN58</f>
        <v>2.4840255591054312E-2</v>
      </c>
      <c r="CB55" s="637">
        <f>NVDA!DO58</f>
        <v>5.3015873015873016E-2</v>
      </c>
      <c r="CC55" s="637">
        <f>NVDA!DP58</f>
        <v>5.7725832012678287E-2</v>
      </c>
      <c r="CD55" s="637">
        <f>NVDA!DR58</f>
        <v>7.5632911392405064E-2</v>
      </c>
      <c r="CE55" s="637">
        <f>NVDA!DS58</f>
        <v>9.3759873617693529E-2</v>
      </c>
      <c r="CF55" s="637">
        <f>NVDA!DT58</f>
        <v>9.7084318360914107E-2</v>
      </c>
      <c r="CG55" s="637">
        <f>NVDA!DU58</f>
        <v>0.11799607072691552</v>
      </c>
      <c r="CH55" s="637">
        <f>NVDA!DW58</f>
        <v>6.3776113519905406E-2</v>
      </c>
      <c r="CI55" s="637">
        <f>NVDA!DX58</f>
        <v>2.6073131955484895E-2</v>
      </c>
      <c r="CJ55" s="637">
        <f>NVDA!DY58</f>
        <v>2.7210884353741496E-2</v>
      </c>
      <c r="CK55" s="637">
        <f>NVDA!DZ58</f>
        <v>5.708518368994752E-2</v>
      </c>
      <c r="CL55" s="637">
        <f>NVDA!EB58</f>
        <v>8.2048192771084341E-2</v>
      </c>
      <c r="CM55" s="637">
        <f>NVDA!EC58</f>
        <v>0.24761904761904763</v>
      </c>
      <c r="CN55" s="637">
        <f>NVDA!ED58</f>
        <v>0.37060946271050521</v>
      </c>
      <c r="CO55" s="637">
        <f>NVDA!EE58</f>
        <v>0.49337349397590363</v>
      </c>
      <c r="CP55" s="637">
        <f>NVDA!EG58</f>
        <v>0.5978706307754118</v>
      </c>
      <c r="CQ55" s="637">
        <f>NVDA!EH58</f>
        <v>0.66802157115260785</v>
      </c>
      <c r="CR55" s="637">
        <f>NVDA!EI58</f>
        <v>0.77940582869136998</v>
      </c>
      <c r="CS55" s="637">
        <f>NVDA!EJ58</f>
        <v>0.8941552659273051</v>
      </c>
      <c r="CT55" s="637">
        <f>NVDA!EL58</f>
        <v>0.7628702612652879</v>
      </c>
      <c r="CU55" s="637">
        <f>NVDA!EM58</f>
        <v>1.0770422305560086</v>
      </c>
      <c r="CV55" s="637">
        <f>NVDA!EN58</f>
        <v>1.3033533472205203</v>
      </c>
      <c r="CW55" s="637">
        <f>NVDA!EO58</f>
        <v>1.7583497053045187</v>
      </c>
      <c r="CX55" s="637">
        <f>NVDA!EQ58</f>
        <v>2.3910868763068347</v>
      </c>
      <c r="CY55" s="639">
        <f>NVDA!ER58</f>
        <v>2.1162258697567786</v>
      </c>
      <c r="CZ55" s="639">
        <f>NVDA!ES58</f>
        <v>2.5636890582306679</v>
      </c>
      <c r="DA55" s="639">
        <f>NVDA!ET58</f>
        <v>2.9517426695047355</v>
      </c>
      <c r="DB55" s="639">
        <f>NVDA!EV58</f>
        <v>3.2479876917207471</v>
      </c>
      <c r="DC55" s="639">
        <f>NVDA!EW58</f>
        <v>3.5892808208282614</v>
      </c>
      <c r="DD55" s="639">
        <f>NVDA!EX58</f>
        <v>4.0551324753528704</v>
      </c>
      <c r="DE55" s="639">
        <f>NVDA!EY58</f>
        <v>4.3558085926950545</v>
      </c>
      <c r="DF55" s="639">
        <f>NVDA!FA58</f>
        <v>4.4934218704696658</v>
      </c>
      <c r="DG55" s="639">
        <f>NVDA!FB58</f>
        <v>4.6561255755336362</v>
      </c>
      <c r="DH55" s="639">
        <f>NVDA!FC58</f>
        <v>5.0302478797631744</v>
      </c>
      <c r="DI55" s="639">
        <f>NVDA!FD58</f>
        <v>5.3230450699334311</v>
      </c>
      <c r="DJ55" s="639">
        <f>NVDA!FF58</f>
        <v>5.3938311973132853</v>
      </c>
      <c r="DK55" s="639">
        <f>NVDA!FG58</f>
        <v>5.486305465996054</v>
      </c>
      <c r="DL55" s="639">
        <f>NVDA!FH58</f>
        <v>5.7063104620063658</v>
      </c>
      <c r="DM55" s="639">
        <f>NVDA!FI58</f>
        <v>5.8665488958654732</v>
      </c>
      <c r="DN55" s="639">
        <f>NVDA!FK58</f>
        <v>6.011173865581485</v>
      </c>
      <c r="DO55" s="639">
        <f>NVDA!FL58</f>
        <v>6.2422857384482011</v>
      </c>
      <c r="DP55" s="639">
        <f>NVDA!FM58</f>
        <v>6.6852389841614448</v>
      </c>
      <c r="DQ55" s="639">
        <f>NVDA!FN58</f>
        <v>7.0139699477468209</v>
      </c>
      <c r="DT55" s="637">
        <f>SUM(B55:E55)</f>
        <v>0</v>
      </c>
      <c r="DU55" s="637">
        <f>SUM(F55:I55)</f>
        <v>0</v>
      </c>
      <c r="DV55" s="637">
        <f>SUM(J55:M55)</f>
        <v>3.5800718659946898E-3</v>
      </c>
      <c r="DW55" s="637">
        <f>SUM(N55:Q55)</f>
        <v>4.7417991629198561E-3</v>
      </c>
      <c r="DX55" s="637">
        <f>SUM(R55:U55)</f>
        <v>1.3778130286157163E-2</v>
      </c>
      <c r="DY55" s="637">
        <f>SUM(V55:Y55)</f>
        <v>1.9057485240603085E-2</v>
      </c>
      <c r="DZ55" s="637">
        <f>SUM(Z55:AC55)</f>
        <v>3.2835985768798578E-2</v>
      </c>
      <c r="EA55" s="637">
        <f>SUM(AD55:AG55)</f>
        <v>-4.0661098603308379E-3</v>
      </c>
      <c r="EB55" s="637">
        <f>SUM(AH55:AK55)</f>
        <v>-3.648586457973238E-3</v>
      </c>
      <c r="EC55" s="637">
        <f>SUM(AL55:AO55)</f>
        <v>1.0544185315058385E-2</v>
      </c>
      <c r="ED55" s="637">
        <f>SUM(AP55:AS55)</f>
        <v>2.3635483899782248E-2</v>
      </c>
      <c r="EE55" s="637">
        <f>SUM(AT55:AW55)</f>
        <v>2.2502561148805125E-2</v>
      </c>
      <c r="EF55" s="637">
        <f>SUM(AX55:BA55)</f>
        <v>1.862063358126069E-2</v>
      </c>
      <c r="EG55" s="637">
        <f>SUM(BB55:BE55)</f>
        <v>2.8011969630452216E-2</v>
      </c>
      <c r="EH55" s="637">
        <f>SUM(BF55:BI55)</f>
        <v>2.6750158892812008E-2</v>
      </c>
      <c r="EI55" s="637">
        <f>SUM(BJ55:BM55)</f>
        <v>6.3745034795634231E-2</v>
      </c>
      <c r="EJ55" s="637">
        <f>SUM(BN55:BQ55)</f>
        <v>0.12066530945115006</v>
      </c>
      <c r="EK55" s="637">
        <f>SUM(BR55:BU55)</f>
        <v>0.16567076292847718</v>
      </c>
      <c r="EL55" s="637">
        <f>BV55+BW55+BX55+BY55</f>
        <v>0.11300493756435082</v>
      </c>
      <c r="EM55" s="637">
        <f>CC55+CB55+CA55+BZ55</f>
        <v>0.17243887380288536</v>
      </c>
      <c r="EN55" s="637">
        <f>+CD55+CE55+CF55+CG55</f>
        <v>0.38447317409792825</v>
      </c>
      <c r="EO55" s="637">
        <f>+SUM(CH55:CK55)</f>
        <v>0.17414531351907933</v>
      </c>
      <c r="EP55" s="637">
        <f>+SUM(CL55:CO55)</f>
        <v>1.1936501970765407</v>
      </c>
      <c r="EQ55" s="637">
        <f>+SUM(CP55:CS55)</f>
        <v>2.9394532965466946</v>
      </c>
      <c r="ER55" s="637">
        <f>+SUM(CT55:CW55)</f>
        <v>4.9016155443463356</v>
      </c>
      <c r="ES55" s="639">
        <f>SUM(CX55:DA55)</f>
        <v>10.022744473799017</v>
      </c>
      <c r="ET55" s="639">
        <f>SUM(DB55:DE55)</f>
        <v>15.248209580596935</v>
      </c>
      <c r="EU55" s="639">
        <f>SUM(DF55:DI55)</f>
        <v>19.502840395699909</v>
      </c>
      <c r="EV55" s="639">
        <f>SUM(DJ55:DM55)</f>
        <v>22.452996021181182</v>
      </c>
      <c r="EW55" s="639">
        <f>SUM(DN55:DQ55)</f>
        <v>25.952668535937953</v>
      </c>
      <c r="EY55" s="68"/>
    </row>
    <row r="56" spans="1:155" s="52" customFormat="1" ht="11.25" customHeight="1">
      <c r="A56" s="51" t="s">
        <v>223</v>
      </c>
      <c r="K56" s="52">
        <f t="shared" ref="K56:BV56" si="112">K55/J55-1</f>
        <v>0.17654630611468414</v>
      </c>
      <c r="L56" s="52">
        <f t="shared" si="112"/>
        <v>-0.73468053860957894</v>
      </c>
      <c r="M56" s="52">
        <f t="shared" si="112"/>
        <v>2.7308000929832845</v>
      </c>
      <c r="N56" s="52">
        <f t="shared" si="112"/>
        <v>-0.12657718222720515</v>
      </c>
      <c r="O56" s="52">
        <f t="shared" si="112"/>
        <v>-0.75879039958080852</v>
      </c>
      <c r="P56" s="52">
        <f t="shared" si="112"/>
        <v>4.1885423797390038</v>
      </c>
      <c r="Q56" s="52">
        <f t="shared" si="112"/>
        <v>0.80920964496106573</v>
      </c>
      <c r="R56" s="52">
        <f t="shared" si="112"/>
        <v>0.31827272456149869</v>
      </c>
      <c r="S56" s="52">
        <f t="shared" si="112"/>
        <v>0.15935765287865089</v>
      </c>
      <c r="T56" s="52">
        <f t="shared" si="112"/>
        <v>-0.14102165124543087</v>
      </c>
      <c r="U56" s="52">
        <f t="shared" si="112"/>
        <v>0.48161226281622627</v>
      </c>
      <c r="V56" s="52">
        <f t="shared" si="112"/>
        <v>-0.10250111901693471</v>
      </c>
      <c r="W56" s="52">
        <f t="shared" si="112"/>
        <v>-4.8306287493383393E-2</v>
      </c>
      <c r="X56" s="52">
        <f t="shared" si="112"/>
        <v>0.21009397298128629</v>
      </c>
      <c r="Y56" s="52">
        <f t="shared" si="112"/>
        <v>0.50517974432091139</v>
      </c>
      <c r="Z56" s="52">
        <f t="shared" si="112"/>
        <v>-0.19084655482679269</v>
      </c>
      <c r="AA56" s="52">
        <f t="shared" si="112"/>
        <v>0.29405137106831125</v>
      </c>
      <c r="AB56" s="52">
        <f t="shared" si="112"/>
        <v>0.34393849549790589</v>
      </c>
      <c r="AC56" s="52">
        <f t="shared" si="112"/>
        <v>9.7343963849155557E-2</v>
      </c>
      <c r="AD56" s="52">
        <f t="shared" si="112"/>
        <v>-0.29205379572327439</v>
      </c>
      <c r="AE56" s="52">
        <f t="shared" si="112"/>
        <v>-1.6987146718820256</v>
      </c>
      <c r="AF56" s="52">
        <f t="shared" si="112"/>
        <v>-1.1056640297351341</v>
      </c>
      <c r="AG56" s="52">
        <f t="shared" si="112"/>
        <v>-13.457027150411509</v>
      </c>
      <c r="AH56" s="52">
        <f t="shared" si="112"/>
        <v>0.35163114681667085</v>
      </c>
      <c r="AI56" s="52">
        <f t="shared" si="112"/>
        <v>-0.49588533104900934</v>
      </c>
      <c r="AJ56" s="52">
        <f t="shared" si="112"/>
        <v>-2.0007128779876808</v>
      </c>
      <c r="AK56" s="52">
        <f t="shared" si="112"/>
        <v>0.20232088930947745</v>
      </c>
      <c r="AL56" s="52">
        <f t="shared" si="112"/>
        <v>3.3890306914044377E-2</v>
      </c>
      <c r="AM56" s="52">
        <f t="shared" si="112"/>
        <v>-2.0396234401736186</v>
      </c>
      <c r="AN56" s="52">
        <f t="shared" si="112"/>
        <v>-1.6017508605913933</v>
      </c>
      <c r="AO56" s="52">
        <f t="shared" si="112"/>
        <v>0.95912030727421538</v>
      </c>
      <c r="AP56" s="52">
        <f t="shared" si="112"/>
        <v>-0.22754453639460859</v>
      </c>
      <c r="AQ56" s="52">
        <f t="shared" si="112"/>
        <v>0.12010465595138187</v>
      </c>
      <c r="AR56" s="52">
        <f t="shared" si="112"/>
        <v>0.17686967741767434</v>
      </c>
      <c r="AS56" s="52">
        <f t="shared" si="112"/>
        <v>-0.35447386590133423</v>
      </c>
      <c r="AT56" s="52">
        <f t="shared" si="112"/>
        <v>-0.48343507789754803</v>
      </c>
      <c r="AU56" s="52">
        <f t="shared" si="112"/>
        <v>0.97178614930487384</v>
      </c>
      <c r="AV56" s="52">
        <f t="shared" si="112"/>
        <v>0.74037081801624249</v>
      </c>
      <c r="AW56" s="52">
        <f t="shared" si="112"/>
        <v>-0.15877916466335484</v>
      </c>
      <c r="AX56" s="52">
        <f t="shared" si="112"/>
        <v>-0.55031759293212024</v>
      </c>
      <c r="AY56" s="52">
        <f t="shared" si="112"/>
        <v>0.29533565803454742</v>
      </c>
      <c r="AZ56" s="52">
        <f t="shared" si="112"/>
        <v>0.23787156087457784</v>
      </c>
      <c r="BA56" s="52">
        <f t="shared" si="112"/>
        <v>0.26178588459578789</v>
      </c>
      <c r="BB56" s="52">
        <f t="shared" si="112"/>
        <v>-5.9499740874248142E-2</v>
      </c>
      <c r="BC56" s="52">
        <f t="shared" si="112"/>
        <v>-6.2803218176292863E-2</v>
      </c>
      <c r="BD56" s="52">
        <f t="shared" si="112"/>
        <v>0.38151169719024325</v>
      </c>
      <c r="BE56" s="52">
        <f t="shared" si="112"/>
        <v>0.1198257917360126</v>
      </c>
      <c r="BF56" s="52">
        <f t="shared" si="112"/>
        <v>-0.31285977282634159</v>
      </c>
      <c r="BG56" s="52">
        <f t="shared" si="112"/>
        <v>-0.80245511572571915</v>
      </c>
      <c r="BH56" s="52">
        <f t="shared" si="112"/>
        <v>8.2438393464942141</v>
      </c>
      <c r="BI56" s="52">
        <f t="shared" si="112"/>
        <v>-0.19826841607370538</v>
      </c>
      <c r="BJ56" s="52">
        <f t="shared" si="112"/>
        <v>-5.9484216574013371E-2</v>
      </c>
      <c r="BK56" s="621">
        <f t="shared" si="112"/>
        <v>0.21548477435138103</v>
      </c>
      <c r="BL56" s="621">
        <f t="shared" si="112"/>
        <v>1.0799593242498897</v>
      </c>
      <c r="BM56" s="52">
        <f t="shared" si="112"/>
        <v>0.19566979760706693</v>
      </c>
      <c r="BN56" s="52">
        <f t="shared" si="112"/>
        <v>-0.20301056317061839</v>
      </c>
      <c r="BO56" s="52">
        <f t="shared" si="112"/>
        <v>0.16443409954164601</v>
      </c>
      <c r="BP56" s="52">
        <f>BP55/BO55-1</f>
        <v>0.44883700604166887</v>
      </c>
      <c r="BQ56" s="52">
        <f t="shared" si="112"/>
        <v>0.33412887828162274</v>
      </c>
      <c r="BR56" s="52">
        <f t="shared" si="112"/>
        <v>0.11447589538164826</v>
      </c>
      <c r="BS56" s="52">
        <f t="shared" si="112"/>
        <v>-0.11353795342243411</v>
      </c>
      <c r="BT56" s="52">
        <f t="shared" si="112"/>
        <v>0.11895367847411453</v>
      </c>
      <c r="BU56" s="52">
        <f t="shared" si="112"/>
        <v>-0.53455612908310024</v>
      </c>
      <c r="BV56" s="52">
        <f t="shared" si="112"/>
        <v>-0.3017304564923613</v>
      </c>
      <c r="BW56" s="52">
        <f t="shared" ref="BW56:DQ56" si="113">BW55/BV55-1</f>
        <v>0.40101522842639614</v>
      </c>
      <c r="BX56" s="52">
        <f t="shared" si="113"/>
        <v>0.62335256320060028</v>
      </c>
      <c r="BY56" s="52">
        <f t="shared" si="113"/>
        <v>5.1624725271772753E-2</v>
      </c>
      <c r="BZ56" s="52">
        <f t="shared" si="113"/>
        <v>-3.6288712134032841E-2</v>
      </c>
      <c r="CA56" s="52">
        <f t="shared" si="113"/>
        <v>-0.32603537720236508</v>
      </c>
      <c r="CB56" s="52">
        <f t="shared" si="113"/>
        <v>1.1342724442402901</v>
      </c>
      <c r="CC56" s="52">
        <f t="shared" si="113"/>
        <v>8.8840543951716144E-2</v>
      </c>
      <c r="CD56" s="52">
        <f t="shared" si="113"/>
        <v>0.3102091170516843</v>
      </c>
      <c r="CE56" s="52">
        <f t="shared" si="113"/>
        <v>0.2396702955310106</v>
      </c>
      <c r="CF56" s="52">
        <f t="shared" si="113"/>
        <v>3.5457009645469606E-2</v>
      </c>
      <c r="CG56" s="52">
        <f t="shared" si="113"/>
        <v>0.21539783889980346</v>
      </c>
      <c r="CH56" s="52">
        <f t="shared" si="113"/>
        <v>-0.45950646384229354</v>
      </c>
      <c r="CI56" s="52">
        <f t="shared" si="113"/>
        <v>-0.59117715839885554</v>
      </c>
      <c r="CJ56" s="52">
        <f t="shared" si="113"/>
        <v>4.3636966981914771E-2</v>
      </c>
      <c r="CK56" s="52">
        <f t="shared" si="113"/>
        <v>1.0978805006055716</v>
      </c>
      <c r="CL56" s="52">
        <f t="shared" si="113"/>
        <v>0.43729401339445473</v>
      </c>
      <c r="CM56" s="52">
        <f t="shared" si="113"/>
        <v>2.0179707712747361</v>
      </c>
      <c r="CN56" s="52">
        <f t="shared" si="113"/>
        <v>0.49669206094627105</v>
      </c>
      <c r="CO56" s="52">
        <f t="shared" si="113"/>
        <v>0.33124904682019229</v>
      </c>
      <c r="CP56" s="52">
        <f t="shared" si="113"/>
        <v>0.21180127849472963</v>
      </c>
      <c r="CQ56" s="52">
        <f t="shared" si="113"/>
        <v>0.11733464861154563</v>
      </c>
      <c r="CR56" s="52">
        <f t="shared" si="113"/>
        <v>0.16673751619514188</v>
      </c>
      <c r="CS56" s="52">
        <f t="shared" si="113"/>
        <v>0.1472268143395854</v>
      </c>
      <c r="CT56" s="52">
        <f t="shared" si="113"/>
        <v>-0.14682573560181966</v>
      </c>
      <c r="CU56" s="52">
        <f t="shared" si="113"/>
        <v>0.41182883282098137</v>
      </c>
      <c r="CV56" s="52">
        <f t="shared" si="113"/>
        <v>0.21012278835870868</v>
      </c>
      <c r="CW56" s="52">
        <f t="shared" si="113"/>
        <v>0.34909670432373963</v>
      </c>
      <c r="CX56" s="52">
        <f t="shared" si="113"/>
        <v>0.35984717322925008</v>
      </c>
      <c r="CY56" s="53">
        <f t="shared" si="113"/>
        <v>-0.11495232953417156</v>
      </c>
      <c r="CZ56" s="53">
        <f t="shared" si="113"/>
        <v>0.21144396487569495</v>
      </c>
      <c r="DA56" s="53">
        <f t="shared" si="113"/>
        <v>0.15136531867163439</v>
      </c>
      <c r="DB56" s="53">
        <f t="shared" si="113"/>
        <v>0.10036275359522362</v>
      </c>
      <c r="DC56" s="53">
        <f t="shared" si="113"/>
        <v>0.10507833203231787</v>
      </c>
      <c r="DD56" s="53">
        <f t="shared" si="113"/>
        <v>0.12978969263739848</v>
      </c>
      <c r="DE56" s="53">
        <f t="shared" si="113"/>
        <v>7.4147051710319323E-2</v>
      </c>
      <c r="DF56" s="53">
        <f t="shared" si="113"/>
        <v>3.1593049796861283E-2</v>
      </c>
      <c r="DG56" s="53">
        <f t="shared" si="113"/>
        <v>3.6209309909947196E-2</v>
      </c>
      <c r="DH56" s="53">
        <f t="shared" si="113"/>
        <v>8.035056146153452E-2</v>
      </c>
      <c r="DI56" s="53">
        <f t="shared" si="113"/>
        <v>5.820730850028033E-2</v>
      </c>
      <c r="DJ56" s="53">
        <f t="shared" si="113"/>
        <v>1.329805148178842E-2</v>
      </c>
      <c r="DK56" s="53">
        <f t="shared" si="113"/>
        <v>1.7144449890984959E-2</v>
      </c>
      <c r="DL56" s="53">
        <f t="shared" si="113"/>
        <v>4.0100755849978853E-2</v>
      </c>
      <c r="DM56" s="53">
        <f t="shared" si="113"/>
        <v>2.8080917595704635E-2</v>
      </c>
      <c r="DN56" s="53">
        <f t="shared" si="113"/>
        <v>2.4652478362182872E-2</v>
      </c>
      <c r="DO56" s="53">
        <f t="shared" si="113"/>
        <v>3.8447045125413304E-2</v>
      </c>
      <c r="DP56" s="53">
        <f t="shared" si="113"/>
        <v>7.096010408254072E-2</v>
      </c>
      <c r="DQ56" s="53">
        <f t="shared" si="113"/>
        <v>4.9172657008103915E-2</v>
      </c>
      <c r="DT56" s="54" t="s">
        <v>224</v>
      </c>
      <c r="DU56" s="54" t="s">
        <v>224</v>
      </c>
      <c r="DV56" s="54" t="s">
        <v>224</v>
      </c>
      <c r="DW56" s="54" t="s">
        <v>224</v>
      </c>
      <c r="DX56" s="54" t="s">
        <v>224</v>
      </c>
      <c r="DY56" s="54" t="s">
        <v>224</v>
      </c>
      <c r="DZ56" s="54" t="s">
        <v>224</v>
      </c>
      <c r="EA56" s="54" t="s">
        <v>224</v>
      </c>
      <c r="EB56" s="54" t="s">
        <v>224</v>
      </c>
      <c r="EC56" s="54" t="s">
        <v>224</v>
      </c>
      <c r="ED56" s="54" t="s">
        <v>224</v>
      </c>
      <c r="EE56" s="54" t="s">
        <v>224</v>
      </c>
      <c r="EF56" s="54" t="s">
        <v>224</v>
      </c>
      <c r="EG56" s="54" t="s">
        <v>224</v>
      </c>
      <c r="EH56" s="54" t="s">
        <v>224</v>
      </c>
      <c r="EI56" s="54" t="s">
        <v>224</v>
      </c>
      <c r="EJ56" s="54" t="s">
        <v>224</v>
      </c>
      <c r="EK56" s="54" t="s">
        <v>224</v>
      </c>
      <c r="EL56" s="54" t="s">
        <v>224</v>
      </c>
      <c r="EM56" s="54" t="s">
        <v>224</v>
      </c>
      <c r="EN56" s="54" t="s">
        <v>224</v>
      </c>
      <c r="EO56" s="54" t="s">
        <v>224</v>
      </c>
      <c r="EP56" s="54" t="s">
        <v>224</v>
      </c>
      <c r="EQ56" s="54" t="s">
        <v>224</v>
      </c>
      <c r="ER56" s="54" t="s">
        <v>224</v>
      </c>
      <c r="ES56" s="55" t="s">
        <v>224</v>
      </c>
      <c r="ET56" s="55" t="s">
        <v>224</v>
      </c>
      <c r="EU56" s="55" t="s">
        <v>224</v>
      </c>
      <c r="EV56" s="55" t="s">
        <v>224</v>
      </c>
      <c r="EW56" s="55" t="s">
        <v>224</v>
      </c>
      <c r="EY56" s="68"/>
    </row>
    <row r="57" spans="1:155" s="52" customFormat="1" ht="11.25" customHeight="1">
      <c r="A57" s="51" t="s">
        <v>225</v>
      </c>
      <c r="N57" s="52">
        <f t="shared" ref="N57:BY57" si="114">N55/J55-1</f>
        <v>1.71960008272658E-2</v>
      </c>
      <c r="O57" s="52">
        <f t="shared" si="114"/>
        <v>-0.79145959693011181</v>
      </c>
      <c r="P57" s="52">
        <f t="shared" si="114"/>
        <v>3.0781807468837012</v>
      </c>
      <c r="Q57" s="52">
        <f t="shared" si="114"/>
        <v>0.97766799540753979</v>
      </c>
      <c r="R57" s="52">
        <f t="shared" si="114"/>
        <v>1.9849297768886158</v>
      </c>
      <c r="S57" s="52">
        <f t="shared" si="114"/>
        <v>13.346863367490755</v>
      </c>
      <c r="T57" s="52">
        <f t="shared" si="114"/>
        <v>1.3751651433623895</v>
      </c>
      <c r="U57" s="52">
        <f t="shared" si="114"/>
        <v>0.94508901299556536</v>
      </c>
      <c r="V57" s="52">
        <f t="shared" si="114"/>
        <v>0.32424435403278018</v>
      </c>
      <c r="W57" s="52">
        <f t="shared" si="114"/>
        <v>8.7045936537493152E-2</v>
      </c>
      <c r="X57" s="52">
        <f t="shared" si="114"/>
        <v>0.53138637087308904</v>
      </c>
      <c r="Y57" s="52">
        <f t="shared" si="114"/>
        <v>0.55574559148555713</v>
      </c>
      <c r="Z57" s="52">
        <f t="shared" si="114"/>
        <v>0.40260554284448213</v>
      </c>
      <c r="AA57" s="52">
        <f t="shared" si="114"/>
        <v>0.90717202597185009</v>
      </c>
      <c r="AB57" s="52">
        <f t="shared" si="114"/>
        <v>1.1181180639430708</v>
      </c>
      <c r="AC57" s="52">
        <f t="shared" si="114"/>
        <v>0.54420366136167986</v>
      </c>
      <c r="AD57" s="52">
        <f t="shared" si="114"/>
        <v>0.35105785832402958</v>
      </c>
      <c r="AE57" s="52">
        <f t="shared" si="114"/>
        <v>-1.7294949561339121</v>
      </c>
      <c r="AF57" s="52">
        <f t="shared" si="114"/>
        <v>-0.94264516047811642</v>
      </c>
      <c r="AG57" s="52">
        <f t="shared" si="114"/>
        <v>-1.6510910130907803</v>
      </c>
      <c r="AH57" s="52">
        <f t="shared" si="114"/>
        <v>-2.2430815892360192</v>
      </c>
      <c r="AI57" s="52">
        <f t="shared" si="114"/>
        <v>-0.1031308071020518</v>
      </c>
      <c r="AJ57" s="52">
        <f t="shared" si="114"/>
        <v>7.4939837469114128</v>
      </c>
      <c r="AK57" s="52">
        <f t="shared" si="114"/>
        <v>-1.8198179203638818</v>
      </c>
      <c r="AL57" s="52">
        <f t="shared" si="114"/>
        <v>-1.6270954936891613</v>
      </c>
      <c r="AM57" s="52">
        <f t="shared" si="114"/>
        <v>0.29324380864203836</v>
      </c>
      <c r="AN57" s="52">
        <f t="shared" si="114"/>
        <v>-0.2223437991827083</v>
      </c>
      <c r="AO57" s="52">
        <f t="shared" si="114"/>
        <v>0.26715094834114383</v>
      </c>
      <c r="AP57" s="52">
        <f t="shared" si="114"/>
        <v>-5.3267385608397277E-2</v>
      </c>
      <c r="AQ57" s="52">
        <f t="shared" si="114"/>
        <v>-2.0200227970465572</v>
      </c>
      <c r="AR57" s="52">
        <f t="shared" si="114"/>
        <v>0.99490184183381825</v>
      </c>
      <c r="AS57" s="52">
        <f t="shared" si="114"/>
        <v>-0.34268392345082954</v>
      </c>
      <c r="AT57" s="52">
        <f t="shared" si="114"/>
        <v>-0.56043235645651568</v>
      </c>
      <c r="AU57" s="52">
        <f t="shared" si="114"/>
        <v>-0.22620320644462644</v>
      </c>
      <c r="AV57" s="52">
        <f t="shared" si="114"/>
        <v>0.14430117830316558</v>
      </c>
      <c r="AW57" s="52">
        <f t="shared" si="114"/>
        <v>0.49120220273183501</v>
      </c>
      <c r="AX57" s="52">
        <f t="shared" si="114"/>
        <v>0.29812801306779435</v>
      </c>
      <c r="AY57" s="52">
        <f t="shared" si="114"/>
        <v>-0.14721406040252139</v>
      </c>
      <c r="AZ57" s="52">
        <f t="shared" si="114"/>
        <v>-0.39343992026670949</v>
      </c>
      <c r="BA57" s="52">
        <f t="shared" si="114"/>
        <v>-9.0192593172660263E-2</v>
      </c>
      <c r="BB57" s="52">
        <f t="shared" si="114"/>
        <v>0.9028409571435092</v>
      </c>
      <c r="BC57" s="52">
        <f t="shared" si="114"/>
        <v>0.37673691779870455</v>
      </c>
      <c r="BD57" s="52">
        <f t="shared" si="114"/>
        <v>0.53649071196754217</v>
      </c>
      <c r="BE57" s="52">
        <f t="shared" si="114"/>
        <v>0.36362432725681981</v>
      </c>
      <c r="BF57" s="52">
        <f t="shared" si="114"/>
        <v>-3.720497768098574E-3</v>
      </c>
      <c r="BG57" s="52">
        <f t="shared" si="114"/>
        <v>-0.79000149937533581</v>
      </c>
      <c r="BH57" s="52">
        <f t="shared" si="114"/>
        <v>0.40512194484282049</v>
      </c>
      <c r="BI57" s="52">
        <f t="shared" si="114"/>
        <v>5.9874051498878256E-3</v>
      </c>
      <c r="BJ57" s="52">
        <f t="shared" si="114"/>
        <v>0.37693442336058403</v>
      </c>
      <c r="BK57" s="621">
        <f t="shared" si="114"/>
        <v>7.4722154816792035</v>
      </c>
      <c r="BL57" s="621">
        <f t="shared" si="114"/>
        <v>0.90633598525878067</v>
      </c>
      <c r="BM57" s="52">
        <f t="shared" si="114"/>
        <v>1.8430317669448102</v>
      </c>
      <c r="BN57" s="52">
        <f t="shared" si="114"/>
        <v>1.4091741220669234</v>
      </c>
      <c r="BO57" s="52">
        <f t="shared" si="114"/>
        <v>1.3079881860017859</v>
      </c>
      <c r="BP57" s="52">
        <f>BP55/BL55-1</f>
        <v>0.6076750417185699</v>
      </c>
      <c r="BQ57" s="52">
        <f t="shared" si="114"/>
        <v>0.79384450819273589</v>
      </c>
      <c r="BR57" s="52">
        <f t="shared" si="114"/>
        <v>1.5084353343462653</v>
      </c>
      <c r="BS57" s="52">
        <f t="shared" si="114"/>
        <v>0.90962521714827438</v>
      </c>
      <c r="BT57" s="52">
        <f t="shared" si="114"/>
        <v>0.47482577565632456</v>
      </c>
      <c r="BU57" s="52">
        <f t="shared" si="114"/>
        <v>-0.48547053502533077</v>
      </c>
      <c r="BV57" s="52">
        <f t="shared" si="114"/>
        <v>-0.67762402388608178</v>
      </c>
      <c r="BW57" s="52">
        <f t="shared" si="114"/>
        <v>-0.49049860221522346</v>
      </c>
      <c r="BX57" s="52">
        <f t="shared" si="114"/>
        <v>-0.26082695292972347</v>
      </c>
      <c r="BY57" s="52">
        <f t="shared" si="114"/>
        <v>0.67008892183342028</v>
      </c>
      <c r="BZ57" s="52">
        <f t="shared" ref="BZ57:DQ57" si="115">BZ55/BV55-1</f>
        <v>1.3049602559289668</v>
      </c>
      <c r="CA57" s="52">
        <f t="shared" si="115"/>
        <v>0.1088114089919896</v>
      </c>
      <c r="CB57" s="52">
        <f t="shared" si="115"/>
        <v>0.45778907781132494</v>
      </c>
      <c r="CC57" s="52">
        <f t="shared" si="115"/>
        <v>0.50937859704729327</v>
      </c>
      <c r="CD57" s="52">
        <f t="shared" si="115"/>
        <v>1.0520685228386455</v>
      </c>
      <c r="CE57" s="52">
        <f t="shared" si="115"/>
        <v>2.7745132401720998</v>
      </c>
      <c r="CF57" s="52">
        <f t="shared" si="115"/>
        <v>0.83123115471185294</v>
      </c>
      <c r="CG57" s="52">
        <f t="shared" si="115"/>
        <v>1.0440774366145145</v>
      </c>
      <c r="CH57" s="52">
        <f t="shared" si="115"/>
        <v>-0.15676770408828</v>
      </c>
      <c r="CI57" s="52">
        <f t="shared" si="115"/>
        <v>-0.72191587990190498</v>
      </c>
      <c r="CJ57" s="52">
        <f t="shared" si="115"/>
        <v>-0.71971905645375034</v>
      </c>
      <c r="CK57" s="52">
        <f t="shared" si="115"/>
        <v>-0.51621114721639549</v>
      </c>
      <c r="CL57" s="52">
        <f t="shared" si="115"/>
        <v>0.28650349233770678</v>
      </c>
      <c r="CM57" s="52">
        <f t="shared" si="115"/>
        <v>8.4970963995354243</v>
      </c>
      <c r="CN57" s="52">
        <f t="shared" si="115"/>
        <v>12.619897754611067</v>
      </c>
      <c r="CO57" s="52">
        <f t="shared" si="115"/>
        <v>7.6427591554336161</v>
      </c>
      <c r="CP57" s="52">
        <f t="shared" si="115"/>
        <v>6.2868226658383524</v>
      </c>
      <c r="CQ57" s="52">
        <f t="shared" si="115"/>
        <v>1.6977794219624549</v>
      </c>
      <c r="CR57" s="52">
        <f t="shared" si="115"/>
        <v>1.1030381226401351</v>
      </c>
      <c r="CS57" s="52">
        <f t="shared" si="115"/>
        <v>0.81232935462677225</v>
      </c>
      <c r="CT57" s="52">
        <f t="shared" si="115"/>
        <v>0.27597881882219055</v>
      </c>
      <c r="CU57" s="52">
        <f t="shared" si="115"/>
        <v>0.61228660430481963</v>
      </c>
      <c r="CV57" s="52">
        <f t="shared" si="115"/>
        <v>0.67223967186499411</v>
      </c>
      <c r="CW57" s="52">
        <f t="shared" si="115"/>
        <v>0.9664925906139803</v>
      </c>
      <c r="CX57" s="52">
        <f t="shared" si="115"/>
        <v>2.1343296464866848</v>
      </c>
      <c r="CY57" s="53">
        <f t="shared" si="115"/>
        <v>0.96484948288824812</v>
      </c>
      <c r="CZ57" s="53">
        <f t="shared" si="115"/>
        <v>0.96699464784272782</v>
      </c>
      <c r="DA57" s="53">
        <f t="shared" si="115"/>
        <v>0.67870057964012331</v>
      </c>
      <c r="DB57" s="53">
        <f t="shared" si="115"/>
        <v>0.35837293237017076</v>
      </c>
      <c r="DC57" s="53">
        <f t="shared" si="115"/>
        <v>0.69607643121798879</v>
      </c>
      <c r="DD57" s="53">
        <f t="shared" si="115"/>
        <v>0.58175675101235691</v>
      </c>
      <c r="DE57" s="53">
        <f t="shared" si="115"/>
        <v>0.47567355301534575</v>
      </c>
      <c r="DF57" s="53">
        <f t="shared" si="115"/>
        <v>0.38344793667894161</v>
      </c>
      <c r="DG57" s="53">
        <f t="shared" si="115"/>
        <v>0.29723078465038855</v>
      </c>
      <c r="DH57" s="53">
        <f t="shared" si="115"/>
        <v>0.24046450031831612</v>
      </c>
      <c r="DI57" s="53">
        <f t="shared" si="115"/>
        <v>0.22205669892393542</v>
      </c>
      <c r="DJ57" s="53">
        <f t="shared" si="115"/>
        <v>0.20038388399741014</v>
      </c>
      <c r="DK57" s="53">
        <f t="shared" si="115"/>
        <v>0.17829843224691633</v>
      </c>
      <c r="DL57" s="53">
        <f t="shared" si="115"/>
        <v>0.13439945672717446</v>
      </c>
      <c r="DM57" s="53">
        <f t="shared" si="115"/>
        <v>0.10210393088759617</v>
      </c>
      <c r="DN57" s="53">
        <f t="shared" si="115"/>
        <v>0.11445346464971018</v>
      </c>
      <c r="DO57" s="53">
        <f t="shared" si="115"/>
        <v>0.1377940541476752</v>
      </c>
      <c r="DP57" s="53">
        <f t="shared" si="115"/>
        <v>0.17155192110085138</v>
      </c>
      <c r="DQ57" s="53">
        <f t="shared" si="115"/>
        <v>0.19558706016922622</v>
      </c>
      <c r="DW57" s="52">
        <f t="shared" ref="DW57:ET57" si="116">DW55/DV55-1</f>
        <v>0.32449831746670577</v>
      </c>
      <c r="DX57" s="52">
        <f t="shared" si="116"/>
        <v>1.9056756333967146</v>
      </c>
      <c r="DY57" s="52">
        <f t="shared" si="116"/>
        <v>0.38316918513610432</v>
      </c>
      <c r="DZ57" s="52">
        <f t="shared" si="116"/>
        <v>0.72299678337620299</v>
      </c>
      <c r="EA57" s="52">
        <f t="shared" si="116"/>
        <v>-1.123830905792222</v>
      </c>
      <c r="EB57" s="52">
        <f t="shared" si="116"/>
        <v>-0.10268374852115481</v>
      </c>
      <c r="EC57" s="52">
        <f t="shared" si="116"/>
        <v>-3.8899370856393518</v>
      </c>
      <c r="ED57" s="52">
        <f>ED55/EC55-1</f>
        <v>1.2415656775329897</v>
      </c>
      <c r="EE57" s="52">
        <f t="shared" si="116"/>
        <v>-4.7933131209873858E-2</v>
      </c>
      <c r="EF57" s="52">
        <f t="shared" si="116"/>
        <v>-0.1725104774462779</v>
      </c>
      <c r="EG57" s="52">
        <f>EG55/EF55-1</f>
        <v>0.50435104735870628</v>
      </c>
      <c r="EH57" s="52">
        <f t="shared" si="116"/>
        <v>-4.5045412881944413E-2</v>
      </c>
      <c r="EI57" s="52">
        <f t="shared" si="116"/>
        <v>1.3829778002837605</v>
      </c>
      <c r="EJ57" s="52">
        <f t="shared" si="116"/>
        <v>0.8929366002858341</v>
      </c>
      <c r="EK57" s="52">
        <f t="shared" si="116"/>
        <v>0.37297756647735647</v>
      </c>
      <c r="EL57" s="52">
        <f t="shared" si="116"/>
        <v>-0.31789450614688775</v>
      </c>
      <c r="EM57" s="52">
        <f t="shared" si="116"/>
        <v>0.52594105637808797</v>
      </c>
      <c r="EN57" s="52">
        <f t="shared" si="116"/>
        <v>1.2296200712689589</v>
      </c>
      <c r="EO57" s="52">
        <f t="shared" si="116"/>
        <v>-0.54705470953163771</v>
      </c>
      <c r="EP57" s="52">
        <f t="shared" si="116"/>
        <v>5.854334308260122</v>
      </c>
      <c r="EQ57" s="52">
        <f t="shared" si="116"/>
        <v>1.4625751361210617</v>
      </c>
      <c r="ER57" s="52">
        <f t="shared" si="116"/>
        <v>0.66752625398226706</v>
      </c>
      <c r="ES57" s="53">
        <f t="shared" si="116"/>
        <v>1.0447838846438167</v>
      </c>
      <c r="ET57" s="53">
        <f t="shared" si="116"/>
        <v>0.5213607031944274</v>
      </c>
      <c r="EU57" s="53">
        <f>EU55/ET55-1</f>
        <v>0.2790249433951193</v>
      </c>
      <c r="EV57" s="53">
        <f>EV55/EU55-1</f>
        <v>0.15126799817998515</v>
      </c>
      <c r="EW57" s="53">
        <f>EW55/EV55-1</f>
        <v>0.15586661626160403</v>
      </c>
    </row>
    <row r="58" spans="1:155" s="49" customFormat="1" ht="11.25" customHeight="1">
      <c r="A58" s="619" t="s">
        <v>244</v>
      </c>
      <c r="B58" s="35">
        <f>NVDA!V156</f>
        <v>3.9369999999999834</v>
      </c>
      <c r="C58" s="35">
        <f>NVDA!W156</f>
        <v>34.287000000000013</v>
      </c>
      <c r="D58" s="35">
        <f>NVDA!X156</f>
        <v>-1.8000000000000007</v>
      </c>
      <c r="E58" s="35">
        <f>NVDA!Y156</f>
        <v>29.229700000000001</v>
      </c>
      <c r="F58" s="35">
        <f>NVDA!AA156</f>
        <v>27.582999999999934</v>
      </c>
      <c r="G58" s="35">
        <f>NVDA!AB156</f>
        <v>-23.262999999999966</v>
      </c>
      <c r="H58" s="35">
        <f>NVDA!AC156</f>
        <v>83.203999999999979</v>
      </c>
      <c r="I58" s="35">
        <f>NVDA!AD156</f>
        <v>114.38500000000001</v>
      </c>
      <c r="J58" s="35">
        <f>NVDA!AF156</f>
        <v>14.83600000000002</v>
      </c>
      <c r="K58" s="35">
        <f>NVDA!AG156</f>
        <v>-47.457000000000015</v>
      </c>
      <c r="L58" s="35">
        <f>NVDA!AH156</f>
        <v>-31.999999999999979</v>
      </c>
      <c r="M58" s="35">
        <f>NVDA!AI156</f>
        <v>-13.304999999999971</v>
      </c>
      <c r="N58" s="35">
        <f>NVDA!AK156</f>
        <v>42.886999999999929</v>
      </c>
      <c r="O58" s="35">
        <f>NVDA!AL156</f>
        <v>-45.519000000000034</v>
      </c>
      <c r="P58" s="35">
        <f>NVDA!AM156</f>
        <v>-13.622999999999973</v>
      </c>
      <c r="Q58" s="35">
        <f>NVDA!AN156</f>
        <v>81.193999999999988</v>
      </c>
      <c r="R58" s="35">
        <f>NVDA!AP156</f>
        <v>76.074999999999974</v>
      </c>
      <c r="S58" s="35">
        <f>NVDA!AQ156</f>
        <v>18.162000000000006</v>
      </c>
      <c r="T58" s="35">
        <f>NVDA!AR156</f>
        <v>70.632999999999925</v>
      </c>
      <c r="U58" s="35">
        <f>NVDA!AS156</f>
        <v>201.93800000000007</v>
      </c>
      <c r="V58" s="35">
        <f>NVDA!AU156</f>
        <v>28.868999999999993</v>
      </c>
      <c r="W58" s="35">
        <f>NVDA!AV156</f>
        <v>-2.2489999999999526</v>
      </c>
      <c r="X58" s="35">
        <f>NVDA!AW156</f>
        <v>260.53199999999998</v>
      </c>
      <c r="Y58" s="35">
        <f>NVDA!AX156</f>
        <v>154.70300000000009</v>
      </c>
      <c r="Z58" s="35">
        <f>NVDA!AZ156</f>
        <v>268.86199999999997</v>
      </c>
      <c r="AA58" s="35">
        <f>NVDA!BA156</f>
        <v>301.03499999999997</v>
      </c>
      <c r="AB58" s="35">
        <f>NVDA!BB156</f>
        <v>330.42199999999991</v>
      </c>
      <c r="AC58" s="35">
        <f>NVDA!BC156</f>
        <v>182.13200000000001</v>
      </c>
      <c r="AD58" s="35">
        <f>NVDA!BE156</f>
        <v>-56.928000000000026</v>
      </c>
      <c r="AE58" s="35">
        <f>NVDA!BF156</f>
        <v>27.442999999999984</v>
      </c>
      <c r="AF58" s="35">
        <f>NVDA!BG156</f>
        <v>-115.30500000000002</v>
      </c>
      <c r="AG58" s="35">
        <f>NVDA!BH156</f>
        <v>-62.820000000000057</v>
      </c>
      <c r="AH58" s="35">
        <f>NVDA!BJ156</f>
        <v>121.35099999999998</v>
      </c>
      <c r="AI58" s="35">
        <f>NVDA!BK156</f>
        <v>117.46099999999996</v>
      </c>
      <c r="AJ58" s="35">
        <f>NVDA!BL156</f>
        <v>167.97399999999999</v>
      </c>
      <c r="AK58" s="35">
        <f>NVDA!BM156</f>
        <v>3.4200000000000514</v>
      </c>
      <c r="AL58" s="35">
        <f>NVDA!BO156</f>
        <v>-22.477000000000061</v>
      </c>
      <c r="AM58" s="35">
        <f>NVDA!BP156</f>
        <v>-3.300000000000118</v>
      </c>
      <c r="AN58" s="35">
        <f>NVDA!BQ156</f>
        <v>190.35400000000004</v>
      </c>
      <c r="AO58" s="35">
        <f>NVDA!BR156</f>
        <v>413.33000000000004</v>
      </c>
      <c r="AP58" s="35">
        <f>NVDA!BT156</f>
        <v>141.00500000000002</v>
      </c>
      <c r="AQ58" s="35">
        <f>NVDA!BU156</f>
        <v>58.697999999999986</v>
      </c>
      <c r="AR58" s="35">
        <f>NVDA!BV156</f>
        <v>205.38199999999992</v>
      </c>
      <c r="AS58" s="35">
        <f>NVDA!BW156</f>
        <v>365.3359999999999</v>
      </c>
      <c r="AT58" s="35">
        <f>NVDA!BY156</f>
        <v>-38.130999999999958</v>
      </c>
      <c r="AU58" s="35">
        <f>NVDA!BZ156</f>
        <v>138.94199999999989</v>
      </c>
      <c r="AV58" s="35">
        <f>NVDA!CA156</f>
        <v>136.80099999999999</v>
      </c>
      <c r="AW58" s="35">
        <f>NVDA!CB156</f>
        <v>403.25100000000003</v>
      </c>
      <c r="AX58" s="35">
        <f>NVDA!CD156</f>
        <v>109.98299999999998</v>
      </c>
      <c r="AY58" s="35">
        <f>NVDA!CE156</f>
        <v>11.483000000000061</v>
      </c>
      <c r="AZ58" s="35">
        <f>NVDA!CF156</f>
        <v>124.15600000000006</v>
      </c>
      <c r="BA58" s="35">
        <f>NVDA!CG156</f>
        <v>334.33800000000008</v>
      </c>
      <c r="BB58" s="35">
        <f>NVDA!CI156</f>
        <v>121.95400000000016</v>
      </c>
      <c r="BC58" s="35">
        <f>NVDA!CJ156</f>
        <v>73.755000000000024</v>
      </c>
      <c r="BD58" s="35">
        <f>NVDA!CK156</f>
        <v>175.88200000000006</v>
      </c>
      <c r="BE58" s="35">
        <f>NVDA!CL156</f>
        <v>411.68400000000014</v>
      </c>
      <c r="BF58" s="35">
        <f>NVDA!CN156</f>
        <v>216</v>
      </c>
      <c r="BG58" s="35">
        <f>NVDA!CO156</f>
        <v>139</v>
      </c>
      <c r="BH58" s="35">
        <f>NVDA!CP156</f>
        <v>238</v>
      </c>
      <c r="BI58" s="35">
        <f>NVDA!CQ156</f>
        <v>496</v>
      </c>
      <c r="BJ58" s="35">
        <f>NVDA!CS156</f>
        <v>254</v>
      </c>
      <c r="BK58" s="620">
        <f>NVDA!CT156</f>
        <v>152</v>
      </c>
      <c r="BL58" s="620">
        <f>NVDA!CU156</f>
        <v>420</v>
      </c>
      <c r="BM58" s="35">
        <f>NVDA!CV156</f>
        <v>670</v>
      </c>
      <c r="BN58" s="35">
        <f>NVDA!CX156</f>
        <v>228</v>
      </c>
      <c r="BO58" s="35">
        <f>NVDA!CY156</f>
        <v>650</v>
      </c>
      <c r="BP58" s="35">
        <f>NVDA!CZ156</f>
        <v>1090</v>
      </c>
      <c r="BQ58" s="35">
        <f>NVDA!DA156</f>
        <v>941</v>
      </c>
      <c r="BR58" s="35">
        <f>NVDA!DC156</f>
        <v>1327</v>
      </c>
      <c r="BS58" s="35">
        <f>NVDA!DD156</f>
        <v>784</v>
      </c>
      <c r="BT58" s="35">
        <f>NVDA!DE156</f>
        <v>337</v>
      </c>
      <c r="BU58" s="35">
        <f>NVDA!DF156</f>
        <v>696</v>
      </c>
      <c r="BV58" s="35">
        <f>NVDA!DH156</f>
        <v>592</v>
      </c>
      <c r="BW58" s="35">
        <f>NVDA!DI156</f>
        <v>823</v>
      </c>
      <c r="BX58" s="35">
        <f>NVDA!DJ156</f>
        <v>1537</v>
      </c>
      <c r="BY58" s="35">
        <f>NVDA!DK156</f>
        <v>1321</v>
      </c>
      <c r="BZ58" s="35">
        <f>NVDA!DM156</f>
        <v>875</v>
      </c>
      <c r="CA58" s="35">
        <f>NVDA!DN156</f>
        <v>1349</v>
      </c>
      <c r="CB58" s="35">
        <f>NVDA!DO156</f>
        <v>806</v>
      </c>
      <c r="CC58" s="35">
        <f>NVDA!DP156</f>
        <v>1784</v>
      </c>
      <c r="CD58" s="35">
        <f>NVDA!DR156</f>
        <v>1576</v>
      </c>
      <c r="CE58" s="35">
        <f>NVDA!DS156</f>
        <v>2499</v>
      </c>
      <c r="CF58" s="35">
        <f>NVDA!DT156</f>
        <v>1298</v>
      </c>
      <c r="CG58" s="35">
        <f>NVDA!DU156</f>
        <v>2760</v>
      </c>
      <c r="CH58" s="35">
        <f>NVDA!DW156</f>
        <v>1370</v>
      </c>
      <c r="CI58" s="35">
        <f>NVDA!DX156</f>
        <v>837</v>
      </c>
      <c r="CJ58" s="35">
        <f>NVDA!DY156</f>
        <v>-138</v>
      </c>
      <c r="CK58" s="35">
        <f>NVDA!DZ156</f>
        <v>1740</v>
      </c>
      <c r="CL58" s="35">
        <f>NVDA!EB156</f>
        <v>2663</v>
      </c>
      <c r="CM58" s="35">
        <f>NVDA!EC156</f>
        <v>6059</v>
      </c>
      <c r="CN58" s="35">
        <f>NVDA!ED156</f>
        <v>7055</v>
      </c>
      <c r="CO58" s="35">
        <f>NVDA!EE156</f>
        <v>11246</v>
      </c>
      <c r="CP58" s="35">
        <f>NVDA!EG156</f>
        <v>14976</v>
      </c>
      <c r="CQ58" s="35">
        <f>NVDA!EH156</f>
        <v>13512</v>
      </c>
      <c r="CR58" s="35">
        <f>NVDA!EI156</f>
        <v>16816</v>
      </c>
      <c r="CS58" s="35">
        <f>NVDA!EJ156</f>
        <v>15551</v>
      </c>
      <c r="CT58" s="35">
        <f>NVDA!EL156</f>
        <v>26187</v>
      </c>
      <c r="CU58" s="35">
        <f>NVDA!EM156</f>
        <v>13471</v>
      </c>
      <c r="CV58" s="35">
        <f>NVDA!EN156</f>
        <v>22113</v>
      </c>
      <c r="CW58" s="35">
        <f>NVDA!EO156</f>
        <v>34906</v>
      </c>
      <c r="CX58" s="35">
        <f>NVDA!EQ156</f>
        <v>48587</v>
      </c>
      <c r="CY58" s="48">
        <f>NVDA!ER156</f>
        <v>34215.46491437847</v>
      </c>
      <c r="CZ58" s="48">
        <f>NVDA!ES156</f>
        <v>48148.132827338923</v>
      </c>
      <c r="DA58" s="48">
        <f>NVDA!ET156</f>
        <v>61334.632263954234</v>
      </c>
      <c r="DB58" s="48">
        <f>NVDA!EV156</f>
        <v>75914.389634217878</v>
      </c>
      <c r="DC58" s="48">
        <f>NVDA!EW156</f>
        <v>75216.080821930169</v>
      </c>
      <c r="DD58" s="48">
        <f>NVDA!EX156</f>
        <v>82369.608218567431</v>
      </c>
      <c r="DE58" s="48">
        <f>NVDA!EY156</f>
        <v>96492.62785561019</v>
      </c>
      <c r="DF58" s="48">
        <f>NVDA!FA156</f>
        <v>99510.521386154709</v>
      </c>
      <c r="DG58" s="48">
        <f>NVDA!FB156</f>
        <v>104264.44771400702</v>
      </c>
      <c r="DH58" s="48">
        <f>NVDA!FC156</f>
        <v>106309.3129819584</v>
      </c>
      <c r="DI58" s="48">
        <f>NVDA!FD156</f>
        <v>117819.59592855317</v>
      </c>
      <c r="DJ58" s="48">
        <f>NVDA!FF156</f>
        <v>119810.21978386281</v>
      </c>
      <c r="DK58" s="48">
        <f>NVDA!FG156</f>
        <v>123192.55004073663</v>
      </c>
      <c r="DL58" s="48">
        <f>NVDA!FH156</f>
        <v>123888.30722182659</v>
      </c>
      <c r="DM58" s="48">
        <f>NVDA!FI156</f>
        <v>131491.59042698395</v>
      </c>
      <c r="DN58" s="48">
        <f>NVDA!FK156</f>
        <v>128433.11071897298</v>
      </c>
      <c r="DO58" s="48">
        <f>NVDA!FL156</f>
        <v>132965.93485031076</v>
      </c>
      <c r="DP58" s="48">
        <f>NVDA!FM156</f>
        <v>135870.48812850146</v>
      </c>
      <c r="DQ58" s="48">
        <f>NVDA!FN156</f>
        <v>148946.98274342599</v>
      </c>
      <c r="DT58" s="35">
        <f>SUM(B58:E58)</f>
        <v>65.653699999999986</v>
      </c>
      <c r="DU58" s="35">
        <f>SUM(F58:I58)</f>
        <v>201.90899999999993</v>
      </c>
      <c r="DV58" s="35">
        <f>SUM(J58:M58)</f>
        <v>-77.925999999999959</v>
      </c>
      <c r="DW58" s="35">
        <f>SUM(N58:Q58)</f>
        <v>64.938999999999908</v>
      </c>
      <c r="DX58" s="35">
        <f>SUM(R58:U58)</f>
        <v>366.80799999999999</v>
      </c>
      <c r="DY58" s="35">
        <f>SUM(V58:Y58)</f>
        <v>441.85500000000013</v>
      </c>
      <c r="DZ58" s="35">
        <f>SUM(Z58:AC58)</f>
        <v>1082.4509999999998</v>
      </c>
      <c r="EA58" s="35">
        <f>SUM(AD58:AG58)</f>
        <v>-207.61000000000013</v>
      </c>
      <c r="EB58" s="35">
        <f>SUM(AH58:AK58)</f>
        <v>410.20600000000002</v>
      </c>
      <c r="EC58" s="35">
        <f>SUM(AL58:AO58)</f>
        <v>577.90699999999993</v>
      </c>
      <c r="ED58" s="35">
        <f>SUM(AP58:AS58)</f>
        <v>770.42099999999982</v>
      </c>
      <c r="EE58" s="35">
        <f>SUM(AT58:AW58)</f>
        <v>640.86299999999994</v>
      </c>
      <c r="EF58" s="35">
        <f>SUM(AX58:BA58)</f>
        <v>579.96000000000015</v>
      </c>
      <c r="EG58" s="35">
        <f>SUM(BB58:BE58)</f>
        <v>783.27500000000032</v>
      </c>
      <c r="EH58" s="35">
        <f>SUM(BF58:BI58)</f>
        <v>1089</v>
      </c>
      <c r="EI58" s="35">
        <f>SUM(BJ58:BM58)</f>
        <v>1496</v>
      </c>
      <c r="EJ58" s="35">
        <f>SUM(BN58:BQ58)</f>
        <v>2909</v>
      </c>
      <c r="EK58" s="35">
        <f>SUM(BR58:BU58)</f>
        <v>3144</v>
      </c>
      <c r="EL58" s="35">
        <f>BV58+BW58+BX58+BY58</f>
        <v>4273</v>
      </c>
      <c r="EM58" s="35">
        <f>CC58+CB58+CA58+BZ58</f>
        <v>4814</v>
      </c>
      <c r="EN58" s="35">
        <f>+CD58+CE58+CF58+CG58</f>
        <v>8133</v>
      </c>
      <c r="EO58" s="35">
        <f>SUM(CH58:CK58)</f>
        <v>3809</v>
      </c>
      <c r="EP58" s="35">
        <f>SUM(CL58:CO58)</f>
        <v>27023</v>
      </c>
      <c r="EQ58" s="35">
        <f>SUM(CP58:CS58)</f>
        <v>60855</v>
      </c>
      <c r="ER58" s="35">
        <f>SUM(CT58:CW58)</f>
        <v>96677</v>
      </c>
      <c r="ES58" s="48">
        <f>SUM(CX58:DA58)</f>
        <v>192285.23000567162</v>
      </c>
      <c r="ET58" s="48">
        <f>SUM(DB58:DE58)</f>
        <v>329992.7065303257</v>
      </c>
      <c r="EU58" s="48">
        <f>SUM(DF58:DI58)</f>
        <v>427903.87801067333</v>
      </c>
      <c r="EV58" s="48">
        <f>SUM(DJ58:DM58)</f>
        <v>498382.66747340997</v>
      </c>
      <c r="EW58" s="48">
        <f>SUM(DN58:DQ58)</f>
        <v>546216.51644121122</v>
      </c>
    </row>
    <row r="59" spans="1:155" s="52" customFormat="1" ht="11.25" customHeight="1">
      <c r="A59" s="51" t="s">
        <v>223</v>
      </c>
      <c r="C59" s="52">
        <f t="shared" ref="C59:AC59" si="117">C58/B58-1</f>
        <v>7.708915417830875</v>
      </c>
      <c r="D59" s="52">
        <f t="shared" si="117"/>
        <v>-1.0524980313238252</v>
      </c>
      <c r="E59" s="52">
        <f t="shared" si="117"/>
        <v>-17.238722222222215</v>
      </c>
      <c r="F59" s="52">
        <f t="shared" si="117"/>
        <v>-5.6336534415340145E-2</v>
      </c>
      <c r="G59" s="52">
        <f t="shared" si="117"/>
        <v>-1.8433817931334526</v>
      </c>
      <c r="H59" s="52">
        <f t="shared" si="117"/>
        <v>-4.5766668099557286</v>
      </c>
      <c r="I59" s="52">
        <f t="shared" si="117"/>
        <v>0.37475361761453807</v>
      </c>
      <c r="J59" s="52">
        <f t="shared" si="117"/>
        <v>-0.87029767889146292</v>
      </c>
      <c r="K59" s="52">
        <f t="shared" si="117"/>
        <v>-4.198773254246424</v>
      </c>
      <c r="L59" s="52">
        <f t="shared" si="117"/>
        <v>-0.32570537539246125</v>
      </c>
      <c r="M59" s="52">
        <f t="shared" si="117"/>
        <v>-0.58421875000000068</v>
      </c>
      <c r="N59" s="52">
        <f t="shared" si="117"/>
        <v>-4.2233746711762512</v>
      </c>
      <c r="O59" s="52">
        <f t="shared" si="117"/>
        <v>-2.0613705784969829</v>
      </c>
      <c r="P59" s="52">
        <f t="shared" si="117"/>
        <v>-0.70071838133526743</v>
      </c>
      <c r="Q59" s="52">
        <f t="shared" si="117"/>
        <v>-6.9600675328488695</v>
      </c>
      <c r="R59" s="52">
        <f t="shared" si="117"/>
        <v>-6.3046530531812861E-2</v>
      </c>
      <c r="S59" s="52">
        <f t="shared" si="117"/>
        <v>-0.76126191258626341</v>
      </c>
      <c r="T59" s="52">
        <f t="shared" si="117"/>
        <v>2.8890540689351338</v>
      </c>
      <c r="U59" s="52">
        <f t="shared" si="117"/>
        <v>1.8589752665184869</v>
      </c>
      <c r="V59" s="52">
        <f t="shared" si="117"/>
        <v>-0.8570402796898059</v>
      </c>
      <c r="W59" s="54" t="s">
        <v>224</v>
      </c>
      <c r="X59" s="54" t="s">
        <v>224</v>
      </c>
      <c r="Y59" s="52">
        <f t="shared" si="117"/>
        <v>-0.40620346061136403</v>
      </c>
      <c r="Z59" s="52">
        <f t="shared" si="117"/>
        <v>0.73792363431866104</v>
      </c>
      <c r="AA59" s="52">
        <f t="shared" si="117"/>
        <v>0.11966361925448754</v>
      </c>
      <c r="AB59" s="52">
        <f t="shared" si="117"/>
        <v>9.7619878087265466E-2</v>
      </c>
      <c r="AC59" s="52">
        <f t="shared" si="117"/>
        <v>-0.44878972949743035</v>
      </c>
      <c r="AD59" s="54" t="s">
        <v>224</v>
      </c>
      <c r="AE59" s="54" t="s">
        <v>224</v>
      </c>
      <c r="AF59" s="54" t="s">
        <v>224</v>
      </c>
      <c r="AG59" s="54" t="s">
        <v>224</v>
      </c>
      <c r="AH59" s="54" t="s">
        <v>224</v>
      </c>
      <c r="AI59" s="52">
        <f t="shared" ref="AI59:CT59" si="118">AI58/AH58-1</f>
        <v>-3.2055772099117696E-2</v>
      </c>
      <c r="AJ59" s="52">
        <f t="shared" si="118"/>
        <v>0.43004060922348741</v>
      </c>
      <c r="AK59" s="52">
        <f t="shared" si="118"/>
        <v>-0.97963970614499829</v>
      </c>
      <c r="AL59" s="54" t="s">
        <v>224</v>
      </c>
      <c r="AM59" s="54" t="s">
        <v>224</v>
      </c>
      <c r="AN59" s="54" t="s">
        <v>224</v>
      </c>
      <c r="AO59" s="52">
        <f t="shared" si="118"/>
        <v>1.1713754373430554</v>
      </c>
      <c r="AP59" s="52">
        <f t="shared" si="118"/>
        <v>-0.65885611980741776</v>
      </c>
      <c r="AQ59" s="52">
        <f t="shared" si="118"/>
        <v>-0.58371688947200473</v>
      </c>
      <c r="AR59" s="52">
        <f t="shared" si="118"/>
        <v>2.4989607823094477</v>
      </c>
      <c r="AS59" s="52">
        <f t="shared" si="118"/>
        <v>0.77881216464928782</v>
      </c>
      <c r="AT59" s="54" t="s">
        <v>224</v>
      </c>
      <c r="AU59" s="54" t="s">
        <v>224</v>
      </c>
      <c r="AV59" s="52">
        <f t="shared" si="118"/>
        <v>-1.5409307480818701E-2</v>
      </c>
      <c r="AW59" s="52">
        <f t="shared" si="118"/>
        <v>1.9477196804116934</v>
      </c>
      <c r="AX59" s="52">
        <f t="shared" si="118"/>
        <v>-0.72725920084513129</v>
      </c>
      <c r="AY59" s="52">
        <f t="shared" si="118"/>
        <v>-0.89559295527490557</v>
      </c>
      <c r="AZ59" s="52">
        <f t="shared" si="118"/>
        <v>9.8121571018026135</v>
      </c>
      <c r="BA59" s="52">
        <f t="shared" si="118"/>
        <v>1.6928863687618794</v>
      </c>
      <c r="BB59" s="52">
        <f t="shared" si="118"/>
        <v>-0.63523739449299765</v>
      </c>
      <c r="BC59" s="52">
        <f t="shared" si="118"/>
        <v>-0.39522278892041318</v>
      </c>
      <c r="BD59" s="52">
        <f t="shared" si="118"/>
        <v>1.3846790048132331</v>
      </c>
      <c r="BE59" s="52">
        <f t="shared" si="118"/>
        <v>1.340682957892223</v>
      </c>
      <c r="BF59" s="52">
        <f t="shared" si="118"/>
        <v>-0.47532573527268507</v>
      </c>
      <c r="BG59" s="52">
        <f t="shared" si="118"/>
        <v>-0.35648148148148151</v>
      </c>
      <c r="BH59" s="52">
        <f t="shared" si="118"/>
        <v>0.71223021582733814</v>
      </c>
      <c r="BI59" s="52">
        <f t="shared" si="118"/>
        <v>1.0840336134453783</v>
      </c>
      <c r="BJ59" s="52">
        <f t="shared" si="118"/>
        <v>-0.48790322580645162</v>
      </c>
      <c r="BK59" s="621">
        <f t="shared" si="118"/>
        <v>-0.40157480314960625</v>
      </c>
      <c r="BL59" s="621">
        <f t="shared" si="118"/>
        <v>1.763157894736842</v>
      </c>
      <c r="BM59" s="52">
        <f t="shared" si="118"/>
        <v>0.59523809523809534</v>
      </c>
      <c r="BN59" s="52">
        <f t="shared" si="118"/>
        <v>-0.65970149253731347</v>
      </c>
      <c r="BO59" s="52">
        <f t="shared" si="118"/>
        <v>1.8508771929824563</v>
      </c>
      <c r="BP59" s="52">
        <f t="shared" si="118"/>
        <v>0.67692307692307696</v>
      </c>
      <c r="BQ59" s="52">
        <f t="shared" si="118"/>
        <v>-0.136697247706422</v>
      </c>
      <c r="BR59" s="52">
        <f t="shared" si="118"/>
        <v>0.41020191285866092</v>
      </c>
      <c r="BS59" s="52">
        <f t="shared" si="118"/>
        <v>-0.40919366993217787</v>
      </c>
      <c r="BT59" s="52">
        <f t="shared" si="118"/>
        <v>-0.57015306122448983</v>
      </c>
      <c r="BU59" s="52">
        <f t="shared" si="118"/>
        <v>1.0652818991097921</v>
      </c>
      <c r="BV59" s="52">
        <f t="shared" si="118"/>
        <v>-0.14942528735632188</v>
      </c>
      <c r="BW59" s="52">
        <f t="shared" si="118"/>
        <v>0.39020270270270263</v>
      </c>
      <c r="BX59" s="52">
        <f t="shared" si="118"/>
        <v>0.86755771567436213</v>
      </c>
      <c r="BY59" s="52">
        <f t="shared" si="118"/>
        <v>-0.14053350683148991</v>
      </c>
      <c r="BZ59" s="52">
        <f t="shared" si="118"/>
        <v>-0.33762301286903862</v>
      </c>
      <c r="CA59" s="52">
        <f t="shared" si="118"/>
        <v>0.54171428571428581</v>
      </c>
      <c r="CB59" s="52">
        <f t="shared" si="118"/>
        <v>-0.402520385470719</v>
      </c>
      <c r="CC59" s="52">
        <f t="shared" si="118"/>
        <v>1.2133995037220844</v>
      </c>
      <c r="CD59" s="52">
        <f t="shared" si="118"/>
        <v>-0.11659192825112108</v>
      </c>
      <c r="CE59" s="52">
        <f t="shared" si="118"/>
        <v>0.58565989847715727</v>
      </c>
      <c r="CF59" s="52">
        <f t="shared" si="118"/>
        <v>-0.48059223689475794</v>
      </c>
      <c r="CG59" s="52">
        <f t="shared" si="118"/>
        <v>1.1263482280431432</v>
      </c>
      <c r="CH59" s="52">
        <f t="shared" si="118"/>
        <v>-0.50362318840579712</v>
      </c>
      <c r="CI59" s="52">
        <f t="shared" si="118"/>
        <v>-0.38905109489051093</v>
      </c>
      <c r="CJ59" s="54" t="s">
        <v>224</v>
      </c>
      <c r="CK59" s="54" t="s">
        <v>224</v>
      </c>
      <c r="CL59" s="52">
        <f t="shared" si="118"/>
        <v>0.5304597701149425</v>
      </c>
      <c r="CM59" s="52">
        <f t="shared" si="118"/>
        <v>1.2752534735260985</v>
      </c>
      <c r="CN59" s="52">
        <f t="shared" si="118"/>
        <v>0.16438356164383561</v>
      </c>
      <c r="CO59" s="52">
        <f t="shared" si="118"/>
        <v>0.59404677533664074</v>
      </c>
      <c r="CP59" s="52">
        <f t="shared" si="118"/>
        <v>0.33167348390538853</v>
      </c>
      <c r="CQ59" s="52">
        <f t="shared" si="118"/>
        <v>-9.7756410256410242E-2</v>
      </c>
      <c r="CR59" s="52">
        <f t="shared" si="118"/>
        <v>0.24452338661930129</v>
      </c>
      <c r="CS59" s="52">
        <f t="shared" si="118"/>
        <v>-7.5225975261655531E-2</v>
      </c>
      <c r="CT59" s="52">
        <f t="shared" si="118"/>
        <v>0.68394315478104306</v>
      </c>
      <c r="CU59" s="52">
        <f t="shared" ref="CU59:DQ59" si="119">CU58/CT58-1</f>
        <v>-0.48558445029976705</v>
      </c>
      <c r="CV59" s="52">
        <f t="shared" si="119"/>
        <v>0.64152624155593507</v>
      </c>
      <c r="CW59" s="52">
        <f t="shared" si="119"/>
        <v>0.57852846741735631</v>
      </c>
      <c r="CX59" s="52">
        <f t="shared" si="119"/>
        <v>0.39193834870795863</v>
      </c>
      <c r="CY59" s="53">
        <f t="shared" si="119"/>
        <v>-0.29578971917635433</v>
      </c>
      <c r="CZ59" s="53">
        <f t="shared" si="119"/>
        <v>0.40720381698234598</v>
      </c>
      <c r="DA59" s="53">
        <f t="shared" si="119"/>
        <v>0.27387353698434391</v>
      </c>
      <c r="DB59" s="53">
        <f t="shared" si="119"/>
        <v>0.23770840114471548</v>
      </c>
      <c r="DC59" s="53">
        <f t="shared" si="119"/>
        <v>-9.1986356691057258E-3</v>
      </c>
      <c r="DD59" s="53">
        <f t="shared" si="119"/>
        <v>9.5106356492740352E-2</v>
      </c>
      <c r="DE59" s="53">
        <f t="shared" si="119"/>
        <v>0.17145910903894768</v>
      </c>
      <c r="DF59" s="53">
        <f t="shared" si="119"/>
        <v>3.12758974194427E-2</v>
      </c>
      <c r="DG59" s="53">
        <f t="shared" si="119"/>
        <v>4.7773102397931533E-2</v>
      </c>
      <c r="DH59" s="53">
        <f t="shared" si="119"/>
        <v>1.9612296547720121E-2</v>
      </c>
      <c r="DI59" s="53">
        <f t="shared" si="119"/>
        <v>0.10827163325331779</v>
      </c>
      <c r="DJ59" s="53">
        <f t="shared" si="119"/>
        <v>1.6895524378786497E-2</v>
      </c>
      <c r="DK59" s="53">
        <f t="shared" si="119"/>
        <v>2.8230732428131233E-2</v>
      </c>
      <c r="DL59" s="53">
        <f t="shared" si="119"/>
        <v>5.6477212368757357E-3</v>
      </c>
      <c r="DM59" s="53">
        <f t="shared" si="119"/>
        <v>6.1372080833612452E-2</v>
      </c>
      <c r="DN59" s="53">
        <f t="shared" si="119"/>
        <v>-2.3259888317415323E-2</v>
      </c>
      <c r="DO59" s="53">
        <f t="shared" si="119"/>
        <v>3.5293267491248059E-2</v>
      </c>
      <c r="DP59" s="53">
        <f t="shared" si="119"/>
        <v>2.1844341420684588E-2</v>
      </c>
      <c r="DQ59" s="53">
        <f t="shared" si="119"/>
        <v>9.6242346627600561E-2</v>
      </c>
      <c r="DT59" s="54" t="s">
        <v>224</v>
      </c>
      <c r="DU59" s="54" t="s">
        <v>224</v>
      </c>
      <c r="DV59" s="54" t="s">
        <v>224</v>
      </c>
      <c r="DW59" s="54" t="s">
        <v>224</v>
      </c>
      <c r="DX59" s="54" t="s">
        <v>224</v>
      </c>
      <c r="DY59" s="54" t="s">
        <v>224</v>
      </c>
      <c r="DZ59" s="54" t="s">
        <v>224</v>
      </c>
      <c r="EA59" s="54" t="s">
        <v>224</v>
      </c>
      <c r="EB59" s="54" t="s">
        <v>224</v>
      </c>
      <c r="EC59" s="54" t="s">
        <v>224</v>
      </c>
      <c r="ED59" s="54" t="s">
        <v>224</v>
      </c>
      <c r="EE59" s="54" t="s">
        <v>224</v>
      </c>
      <c r="EF59" s="54" t="s">
        <v>224</v>
      </c>
      <c r="EG59" s="54" t="s">
        <v>224</v>
      </c>
      <c r="EH59" s="54" t="s">
        <v>224</v>
      </c>
      <c r="EI59" s="54" t="s">
        <v>224</v>
      </c>
      <c r="EJ59" s="54" t="s">
        <v>224</v>
      </c>
      <c r="EK59" s="54" t="s">
        <v>224</v>
      </c>
      <c r="EL59" s="54" t="s">
        <v>224</v>
      </c>
      <c r="EM59" s="54" t="s">
        <v>224</v>
      </c>
      <c r="EN59" s="54" t="s">
        <v>224</v>
      </c>
      <c r="EO59" s="54" t="s">
        <v>224</v>
      </c>
      <c r="EP59" s="54" t="s">
        <v>224</v>
      </c>
      <c r="EQ59" s="54" t="s">
        <v>224</v>
      </c>
      <c r="ER59" s="54" t="s">
        <v>224</v>
      </c>
      <c r="ES59" s="55" t="s">
        <v>224</v>
      </c>
      <c r="ET59" s="55" t="s">
        <v>224</v>
      </c>
      <c r="EU59" s="55" t="s">
        <v>224</v>
      </c>
      <c r="EV59" s="55" t="s">
        <v>224</v>
      </c>
      <c r="EW59" s="55" t="s">
        <v>224</v>
      </c>
    </row>
    <row r="60" spans="1:155" s="52" customFormat="1" ht="11.25" customHeight="1">
      <c r="A60" s="51" t="s">
        <v>225</v>
      </c>
      <c r="F60" s="52">
        <f>F58/B58-1</f>
        <v>6.006096012192037</v>
      </c>
      <c r="G60" s="52">
        <f t="shared" ref="G60:BR60" si="120">G58/C58-1</f>
        <v>-1.6784787237145262</v>
      </c>
      <c r="H60" s="52">
        <f t="shared" si="120"/>
        <v>-47.224444444444416</v>
      </c>
      <c r="I60" s="52">
        <f t="shared" si="120"/>
        <v>2.9133141975456471</v>
      </c>
      <c r="J60" s="52">
        <f t="shared" si="120"/>
        <v>-0.46213247289997261</v>
      </c>
      <c r="K60" s="52">
        <f t="shared" si="120"/>
        <v>1.0400206336242137</v>
      </c>
      <c r="L60" s="52">
        <f t="shared" si="120"/>
        <v>-1.3845968943800777</v>
      </c>
      <c r="M60" s="52">
        <f t="shared" si="120"/>
        <v>-1.1163176989989945</v>
      </c>
      <c r="N60" s="52">
        <f t="shared" si="120"/>
        <v>1.8907387435966481</v>
      </c>
      <c r="O60" s="52">
        <f t="shared" si="120"/>
        <v>-4.08369682027937E-2</v>
      </c>
      <c r="P60" s="52">
        <f t="shared" si="120"/>
        <v>-0.57428125000000052</v>
      </c>
      <c r="Q60" s="52">
        <f t="shared" si="120"/>
        <v>-7.1025178504321804</v>
      </c>
      <c r="R60" s="52">
        <f t="shared" si="120"/>
        <v>0.77384755287150186</v>
      </c>
      <c r="S60" s="52">
        <f t="shared" si="120"/>
        <v>-1.3989982205232978</v>
      </c>
      <c r="T60" s="52">
        <f t="shared" si="120"/>
        <v>-6.1848344711150309</v>
      </c>
      <c r="U60" s="52">
        <f t="shared" si="120"/>
        <v>1.4871049584944713</v>
      </c>
      <c r="V60" s="52">
        <f t="shared" si="120"/>
        <v>-0.62051922444955632</v>
      </c>
      <c r="W60" s="54" t="s">
        <v>224</v>
      </c>
      <c r="X60" s="52">
        <f t="shared" si="120"/>
        <v>2.6885308566817248</v>
      </c>
      <c r="Y60" s="52">
        <f t="shared" si="120"/>
        <v>-0.23390842733908412</v>
      </c>
      <c r="Z60" s="52">
        <f t="shared" si="120"/>
        <v>8.3131733000796721</v>
      </c>
      <c r="AA60" s="54" t="s">
        <v>224</v>
      </c>
      <c r="AB60" s="52">
        <f t="shared" si="120"/>
        <v>0.2682587935455143</v>
      </c>
      <c r="AC60" s="52">
        <f t="shared" si="120"/>
        <v>0.17730102195820319</v>
      </c>
      <c r="AD60" s="54" t="s">
        <v>224</v>
      </c>
      <c r="AE60" s="52">
        <f t="shared" si="120"/>
        <v>-0.90883784277575708</v>
      </c>
      <c r="AF60" s="54" t="s">
        <v>224</v>
      </c>
      <c r="AG60" s="54" t="s">
        <v>224</v>
      </c>
      <c r="AH60" s="54" t="s">
        <v>224</v>
      </c>
      <c r="AI60" s="52">
        <f t="shared" si="120"/>
        <v>3.2801807382574797</v>
      </c>
      <c r="AJ60" s="54" t="s">
        <v>224</v>
      </c>
      <c r="AK60" s="54" t="s">
        <v>224</v>
      </c>
      <c r="AL60" s="54" t="s">
        <v>224</v>
      </c>
      <c r="AM60" s="54" t="s">
        <v>224</v>
      </c>
      <c r="AN60" s="52">
        <f t="shared" si="120"/>
        <v>0.13323490540202676</v>
      </c>
      <c r="AO60" s="52">
        <f t="shared" si="120"/>
        <v>119.85672514619702</v>
      </c>
      <c r="AP60" s="54" t="s">
        <v>224</v>
      </c>
      <c r="AQ60" s="54" t="s">
        <v>224</v>
      </c>
      <c r="AR60" s="52">
        <f t="shared" si="120"/>
        <v>7.8947644914211912E-2</v>
      </c>
      <c r="AS60" s="52">
        <f t="shared" si="120"/>
        <v>-0.11611545254397249</v>
      </c>
      <c r="AT60" s="54" t="s">
        <v>224</v>
      </c>
      <c r="AU60" s="52">
        <f t="shared" si="120"/>
        <v>1.3670653173873033</v>
      </c>
      <c r="AV60" s="52">
        <f t="shared" si="120"/>
        <v>-0.33391923342844043</v>
      </c>
      <c r="AW60" s="52">
        <f t="shared" si="120"/>
        <v>0.10378117677973187</v>
      </c>
      <c r="AX60" s="54" t="s">
        <v>224</v>
      </c>
      <c r="AY60" s="52">
        <f t="shared" si="120"/>
        <v>-0.91735400382893528</v>
      </c>
      <c r="AZ60" s="52">
        <f t="shared" si="120"/>
        <v>-9.2433534842580989E-2</v>
      </c>
      <c r="BA60" s="52">
        <f t="shared" si="120"/>
        <v>-0.17089356257021049</v>
      </c>
      <c r="BB60" s="52">
        <f t="shared" si="120"/>
        <v>0.10884409408726969</v>
      </c>
      <c r="BC60" s="52">
        <f t="shared" si="120"/>
        <v>5.4229730906557201</v>
      </c>
      <c r="BD60" s="52">
        <f t="shared" si="120"/>
        <v>0.41662102516189292</v>
      </c>
      <c r="BE60" s="52">
        <f t="shared" si="120"/>
        <v>0.23134073901261609</v>
      </c>
      <c r="BF60" s="52">
        <f t="shared" si="120"/>
        <v>0.77115961756071716</v>
      </c>
      <c r="BG60" s="52">
        <f t="shared" si="120"/>
        <v>0.8846179920005417</v>
      </c>
      <c r="BH60" s="52">
        <f t="shared" si="120"/>
        <v>0.35317997293640002</v>
      </c>
      <c r="BI60" s="52">
        <f t="shared" si="120"/>
        <v>0.20480757085531587</v>
      </c>
      <c r="BJ60" s="52">
        <f t="shared" si="120"/>
        <v>0.17592592592592582</v>
      </c>
      <c r="BK60" s="621">
        <f t="shared" si="120"/>
        <v>9.3525179856115193E-2</v>
      </c>
      <c r="BL60" s="621">
        <f t="shared" si="120"/>
        <v>0.76470588235294112</v>
      </c>
      <c r="BM60" s="52">
        <f t="shared" si="120"/>
        <v>0.35080645161290325</v>
      </c>
      <c r="BN60" s="52">
        <f t="shared" si="120"/>
        <v>-0.10236220472440949</v>
      </c>
      <c r="BO60" s="52">
        <f t="shared" si="120"/>
        <v>3.2763157894736841</v>
      </c>
      <c r="BP60" s="52">
        <f t="shared" si="120"/>
        <v>1.5952380952380953</v>
      </c>
      <c r="BQ60" s="52">
        <f t="shared" si="120"/>
        <v>0.40447761194029841</v>
      </c>
      <c r="BR60" s="52">
        <f t="shared" si="120"/>
        <v>4.8201754385964914</v>
      </c>
      <c r="BS60" s="52">
        <f t="shared" ref="BS60:DQ60" si="121">BS58/BO58-1</f>
        <v>0.20615384615384613</v>
      </c>
      <c r="BT60" s="52">
        <f t="shared" si="121"/>
        <v>-0.69082568807339451</v>
      </c>
      <c r="BU60" s="52">
        <f t="shared" si="121"/>
        <v>-0.2603613177470776</v>
      </c>
      <c r="BV60" s="52">
        <f t="shared" si="121"/>
        <v>-0.55388093443858333</v>
      </c>
      <c r="BW60" s="52">
        <f t="shared" si="121"/>
        <v>4.9744897959183687E-2</v>
      </c>
      <c r="BX60" s="52">
        <f t="shared" si="121"/>
        <v>3.560830860534125</v>
      </c>
      <c r="BY60" s="52">
        <f t="shared" si="121"/>
        <v>0.89798850574712641</v>
      </c>
      <c r="BZ60" s="52">
        <f t="shared" si="121"/>
        <v>0.47804054054054057</v>
      </c>
      <c r="CA60" s="52">
        <f t="shared" si="121"/>
        <v>0.63912515188335361</v>
      </c>
      <c r="CB60" s="52">
        <f t="shared" si="121"/>
        <v>-0.47560182173064414</v>
      </c>
      <c r="CC60" s="52">
        <f t="shared" si="121"/>
        <v>0.35049205147615448</v>
      </c>
      <c r="CD60" s="52">
        <f t="shared" si="121"/>
        <v>0.80114285714285716</v>
      </c>
      <c r="CE60" s="52">
        <f t="shared" si="121"/>
        <v>0.85248332097850255</v>
      </c>
      <c r="CF60" s="52">
        <f t="shared" si="121"/>
        <v>0.61042183622828783</v>
      </c>
      <c r="CG60" s="52">
        <f t="shared" si="121"/>
        <v>0.547085201793722</v>
      </c>
      <c r="CH60" s="52">
        <f t="shared" si="121"/>
        <v>-0.13071065989847719</v>
      </c>
      <c r="CI60" s="52">
        <f t="shared" si="121"/>
        <v>-0.66506602641056423</v>
      </c>
      <c r="CJ60" s="54" t="s">
        <v>224</v>
      </c>
      <c r="CK60" s="52">
        <f t="shared" si="121"/>
        <v>-0.36956521739130432</v>
      </c>
      <c r="CL60" s="52">
        <f t="shared" si="121"/>
        <v>0.94379562043795628</v>
      </c>
      <c r="CM60" s="52">
        <f t="shared" si="121"/>
        <v>6.2389486260454001</v>
      </c>
      <c r="CN60" s="54" t="s">
        <v>224</v>
      </c>
      <c r="CO60" s="52">
        <f t="shared" si="121"/>
        <v>5.4632183908045979</v>
      </c>
      <c r="CP60" s="52">
        <f t="shared" si="121"/>
        <v>4.6237326323695083</v>
      </c>
      <c r="CQ60" s="52">
        <f t="shared" si="121"/>
        <v>1.2300709688067339</v>
      </c>
      <c r="CR60" s="52">
        <f t="shared" si="121"/>
        <v>1.3835577604535789</v>
      </c>
      <c r="CS60" s="52">
        <f t="shared" si="121"/>
        <v>0.38280277431975818</v>
      </c>
      <c r="CT60" s="52">
        <f t="shared" si="121"/>
        <v>0.74859775641025639</v>
      </c>
      <c r="CU60" s="52">
        <f t="shared" si="121"/>
        <v>-3.0343398460627169E-3</v>
      </c>
      <c r="CV60" s="52">
        <f t="shared" si="121"/>
        <v>0.31499762131303521</v>
      </c>
      <c r="CW60" s="52">
        <f t="shared" si="121"/>
        <v>1.2446144942447432</v>
      </c>
      <c r="CX60" s="52">
        <f t="shared" si="121"/>
        <v>0.85538626035819298</v>
      </c>
      <c r="CY60" s="53">
        <f t="shared" si="121"/>
        <v>1.539935039297637</v>
      </c>
      <c r="CZ60" s="53">
        <f t="shared" si="121"/>
        <v>1.1773677396707334</v>
      </c>
      <c r="DA60" s="53">
        <f t="shared" si="121"/>
        <v>0.75713723325371673</v>
      </c>
      <c r="DB60" s="53">
        <f t="shared" si="121"/>
        <v>0.5624424153419203</v>
      </c>
      <c r="DC60" s="53">
        <f t="shared" si="121"/>
        <v>1.1983065555342458</v>
      </c>
      <c r="DD60" s="53">
        <f t="shared" si="121"/>
        <v>0.71075394582689322</v>
      </c>
      <c r="DE60" s="53">
        <f t="shared" si="121"/>
        <v>0.57321604930071413</v>
      </c>
      <c r="DF60" s="53">
        <f t="shared" si="121"/>
        <v>0.31082554790509764</v>
      </c>
      <c r="DG60" s="53">
        <f t="shared" si="121"/>
        <v>0.38619888958116855</v>
      </c>
      <c r="DH60" s="53">
        <f t="shared" si="121"/>
        <v>0.2906375941459749</v>
      </c>
      <c r="DI60" s="53">
        <f t="shared" si="121"/>
        <v>0.22102173551389104</v>
      </c>
      <c r="DJ60" s="53">
        <f t="shared" si="121"/>
        <v>0.20399549831453778</v>
      </c>
      <c r="DK60" s="53">
        <f t="shared" si="121"/>
        <v>0.18153937168159762</v>
      </c>
      <c r="DL60" s="53">
        <f t="shared" si="121"/>
        <v>0.16535704866093437</v>
      </c>
      <c r="DM60" s="53">
        <f t="shared" si="121"/>
        <v>0.11604177039209662</v>
      </c>
      <c r="DN60" s="53">
        <f t="shared" si="121"/>
        <v>7.197124711619618E-2</v>
      </c>
      <c r="DO60" s="53">
        <f t="shared" si="121"/>
        <v>7.9334219531475902E-2</v>
      </c>
      <c r="DP60" s="53">
        <f t="shared" si="121"/>
        <v>9.67176093965052E-2</v>
      </c>
      <c r="DQ60" s="53">
        <f t="shared" si="121"/>
        <v>0.13274911543590195</v>
      </c>
      <c r="DU60" s="52">
        <f t="shared" ref="DU60:ET60" si="122">DU58/DT58-1</f>
        <v>2.0753636124087445</v>
      </c>
      <c r="DV60" s="52">
        <f t="shared" si="122"/>
        <v>-1.3859461440549949</v>
      </c>
      <c r="DW60" s="52">
        <f t="shared" si="122"/>
        <v>-1.8333418884582802</v>
      </c>
      <c r="DX60" s="52">
        <f t="shared" si="122"/>
        <v>4.6485009008454163</v>
      </c>
      <c r="DY60" s="52">
        <f t="shared" si="122"/>
        <v>0.20459477437787665</v>
      </c>
      <c r="DZ60" s="52">
        <f t="shared" si="122"/>
        <v>1.4497878263231136</v>
      </c>
      <c r="EA60" s="52">
        <f t="shared" si="122"/>
        <v>-1.1917962106367865</v>
      </c>
      <c r="EB60" s="52">
        <f t="shared" si="122"/>
        <v>-2.9758489475458783</v>
      </c>
      <c r="EC60" s="52">
        <f t="shared" si="122"/>
        <v>0.40882142143215816</v>
      </c>
      <c r="ED60" s="52">
        <f t="shared" si="122"/>
        <v>0.33312280349606405</v>
      </c>
      <c r="EE60" s="52">
        <f t="shared" si="122"/>
        <v>-0.1681651979891513</v>
      </c>
      <c r="EF60" s="52">
        <f t="shared" si="122"/>
        <v>-9.5032791719914855E-2</v>
      </c>
      <c r="EG60" s="52">
        <f t="shared" si="122"/>
        <v>0.35056728050210384</v>
      </c>
      <c r="EH60" s="52">
        <f t="shared" si="122"/>
        <v>0.39031630015001051</v>
      </c>
      <c r="EI60" s="52">
        <f t="shared" si="122"/>
        <v>0.3737373737373737</v>
      </c>
      <c r="EJ60" s="52">
        <f t="shared" si="122"/>
        <v>0.94451871657754016</v>
      </c>
      <c r="EK60" s="52">
        <f t="shared" si="122"/>
        <v>8.0783774492952931E-2</v>
      </c>
      <c r="EL60" s="52">
        <f t="shared" si="122"/>
        <v>0.35909669211195938</v>
      </c>
      <c r="EM60" s="52">
        <f t="shared" si="122"/>
        <v>0.12660893985490285</v>
      </c>
      <c r="EN60" s="52">
        <f t="shared" si="122"/>
        <v>0.68944744495222277</v>
      </c>
      <c r="EO60" s="52">
        <f t="shared" si="122"/>
        <v>-0.53166113365301859</v>
      </c>
      <c r="EP60" s="52">
        <f t="shared" si="122"/>
        <v>6.0945129955368866</v>
      </c>
      <c r="EQ60" s="52">
        <f t="shared" si="122"/>
        <v>1.251970543610998</v>
      </c>
      <c r="ER60" s="52">
        <f t="shared" si="122"/>
        <v>0.58864514008709223</v>
      </c>
      <c r="ES60" s="53">
        <f t="shared" si="122"/>
        <v>0.98894494042710912</v>
      </c>
      <c r="ET60" s="53">
        <f t="shared" si="122"/>
        <v>0.71616252855506524</v>
      </c>
      <c r="EU60" s="53">
        <f>EU58/ET58-1</f>
        <v>0.29670707728611512</v>
      </c>
      <c r="EV60" s="53">
        <f>EV58/EU58-1</f>
        <v>0.16470705942276753</v>
      </c>
      <c r="EW60" s="53">
        <f>EW58/EV58-1</f>
        <v>9.5978155119837316E-2</v>
      </c>
    </row>
    <row r="61" spans="1:155" s="52" customFormat="1" ht="11.25" customHeight="1">
      <c r="A61" s="51" t="s">
        <v>245</v>
      </c>
      <c r="B61" s="52">
        <f t="shared" ref="B61:BM61" si="123">B58/B5</f>
        <v>1.6340710241893909E-2</v>
      </c>
      <c r="C61" s="52">
        <f t="shared" si="123"/>
        <v>0.13193650793650799</v>
      </c>
      <c r="D61" s="52">
        <f t="shared" si="123"/>
        <v>-4.9318311341019702E-3</v>
      </c>
      <c r="E61" s="52">
        <f t="shared" si="123"/>
        <v>5.8031360683597787E-2</v>
      </c>
      <c r="F61" s="52">
        <f t="shared" si="123"/>
        <v>4.7319889175766093E-2</v>
      </c>
      <c r="G61" s="52">
        <f t="shared" si="123"/>
        <v>-5.4443755338942308E-2</v>
      </c>
      <c r="H61" s="52">
        <f t="shared" si="123"/>
        <v>0.19336097270766711</v>
      </c>
      <c r="I61" s="52">
        <f t="shared" si="123"/>
        <v>0.2668880136634717</v>
      </c>
      <c r="J61" s="52">
        <f t="shared" si="123"/>
        <v>3.6633636473629806E-2</v>
      </c>
      <c r="K61" s="52">
        <f t="shared" si="123"/>
        <v>-0.10321810280703131</v>
      </c>
      <c r="L61" s="52">
        <f t="shared" si="123"/>
        <v>-6.5834274557727349E-2</v>
      </c>
      <c r="M61" s="52">
        <f t="shared" si="123"/>
        <v>-2.8181454251999964E-2</v>
      </c>
      <c r="N61" s="52">
        <f t="shared" si="123"/>
        <v>9.0880579777709358E-2</v>
      </c>
      <c r="O61" s="52">
        <f t="shared" si="123"/>
        <v>-9.9809016776264664E-2</v>
      </c>
      <c r="P61" s="52">
        <f t="shared" si="123"/>
        <v>-2.6422105894012837E-2</v>
      </c>
      <c r="Q61" s="52">
        <f t="shared" si="123"/>
        <v>0.14333175633213055</v>
      </c>
      <c r="R61" s="52">
        <f t="shared" si="123"/>
        <v>0.13029977082997909</v>
      </c>
      <c r="S61" s="52">
        <f t="shared" si="123"/>
        <v>3.1596417611323362E-2</v>
      </c>
      <c r="T61" s="52">
        <f t="shared" si="123"/>
        <v>0.12106819331007933</v>
      </c>
      <c r="U61" s="52">
        <f t="shared" si="123"/>
        <v>0.31870823561348088</v>
      </c>
      <c r="V61" s="52">
        <f t="shared" si="123"/>
        <v>4.2341894407068266E-2</v>
      </c>
      <c r="W61" s="52">
        <f t="shared" si="123"/>
        <v>-3.2711823236884398E-3</v>
      </c>
      <c r="X61" s="52">
        <f t="shared" si="123"/>
        <v>0.31750047527822056</v>
      </c>
      <c r="Y61" s="52">
        <f t="shared" si="123"/>
        <v>0.17602429475020859</v>
      </c>
      <c r="Z61" s="52">
        <f t="shared" si="123"/>
        <v>0.31845122471218074</v>
      </c>
      <c r="AA61" s="52">
        <f t="shared" si="123"/>
        <v>0.32187547112920245</v>
      </c>
      <c r="AB61" s="52">
        <f t="shared" si="123"/>
        <v>0.29618401627110857</v>
      </c>
      <c r="AC61" s="52">
        <f t="shared" si="123"/>
        <v>0.15143215850606537</v>
      </c>
      <c r="AD61" s="52">
        <f t="shared" si="123"/>
        <v>-4.9357198098124853E-2</v>
      </c>
      <c r="AE61" s="52">
        <f t="shared" si="123"/>
        <v>3.0742397017506893E-2</v>
      </c>
      <c r="AF61" s="52">
        <f t="shared" si="123"/>
        <v>-0.12845135380519246</v>
      </c>
      <c r="AG61" s="52">
        <f t="shared" si="123"/>
        <v>-0.13056490834268625</v>
      </c>
      <c r="AH61" s="52">
        <f t="shared" si="123"/>
        <v>0.18269397242826665</v>
      </c>
      <c r="AI61" s="52">
        <f t="shared" si="123"/>
        <v>0.151265904290939</v>
      </c>
      <c r="AJ61" s="52">
        <f t="shared" si="123"/>
        <v>0.18597529245819888</v>
      </c>
      <c r="AK61" s="52">
        <f t="shared" si="123"/>
        <v>3.4809585460586299E-3</v>
      </c>
      <c r="AL61" s="52">
        <f t="shared" si="123"/>
        <v>-2.2436322946498059E-2</v>
      </c>
      <c r="AM61" s="52">
        <f t="shared" si="123"/>
        <v>-4.0680072188638648E-3</v>
      </c>
      <c r="AN61" s="52">
        <f t="shared" si="123"/>
        <v>0.22556143294561523</v>
      </c>
      <c r="AO61" s="52">
        <f t="shared" si="123"/>
        <v>0.46631452115129479</v>
      </c>
      <c r="AP61" s="52">
        <f t="shared" si="123"/>
        <v>0.14656890209232684</v>
      </c>
      <c r="AQ61" s="52">
        <f t="shared" si="123"/>
        <v>5.7744238414114059E-2</v>
      </c>
      <c r="AR61" s="52">
        <f t="shared" si="123"/>
        <v>0.19263351404078102</v>
      </c>
      <c r="AS61" s="52">
        <f t="shared" si="123"/>
        <v>0.38327559762230973</v>
      </c>
      <c r="AT61" s="52">
        <f t="shared" si="123"/>
        <v>-4.1228184937024015E-2</v>
      </c>
      <c r="AU61" s="52">
        <f t="shared" si="123"/>
        <v>0.1330517969490648</v>
      </c>
      <c r="AV61" s="52">
        <f t="shared" si="123"/>
        <v>0.11361171321557001</v>
      </c>
      <c r="AW61" s="52">
        <f t="shared" si="123"/>
        <v>0.36430596385226516</v>
      </c>
      <c r="AX61" s="52">
        <f t="shared" si="123"/>
        <v>0.11519692816570809</v>
      </c>
      <c r="AY61" s="52">
        <f t="shared" si="123"/>
        <v>1.1750464063002114E-2</v>
      </c>
      <c r="AZ61" s="52">
        <f t="shared" si="123"/>
        <v>0.11779875460996411</v>
      </c>
      <c r="BA61" s="52">
        <f t="shared" si="123"/>
        <v>0.29219781545125145</v>
      </c>
      <c r="BB61" s="52">
        <f t="shared" si="123"/>
        <v>0.11058708526669263</v>
      </c>
      <c r="BC61" s="52">
        <f t="shared" si="123"/>
        <v>6.6878305151139281E-2</v>
      </c>
      <c r="BD61" s="52">
        <f t="shared" si="123"/>
        <v>0.14353238418713515</v>
      </c>
      <c r="BE61" s="52">
        <f t="shared" si="123"/>
        <v>0.32921182809628696</v>
      </c>
      <c r="BF61" s="52">
        <f t="shared" si="123"/>
        <v>0.18766290182450043</v>
      </c>
      <c r="BG61" s="52">
        <f t="shared" si="123"/>
        <v>0.12055507372072853</v>
      </c>
      <c r="BH61" s="52">
        <f t="shared" si="123"/>
        <v>0.18237547892720307</v>
      </c>
      <c r="BI61" s="52">
        <f t="shared" si="123"/>
        <v>0.35403283369022126</v>
      </c>
      <c r="BJ61" s="52">
        <f t="shared" si="123"/>
        <v>0.19463601532567049</v>
      </c>
      <c r="BK61" s="621">
        <f t="shared" si="123"/>
        <v>0.10644257703081232</v>
      </c>
      <c r="BL61" s="621">
        <f t="shared" si="123"/>
        <v>0.20958083832335328</v>
      </c>
      <c r="BM61" s="52">
        <f t="shared" si="123"/>
        <v>0.3083294983893235</v>
      </c>
      <c r="BN61" s="52">
        <f t="shared" ref="BN61:DQ61" si="124">BN58/BN5</f>
        <v>0.11770779556014456</v>
      </c>
      <c r="BO61" s="52">
        <f t="shared" si="124"/>
        <v>0.2914798206278027</v>
      </c>
      <c r="BP61" s="52">
        <f t="shared" si="124"/>
        <v>0.41350531107738997</v>
      </c>
      <c r="BQ61" s="52">
        <f t="shared" si="124"/>
        <v>0.32325661284781859</v>
      </c>
      <c r="BR61" s="52">
        <f t="shared" si="124"/>
        <v>0.41378235110695355</v>
      </c>
      <c r="BS61" s="52">
        <f t="shared" si="124"/>
        <v>0.2510406660262568</v>
      </c>
      <c r="BT61" s="52">
        <f t="shared" si="124"/>
        <v>0.1059415278214398</v>
      </c>
      <c r="BU61" s="52">
        <f t="shared" si="124"/>
        <v>0.31564625850340133</v>
      </c>
      <c r="BV61" s="52">
        <f t="shared" si="124"/>
        <v>0.26666666666666666</v>
      </c>
      <c r="BW61" s="52">
        <f t="shared" si="124"/>
        <v>0.31911593640946101</v>
      </c>
      <c r="BX61" s="52">
        <f t="shared" si="124"/>
        <v>0.50995355009953547</v>
      </c>
      <c r="BY61" s="52">
        <f t="shared" si="124"/>
        <v>0.42544283413848633</v>
      </c>
      <c r="BZ61" s="52">
        <f t="shared" si="124"/>
        <v>0.28409090909090912</v>
      </c>
      <c r="CA61" s="52">
        <f t="shared" si="124"/>
        <v>0.3489394723228143</v>
      </c>
      <c r="CB61" s="52">
        <f t="shared" si="124"/>
        <v>0.17054591620820991</v>
      </c>
      <c r="CC61" s="52">
        <f t="shared" si="124"/>
        <v>0.3565860483709774</v>
      </c>
      <c r="CD61" s="52">
        <f t="shared" si="124"/>
        <v>0.27839604310192545</v>
      </c>
      <c r="CE61" s="52">
        <f t="shared" si="124"/>
        <v>0.38404794836330108</v>
      </c>
      <c r="CF61" s="52">
        <f t="shared" si="124"/>
        <v>0.1827396874560045</v>
      </c>
      <c r="CG61" s="52">
        <f t="shared" si="124"/>
        <v>0.36111474551877537</v>
      </c>
      <c r="CH61" s="52">
        <f t="shared" si="124"/>
        <v>0.16529922779922779</v>
      </c>
      <c r="CI61" s="52">
        <f t="shared" si="124"/>
        <v>0.12485083532219571</v>
      </c>
      <c r="CJ61" s="52">
        <f t="shared" si="124"/>
        <v>-2.3267577137076379E-2</v>
      </c>
      <c r="CK61" s="52">
        <f t="shared" si="124"/>
        <v>0.28755577590480913</v>
      </c>
      <c r="CL61" s="52">
        <f t="shared" si="124"/>
        <v>0.37027252502780866</v>
      </c>
      <c r="CM61" s="52">
        <f t="shared" si="124"/>
        <v>0.44858221662841491</v>
      </c>
      <c r="CN61" s="52">
        <f>CN58/CN5</f>
        <v>0.3893487858719647</v>
      </c>
      <c r="CO61" s="52">
        <f>CO58/CO5</f>
        <v>0.50879971044654571</v>
      </c>
      <c r="CP61" s="52">
        <f>CP58/CP5</f>
        <v>0.57502687759176774</v>
      </c>
      <c r="CQ61" s="52">
        <f t="shared" si="124"/>
        <v>0.44980026631158454</v>
      </c>
      <c r="CR61" s="52">
        <f t="shared" si="124"/>
        <v>0.47933413146342851</v>
      </c>
      <c r="CS61" s="52">
        <f t="shared" si="124"/>
        <v>0.39538786199181308</v>
      </c>
      <c r="CT61" s="52">
        <f t="shared" si="124"/>
        <v>0.59432163769234259</v>
      </c>
      <c r="CU61" s="52">
        <f t="shared" si="124"/>
        <v>0.28819288449607428</v>
      </c>
      <c r="CV61" s="52">
        <f t="shared" si="124"/>
        <v>0.38790653615408904</v>
      </c>
      <c r="CW61" s="52">
        <f>CW58/CW5</f>
        <v>0.51236660942064083</v>
      </c>
      <c r="CX61" s="52">
        <f>CX58/CX5</f>
        <v>0.59531948783924526</v>
      </c>
      <c r="CY61" s="53">
        <f t="shared" si="124"/>
        <v>0.36771173440304683</v>
      </c>
      <c r="CZ61" s="53">
        <f t="shared" si="124"/>
        <v>0.43510995885749237</v>
      </c>
      <c r="DA61" s="53">
        <f t="shared" si="124"/>
        <v>0.48859773851338578</v>
      </c>
      <c r="DB61" s="53">
        <f t="shared" si="124"/>
        <v>0.55391056516335457</v>
      </c>
      <c r="DC61" s="53">
        <f t="shared" si="124"/>
        <v>0.49991193481989071</v>
      </c>
      <c r="DD61" s="53">
        <f t="shared" si="124"/>
        <v>0.48973219829739162</v>
      </c>
      <c r="DE61" s="53">
        <f t="shared" si="124"/>
        <v>0.53781415173612268</v>
      </c>
      <c r="DF61" s="53">
        <f t="shared" si="124"/>
        <v>0.54061768140044031</v>
      </c>
      <c r="DG61" s="53">
        <f t="shared" si="124"/>
        <v>0.54950195045138772</v>
      </c>
      <c r="DH61" s="53">
        <f t="shared" si="124"/>
        <v>0.52359435304189428</v>
      </c>
      <c r="DI61" s="53">
        <f t="shared" si="124"/>
        <v>0.55269314094770727</v>
      </c>
      <c r="DJ61" s="53">
        <f t="shared" si="124"/>
        <v>0.55805172630393052</v>
      </c>
      <c r="DK61" s="53">
        <f t="shared" si="124"/>
        <v>0.56730137058962582</v>
      </c>
      <c r="DL61" s="53">
        <f t="shared" si="124"/>
        <v>0.55305393523384017</v>
      </c>
      <c r="DM61" s="53">
        <f t="shared" si="124"/>
        <v>0.57480885145067273</v>
      </c>
      <c r="DN61" s="53">
        <f t="shared" si="124"/>
        <v>0.55220697604119839</v>
      </c>
      <c r="DO61" s="53">
        <f t="shared" si="124"/>
        <v>0.55466799576272208</v>
      </c>
      <c r="DP61" s="53">
        <f t="shared" si="124"/>
        <v>0.53453997423099642</v>
      </c>
      <c r="DQ61" s="53">
        <f t="shared" si="124"/>
        <v>0.56324908663308282</v>
      </c>
      <c r="DT61" s="62">
        <f t="shared" ref="DT61:EW61" si="125">DT58/DT5</f>
        <v>4.7940920253148833E-2</v>
      </c>
      <c r="DU61" s="62">
        <f t="shared" si="125"/>
        <v>0.10802575809943059</v>
      </c>
      <c r="DV61" s="62">
        <f t="shared" si="125"/>
        <v>-4.2747312727482153E-2</v>
      </c>
      <c r="DW61" s="62">
        <f t="shared" si="125"/>
        <v>3.2307429778516028E-2</v>
      </c>
      <c r="DX61" s="62">
        <f t="shared" si="125"/>
        <v>0.15440081121797611</v>
      </c>
      <c r="DY61" s="62">
        <f t="shared" si="125"/>
        <v>0.14398435073845525</v>
      </c>
      <c r="DZ61" s="62">
        <f t="shared" si="125"/>
        <v>0.26415031260218741</v>
      </c>
      <c r="EA61" s="62">
        <f t="shared" si="125"/>
        <v>-6.0618553931709347E-2</v>
      </c>
      <c r="EB61" s="62">
        <f t="shared" si="125"/>
        <v>0.12331663382379689</v>
      </c>
      <c r="EC61" s="62">
        <f t="shared" si="125"/>
        <v>0.16309810970479852</v>
      </c>
      <c r="ED61" s="62">
        <f t="shared" si="125"/>
        <v>0.19270497482447163</v>
      </c>
      <c r="EE61" s="62">
        <f t="shared" si="125"/>
        <v>0.14972878344005444</v>
      </c>
      <c r="EF61" s="62">
        <f t="shared" si="125"/>
        <v>0.14042064209587907</v>
      </c>
      <c r="EG61" s="62">
        <f t="shared" si="125"/>
        <v>0.16731257691166548</v>
      </c>
      <c r="EH61" s="62">
        <f t="shared" si="125"/>
        <v>0.21736526946107784</v>
      </c>
      <c r="EI61" s="62">
        <f t="shared" si="125"/>
        <v>0.21649782923299565</v>
      </c>
      <c r="EJ61" s="60">
        <f t="shared" si="125"/>
        <v>0.29946469013794524</v>
      </c>
      <c r="EK61" s="60">
        <f t="shared" si="125"/>
        <v>0.26835097302833733</v>
      </c>
      <c r="EL61" s="60">
        <f t="shared" si="125"/>
        <v>0.39137204616230081</v>
      </c>
      <c r="EM61" s="60">
        <f t="shared" si="125"/>
        <v>0.28869565217391302</v>
      </c>
      <c r="EN61" s="60">
        <f t="shared" si="125"/>
        <v>0.30218473656832873</v>
      </c>
      <c r="EO61" s="60">
        <f t="shared" si="125"/>
        <v>0.14121005412619558</v>
      </c>
      <c r="EP61" s="60">
        <f t="shared" si="125"/>
        <v>0.4435671842684088</v>
      </c>
      <c r="EQ61" s="60">
        <f t="shared" si="125"/>
        <v>0.46633255936918089</v>
      </c>
      <c r="ER61" s="60">
        <f t="shared" si="125"/>
        <v>0.44770721225536958</v>
      </c>
      <c r="ES61" s="61">
        <f t="shared" si="125"/>
        <v>0.46801347386435033</v>
      </c>
      <c r="ET61" s="61">
        <f t="shared" si="125"/>
        <v>0.51957549654050983</v>
      </c>
      <c r="EU61" s="61">
        <f t="shared" si="125"/>
        <v>0.54163477502356061</v>
      </c>
      <c r="EV61" s="61">
        <f t="shared" si="125"/>
        <v>0.56339007544456421</v>
      </c>
      <c r="EW61" s="61">
        <f t="shared" si="125"/>
        <v>0.55121732497805542</v>
      </c>
    </row>
    <row r="62" spans="1:155" s="49" customFormat="1">
      <c r="A62" s="619" t="s">
        <v>246</v>
      </c>
      <c r="BF62" s="637"/>
      <c r="BG62" s="637"/>
      <c r="BH62" s="637"/>
      <c r="BI62" s="637"/>
      <c r="BJ62" s="637"/>
      <c r="BK62" s="637"/>
      <c r="BL62" s="637"/>
      <c r="BM62" s="637"/>
      <c r="BN62" s="637"/>
      <c r="BO62" s="637"/>
      <c r="BP62" s="637"/>
      <c r="BQ62" s="637"/>
      <c r="BR62" s="637"/>
      <c r="BS62" s="637"/>
      <c r="BT62" s="637"/>
      <c r="BU62" s="637"/>
      <c r="BV62" s="639"/>
      <c r="BW62" s="639"/>
      <c r="BX62" s="643"/>
      <c r="BY62" s="639"/>
      <c r="BZ62" s="639"/>
      <c r="CA62" s="639"/>
      <c r="CB62" s="639"/>
      <c r="CC62" s="639"/>
      <c r="CD62" s="639"/>
      <c r="CE62" s="639"/>
      <c r="CF62" s="639"/>
      <c r="CG62" s="639"/>
      <c r="CH62" s="639"/>
      <c r="CI62" s="639"/>
      <c r="CJ62" s="639"/>
      <c r="CK62" s="639"/>
      <c r="CL62" s="639"/>
      <c r="CN62" s="639"/>
      <c r="CO62" s="639"/>
      <c r="CP62" s="639"/>
      <c r="CQ62" s="639"/>
      <c r="CR62" s="639"/>
      <c r="CS62" s="639"/>
      <c r="CT62" s="639"/>
      <c r="CU62" s="639"/>
      <c r="CV62" s="639"/>
      <c r="CW62" s="639"/>
      <c r="CX62" s="639"/>
      <c r="CY62" s="639"/>
      <c r="CZ62" s="639"/>
      <c r="DA62" s="639"/>
      <c r="DB62" s="639"/>
      <c r="DC62" s="639"/>
      <c r="DD62" s="639"/>
      <c r="DE62" s="639"/>
      <c r="DF62" s="639"/>
      <c r="DG62" s="639"/>
      <c r="DH62" s="639"/>
      <c r="DI62" s="639"/>
      <c r="DJ62" s="639"/>
      <c r="DK62" s="639"/>
      <c r="DL62" s="639"/>
      <c r="DM62" s="639"/>
      <c r="DN62" s="639"/>
      <c r="DO62" s="639"/>
      <c r="DP62" s="639"/>
      <c r="DQ62" s="639"/>
      <c r="DT62" s="35">
        <f>NVDA!Z62+NVDA!Z63+NVDA!Z64-NVDA!Z91-NVDA!Z96-NVDA!Z97</f>
        <v>498.37699999999995</v>
      </c>
      <c r="DU62" s="35">
        <f>NVDA!AE62+NVDA!AE63+NVDA!AE64-NVDA!AE91-NVDA!AE96-NVDA!AE97</f>
        <v>728.41300000000001</v>
      </c>
      <c r="DV62" s="35">
        <f>NVDA!AJ62+NVDA!AJ63+NVDA!AJ64-NVDA!AJ91-NVDA!AJ96-NVDA!AJ97</f>
        <v>599.46100000000001</v>
      </c>
      <c r="DW62" s="35">
        <f>NVDA!AO62+NVDA!AO63+NVDA!AO64-NVDA!AO91-NVDA!AO96-NVDA!AO97</f>
        <v>661.68700000000013</v>
      </c>
      <c r="DX62" s="35">
        <f>NVDA!AT62+NVDA!AT63+NVDA!AT64-NVDA!AT91-NVDA!AT96-NVDA!AT97</f>
        <v>939.55</v>
      </c>
      <c r="DY62" s="35">
        <f>NVDA!AY62+NVDA!AY63+NVDA!AY64-NVDA!AY91-NVDA!AY96-NVDA!AY97</f>
        <v>1117.8499999999999</v>
      </c>
      <c r="DZ62" s="35">
        <f>NVDA!BD62+NVDA!BD63+NVDA!BD64-NVDA!BD91-NVDA!BD96-NVDA!BD97</f>
        <v>1809.4780000000001</v>
      </c>
      <c r="EA62" s="35">
        <f>NVDA!BI62+NVDA!BI63+NVDA!BI64-NVDA!BI91-NVDA!BI96-NVDA!BI97</f>
        <v>1255.3899999999999</v>
      </c>
      <c r="EB62" s="35">
        <f>NVDA!BN62+NVDA!BN63+NVDA!BN64-NVDA!BN91-NVDA!BN96-NVDA!BN97</f>
        <v>1728.2270000000001</v>
      </c>
      <c r="EC62" s="35">
        <f>NVDA!BS62+NVDA!BS63+NVDA!BS64-NVDA!BS91-NVDA!BS96-NVDA!BS97</f>
        <v>2490.5630000000001</v>
      </c>
      <c r="ED62" s="35">
        <f>NVDA!BX62+NVDA!BX63+NVDA!BX64-NVDA!BX91-NVDA!BX96-NVDA!BX97</f>
        <v>3129.576</v>
      </c>
      <c r="EE62" s="35">
        <f>NVDA!CC62+NVDA!CC63+NVDA!CC64-NVDA!CC91-NVDA!CC96-NVDA!CC97</f>
        <v>3727.8830000000003</v>
      </c>
      <c r="EF62" s="35">
        <f>NVDA!CH62+NVDA!CH63+NVDA!CH64-NVDA!CH91-NVDA!CH96-NVDA!CH97</f>
        <v>3315.4349999999995</v>
      </c>
      <c r="EG62" s="35">
        <f>NVDA!CM62+NVDA!CM63+NVDA!CM64-NVDA!CM91-NVDA!CM96-NVDA!CM97</f>
        <v>3238.9969999999998</v>
      </c>
      <c r="EH62" s="35">
        <f>NVDA!CR62+NVDA!CR63+NVDA!CR64-NVDA!CR91-NVDA!CR96-NVDA!CR97</f>
        <v>3537</v>
      </c>
      <c r="EI62" s="35">
        <f>NVDA!CW62+NVDA!CW63+NVDA!CW64-NVDA!CW91-NVDA!CW96-NVDA!CW97</f>
        <v>3988</v>
      </c>
      <c r="EJ62" s="35">
        <f>NVDA!DB62+NVDA!DB63+NVDA!DB64-NVDA!DB91-NVDA!DB96-NVDA!DB97</f>
        <v>5123</v>
      </c>
      <c r="EK62" s="35">
        <f>NVDA!DG62+NVDA!DG63+NVDA!DG64-NVDA!DG91-NVDA!DG96-NVDA!DG97</f>
        <v>5434</v>
      </c>
      <c r="EL62" s="35">
        <f>NVDA!DL62+NVDA!DL63+NVDA!DL64-NVDA!DL91-NVDA!DL96-NVDA!DL97</f>
        <v>8906</v>
      </c>
      <c r="EM62" s="35">
        <f>NVDA!DQ62+NVDA!DQ63+NVDA!DQ64-NVDA!DQ91-NVDA!DQ96-NVDA!DQ97</f>
        <v>4598</v>
      </c>
      <c r="EN62" s="35">
        <f>NVDA!DV62+NVDA!DV63+NVDA!DV64-NVDA!DV91-NVDA!DV96-NVDA!DV97</f>
        <v>10262</v>
      </c>
      <c r="EO62" s="35">
        <f>NVDA!EA62+NVDA!EA63+NVDA!EA64-NVDA!EA91-NVDA!EA96-NVDA!EA97</f>
        <v>2343</v>
      </c>
      <c r="EP62" s="35">
        <f>NVDA!EF62+NVDA!EF63+NVDA!EF64-NVDA!EF91-NVDA!EF96-NVDA!EF97</f>
        <v>16275</v>
      </c>
      <c r="EQ62" s="35">
        <f>NVDA!EK62+NVDA!EK63+NVDA!EK64-NVDA!EK91-NVDA!EK96-NVDA!EK97</f>
        <v>34747</v>
      </c>
      <c r="ER62" s="35">
        <f>NVDA!EP62+NVDA!EP63+NVDA!EP64-NVDA!EP91-NVDA!EP96-NVDA!EP97</f>
        <v>54088</v>
      </c>
      <c r="ES62" s="48">
        <f>NVDA!EU62+NVDA!EU63+NVDA!EU64-NVDA!EU91-NVDA!EU96-NVDA!EU97</f>
        <v>107747.31244609515</v>
      </c>
      <c r="ET62" s="48">
        <f>NVDA!EZ62+NVDA!EZ63+NVDA!EZ64-NVDA!EZ91-NVDA!EZ96-NVDA!EZ97</f>
        <v>259092.41308994842</v>
      </c>
      <c r="EU62" s="48">
        <f>NVDA!FA62+NVDA!FA63+NVDA!FA64-NVDA!FA91-NVDA!FA96-NVDA!FA97</f>
        <v>310775.14000718214</v>
      </c>
      <c r="EV62" s="48">
        <f>NVDA!FB62+NVDA!FB63+NVDA!FB64-NVDA!FB91-NVDA!FB96-NVDA!FB97</f>
        <v>363769.35863026307</v>
      </c>
      <c r="EW62" s="48">
        <f>NVDA!FC62+NVDA!FC63+NVDA!FC64-NVDA!FC91-NVDA!FC96-NVDA!FC97</f>
        <v>418862.59426888864</v>
      </c>
    </row>
    <row r="63" spans="1:155">
      <c r="A63" s="69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0"/>
      <c r="AP63" s="50"/>
      <c r="AQ63" s="50"/>
      <c r="AR63" s="50"/>
      <c r="AS63" s="50"/>
      <c r="AT63" s="50"/>
      <c r="AU63" s="50"/>
      <c r="AV63" s="50"/>
      <c r="AW63" s="50"/>
      <c r="AX63" s="50"/>
      <c r="AY63" s="50"/>
      <c r="AZ63" s="50"/>
      <c r="BA63" s="50"/>
      <c r="BB63" s="50"/>
      <c r="BC63" s="50"/>
      <c r="BD63" s="50"/>
      <c r="BE63" s="50"/>
      <c r="BF63" s="50"/>
      <c r="BG63" s="50"/>
      <c r="BH63" s="50"/>
      <c r="BI63" s="50"/>
      <c r="BJ63" s="50"/>
      <c r="BK63" s="50"/>
      <c r="BL63" s="50"/>
      <c r="BM63" s="50"/>
      <c r="BN63" s="50"/>
      <c r="BO63" s="50"/>
      <c r="BP63" s="50"/>
      <c r="BQ63" s="50"/>
      <c r="BR63" s="50"/>
      <c r="BS63" s="50"/>
      <c r="BT63" s="50"/>
      <c r="BU63" s="644"/>
      <c r="BV63" s="50"/>
      <c r="BW63" s="50"/>
      <c r="BX63" s="50"/>
      <c r="BY63" s="50"/>
      <c r="BZ63" s="50"/>
      <c r="CA63" s="50"/>
      <c r="CB63" s="50"/>
      <c r="CC63" s="50"/>
      <c r="CD63" s="645"/>
      <c r="CE63" s="645"/>
      <c r="CF63" s="645"/>
      <c r="CG63" s="645"/>
      <c r="CH63" s="645"/>
      <c r="CI63" s="645"/>
      <c r="CJ63" s="66"/>
      <c r="CK63" s="646"/>
      <c r="CL63" s="645"/>
      <c r="CM63" s="639"/>
      <c r="CN63" s="50"/>
      <c r="CO63" s="50"/>
      <c r="CP63" s="50"/>
      <c r="CQ63" s="50"/>
      <c r="CR63" s="50"/>
      <c r="CS63" s="50"/>
      <c r="CT63" s="50"/>
      <c r="CU63" s="50"/>
      <c r="CV63" s="50"/>
      <c r="CW63" s="50"/>
      <c r="CX63" s="50"/>
      <c r="CY63" s="50"/>
      <c r="CZ63" s="50"/>
      <c r="DA63" s="50"/>
      <c r="DB63" s="50"/>
      <c r="DC63" s="50"/>
      <c r="DD63" s="50"/>
      <c r="DE63" s="50"/>
      <c r="DF63" s="50"/>
      <c r="DG63" s="50"/>
      <c r="DH63" s="50"/>
      <c r="DI63" s="50"/>
      <c r="DJ63" s="50"/>
      <c r="DK63" s="50"/>
      <c r="DL63" s="50"/>
      <c r="DM63" s="50"/>
      <c r="DN63" s="50"/>
      <c r="DO63" s="50"/>
      <c r="DP63" s="50"/>
      <c r="DQ63" s="50"/>
      <c r="DT63" s="50"/>
      <c r="DU63" s="66"/>
      <c r="DV63" s="66"/>
      <c r="DW63" s="66"/>
      <c r="DX63" s="66"/>
      <c r="DY63" s="66"/>
      <c r="DZ63" s="66"/>
      <c r="EA63" s="66"/>
      <c r="EB63" s="66"/>
      <c r="EC63" s="66"/>
      <c r="ED63" s="66"/>
      <c r="EE63" s="66"/>
      <c r="EF63" s="66"/>
      <c r="EG63" s="66"/>
      <c r="EH63" s="66"/>
      <c r="EI63" s="66"/>
      <c r="EJ63" s="647"/>
      <c r="EK63" s="647"/>
      <c r="EL63" s="647"/>
      <c r="EM63" s="647"/>
      <c r="EN63" s="647"/>
      <c r="EO63" s="647"/>
      <c r="EP63" s="647"/>
      <c r="EQ63" s="647"/>
      <c r="ER63" s="647"/>
      <c r="ES63" s="648"/>
      <c r="ET63" s="648"/>
      <c r="EU63" s="648"/>
      <c r="EV63" s="648"/>
      <c r="EW63" s="648"/>
    </row>
    <row r="64" spans="1:155" hidden="1" outlineLevel="1">
      <c r="A64" s="619" t="s">
        <v>247</v>
      </c>
      <c r="B64" s="35">
        <f>NVDA!V48</f>
        <v>19885.32</v>
      </c>
      <c r="C64" s="35">
        <f>NVDA!W48</f>
        <v>20436.239999999998</v>
      </c>
      <c r="D64" s="35">
        <f>NVDA!X48</f>
        <v>20419.079999999998</v>
      </c>
      <c r="E64" s="35">
        <f>NVDA!Y48</f>
        <v>21267.600000000002</v>
      </c>
      <c r="F64" s="35">
        <f>NVDA!AA48</f>
        <v>39213.24</v>
      </c>
      <c r="G64" s="35">
        <f>NVDA!AB48</f>
        <v>20252.400000000001</v>
      </c>
      <c r="H64" s="35">
        <f>NVDA!AC48</f>
        <v>36817.919999999998</v>
      </c>
      <c r="I64" s="35">
        <f>NVDA!AD48</f>
        <v>20102.04</v>
      </c>
      <c r="J64" s="35">
        <f>NVDA!AF48</f>
        <v>20151</v>
      </c>
      <c r="K64" s="35">
        <f>NVDA!AG48</f>
        <v>20946.120000000003</v>
      </c>
      <c r="L64" s="35">
        <f>NVDA!AH48</f>
        <v>20777.88</v>
      </c>
      <c r="M64" s="35">
        <f>NVDA!AI48</f>
        <v>21174.84</v>
      </c>
      <c r="N64" s="35">
        <f>NVDA!AK48</f>
        <v>21417.48</v>
      </c>
      <c r="O64" s="35">
        <f>NVDA!AL48</f>
        <v>21290.280000000002</v>
      </c>
      <c r="P64" s="35">
        <f>NVDA!AM48</f>
        <v>20744.28</v>
      </c>
      <c r="Q64" s="35">
        <f>NVDA!AN48</f>
        <v>21270.839999999997</v>
      </c>
      <c r="R64" s="35">
        <f>NVDA!AP48</f>
        <v>21659.040000000001</v>
      </c>
      <c r="S64" s="35">
        <f>NVDA!AQ48</f>
        <v>21694.799999999999</v>
      </c>
      <c r="T64" s="35">
        <f>NVDA!AR48</f>
        <v>22022.039999999997</v>
      </c>
      <c r="U64" s="35">
        <f>NVDA!AS48</f>
        <v>22334.639999999999</v>
      </c>
      <c r="V64" s="35">
        <f>NVDA!AU48</f>
        <v>23365.68</v>
      </c>
      <c r="W64" s="35">
        <f>NVDA!AV48</f>
        <v>23135.34</v>
      </c>
      <c r="X64" s="35">
        <f>NVDA!AW48</f>
        <v>23472.9</v>
      </c>
      <c r="Y64" s="35">
        <f>NVDA!AX48</f>
        <v>23939.64</v>
      </c>
      <c r="Z64" s="35">
        <f>NVDA!AZ48</f>
        <v>23931.96</v>
      </c>
      <c r="AA64" s="35">
        <f>NVDA!BA48</f>
        <v>24153.18</v>
      </c>
      <c r="AB64" s="35">
        <f>NVDA!BB48</f>
        <v>24519.4</v>
      </c>
      <c r="AC64" s="35">
        <f>NVDA!BC48</f>
        <v>24366.92</v>
      </c>
      <c r="AD64" s="35">
        <f>NVDA!BE48</f>
        <v>23679.56</v>
      </c>
      <c r="AE64" s="35">
        <f>NVDA!BF48</f>
        <v>23179.8</v>
      </c>
      <c r="AF64" s="35">
        <f>NVDA!BG48</f>
        <v>22581.439999999999</v>
      </c>
      <c r="AG64" s="35">
        <f>NVDA!BH48</f>
        <v>21503.800000000003</v>
      </c>
      <c r="AH64" s="35">
        <f>NVDA!BJ48</f>
        <v>21692.28</v>
      </c>
      <c r="AI64" s="35">
        <f>NVDA!BK48</f>
        <v>22505.4</v>
      </c>
      <c r="AJ64" s="35">
        <f>NVDA!BL48</f>
        <v>22975.239999999998</v>
      </c>
      <c r="AK64" s="35">
        <f>NVDA!BM48</f>
        <v>23283.24</v>
      </c>
      <c r="AL64" s="35">
        <f>NVDA!BO48</f>
        <v>23639.879999999997</v>
      </c>
      <c r="AM64" s="35">
        <f>NVDA!BP48</f>
        <v>23295.32</v>
      </c>
      <c r="AN64" s="35">
        <f>NVDA!BQ48</f>
        <v>23305.920000000002</v>
      </c>
      <c r="AO64" s="35">
        <f>NVDA!BR48</f>
        <v>24062.36</v>
      </c>
      <c r="AP64" s="35">
        <f>NVDA!BT48</f>
        <v>24538.960000000003</v>
      </c>
      <c r="AQ64" s="35">
        <f>NVDA!BU48</f>
        <v>24557.360000000001</v>
      </c>
      <c r="AR64" s="35">
        <f>NVDA!BV48</f>
        <v>24542.399999999998</v>
      </c>
      <c r="AS64" s="35">
        <f>NVDA!BW48</f>
        <v>24743.960000000003</v>
      </c>
      <c r="AT64" s="35">
        <f>NVDA!BY48</f>
        <v>24951.439999999999</v>
      </c>
      <c r="AU64" s="35">
        <f>NVDA!BZ48</f>
        <v>24925.72</v>
      </c>
      <c r="AV64" s="35">
        <f>NVDA!CA48</f>
        <v>25153.800000000003</v>
      </c>
      <c r="AW64" s="35">
        <f>NVDA!CB48</f>
        <v>24880.720000000001</v>
      </c>
      <c r="AX64" s="35">
        <f>NVDA!CD48</f>
        <v>24772.080000000002</v>
      </c>
      <c r="AY64" s="35">
        <f>NVDA!CE48</f>
        <v>23680.239999999998</v>
      </c>
      <c r="AZ64" s="35">
        <f>NVDA!CF48</f>
        <v>23550.079999999998</v>
      </c>
      <c r="BA64" s="35">
        <f>NVDA!CG48</f>
        <v>23094.239999999998</v>
      </c>
      <c r="BB64" s="35">
        <f>NVDA!CI48</f>
        <v>22816.880000000001</v>
      </c>
      <c r="BC64" s="35">
        <f>NVDA!CJ48</f>
        <v>22822.880000000001</v>
      </c>
      <c r="BD64" s="35">
        <f>NVDA!CK48</f>
        <v>22328.04</v>
      </c>
      <c r="BE64" s="35">
        <f>NVDA!CL48</f>
        <v>22262.92</v>
      </c>
      <c r="BF64" s="35">
        <f>NVDA!CN48</f>
        <v>22480</v>
      </c>
      <c r="BG64" s="35">
        <f>NVDA!CO48</f>
        <v>22080</v>
      </c>
      <c r="BH64" s="35">
        <f>NVDA!CP48</f>
        <v>22200</v>
      </c>
      <c r="BI64" s="35">
        <f>NVDA!CQ48</f>
        <v>22680</v>
      </c>
      <c r="BJ64" s="35">
        <f>NVDA!CS48</f>
        <v>22720</v>
      </c>
      <c r="BK64" s="620">
        <f>NVDA!CT48</f>
        <v>23640</v>
      </c>
      <c r="BL64" s="620">
        <f>NVDA!CU48</f>
        <v>24320</v>
      </c>
      <c r="BM64" s="35">
        <f>NVDA!CV48</f>
        <v>24960</v>
      </c>
      <c r="BN64" s="35">
        <f>NVDA!CX48</f>
        <v>25080</v>
      </c>
      <c r="BO64" s="35">
        <f>NVDA!CY48</f>
        <v>25160</v>
      </c>
      <c r="BP64" s="35">
        <f>NVDA!CZ48</f>
        <v>25040</v>
      </c>
      <c r="BQ64" s="35">
        <f>NVDA!DA48</f>
        <v>25080</v>
      </c>
      <c r="BR64" s="35">
        <f>NVDA!DC48</f>
        <v>25080</v>
      </c>
      <c r="BS64" s="35">
        <f>NVDA!DD48</f>
        <v>25000</v>
      </c>
      <c r="BT64" s="35">
        <f>NVDA!DE48</f>
        <v>25000</v>
      </c>
      <c r="BU64" s="35">
        <f>NVDA!DF48</f>
        <v>24760</v>
      </c>
      <c r="BV64" s="35">
        <f>NVDA!DH48</f>
        <v>24640</v>
      </c>
      <c r="BW64" s="35">
        <f>NVDA!DI48</f>
        <v>24640</v>
      </c>
      <c r="BX64" s="35">
        <f>NVDA!DJ48</f>
        <v>24720</v>
      </c>
      <c r="BY64" s="35">
        <f>NVDA!DK48</f>
        <v>24840</v>
      </c>
      <c r="BZ64" s="35">
        <f>NVDA!DM48</f>
        <v>24880</v>
      </c>
      <c r="CA64" s="35">
        <f>NVDA!DN48</f>
        <v>25040</v>
      </c>
      <c r="CB64" s="35">
        <f>NVDA!DO48</f>
        <v>25200</v>
      </c>
      <c r="CC64" s="35">
        <f>NVDA!DP48</f>
        <v>25240</v>
      </c>
      <c r="CD64" s="35"/>
      <c r="CE64" s="35"/>
      <c r="CF64" s="35"/>
      <c r="CG64" s="35"/>
      <c r="CH64" s="35"/>
      <c r="CI64" s="48"/>
      <c r="CJ64" s="48"/>
      <c r="CK64" s="48"/>
      <c r="CL64" s="48"/>
      <c r="CM64" s="48"/>
      <c r="CN64" s="48"/>
      <c r="CO64" s="48"/>
      <c r="CP64" s="48"/>
      <c r="CQ64" s="48"/>
      <c r="CR64" s="48"/>
      <c r="CS64" s="48"/>
      <c r="CT64" s="48"/>
      <c r="CU64" s="48"/>
      <c r="CV64" s="48"/>
      <c r="CW64" s="48"/>
      <c r="CX64" s="48"/>
      <c r="CY64" s="48"/>
      <c r="CZ64" s="48"/>
      <c r="DA64" s="48"/>
      <c r="DB64" s="48"/>
      <c r="DC64" s="48"/>
      <c r="DD64" s="48"/>
      <c r="DE64" s="48"/>
      <c r="DF64" s="48"/>
      <c r="DG64" s="48"/>
      <c r="DH64" s="48"/>
      <c r="DI64" s="48"/>
      <c r="DJ64" s="48"/>
      <c r="DK64" s="48"/>
      <c r="DL64" s="48"/>
      <c r="DM64" s="48"/>
      <c r="DN64" s="48"/>
      <c r="DO64" s="48"/>
      <c r="DP64" s="48"/>
      <c r="DQ64" s="48"/>
      <c r="DT64" s="50"/>
      <c r="DU64" s="66"/>
      <c r="DV64" s="66"/>
      <c r="DW64" s="66"/>
      <c r="DX64" s="66"/>
      <c r="DY64" s="66"/>
      <c r="DZ64" s="66"/>
      <c r="EA64" s="66"/>
      <c r="EB64" s="66"/>
      <c r="EC64" s="66"/>
      <c r="ED64" s="66"/>
      <c r="EE64" s="66"/>
      <c r="EF64" s="66"/>
      <c r="EG64" s="66"/>
      <c r="EH64" s="66"/>
      <c r="EI64" s="66"/>
      <c r="EJ64" s="647"/>
      <c r="EK64" s="647"/>
      <c r="EL64" s="647"/>
      <c r="EM64" s="647"/>
      <c r="EN64" s="647"/>
      <c r="EO64" s="647"/>
      <c r="EP64" s="647"/>
      <c r="EQ64" s="60"/>
      <c r="ER64" s="60"/>
      <c r="ES64" s="60"/>
      <c r="ET64" s="60"/>
      <c r="EU64" s="60"/>
      <c r="EV64" s="60"/>
      <c r="EW64" s="60"/>
    </row>
    <row r="65" spans="1:154" s="52" customFormat="1" hidden="1" outlineLevel="1">
      <c r="A65" s="51" t="s">
        <v>225</v>
      </c>
      <c r="BB65" s="52">
        <f>BB64/AX64-1</f>
        <v>-7.8927566841379471E-2</v>
      </c>
      <c r="BC65" s="52">
        <f>BC64/AY64-1</f>
        <v>-3.6205714131275601E-2</v>
      </c>
      <c r="BD65" s="52">
        <f>BD64/AZ64-1</f>
        <v>-5.1891118841209782E-2</v>
      </c>
      <c r="BE65" s="52">
        <f t="shared" ref="BE65:CC65" si="126">BE64/BA64-1</f>
        <v>-3.5996854626954566E-2</v>
      </c>
      <c r="BF65" s="52">
        <f t="shared" si="126"/>
        <v>-1.4764507680278816E-2</v>
      </c>
      <c r="BG65" s="52">
        <f t="shared" si="126"/>
        <v>-3.2549792138415579E-2</v>
      </c>
      <c r="BH65" s="52">
        <f t="shared" si="126"/>
        <v>-5.7344934889045351E-3</v>
      </c>
      <c r="BI65" s="52">
        <f t="shared" si="126"/>
        <v>1.8734290021255262E-2</v>
      </c>
      <c r="BJ65" s="52">
        <f t="shared" si="126"/>
        <v>1.067615658362997E-2</v>
      </c>
      <c r="BK65" s="52">
        <f t="shared" si="126"/>
        <v>7.0652173913043459E-2</v>
      </c>
      <c r="BL65" s="52">
        <f t="shared" si="126"/>
        <v>9.5495495495495408E-2</v>
      </c>
      <c r="BM65" s="52">
        <f t="shared" si="126"/>
        <v>0.10052910052910047</v>
      </c>
      <c r="BN65" s="52">
        <f t="shared" si="126"/>
        <v>0.10387323943661975</v>
      </c>
      <c r="BO65" s="52">
        <f t="shared" si="126"/>
        <v>6.4297800338409372E-2</v>
      </c>
      <c r="BP65" s="52">
        <f t="shared" si="126"/>
        <v>2.960526315789469E-2</v>
      </c>
      <c r="BQ65" s="52">
        <f t="shared" si="126"/>
        <v>4.8076923076922906E-3</v>
      </c>
      <c r="BR65" s="52">
        <f t="shared" si="126"/>
        <v>0</v>
      </c>
      <c r="BS65" s="52">
        <f t="shared" si="126"/>
        <v>-6.3593004769475492E-3</v>
      </c>
      <c r="BT65" s="52">
        <f t="shared" si="126"/>
        <v>-1.5974440894568342E-3</v>
      </c>
      <c r="BU65" s="52">
        <f t="shared" si="126"/>
        <v>-1.2759170653907526E-2</v>
      </c>
      <c r="BV65" s="52">
        <f t="shared" si="126"/>
        <v>-1.7543859649122862E-2</v>
      </c>
      <c r="BW65" s="52">
        <f t="shared" si="126"/>
        <v>-1.4399999999999968E-2</v>
      </c>
      <c r="BX65" s="52">
        <f t="shared" si="126"/>
        <v>-1.1199999999999988E-2</v>
      </c>
      <c r="BY65" s="52">
        <f t="shared" si="126"/>
        <v>3.2310177705976439E-3</v>
      </c>
      <c r="BZ65" s="52">
        <f t="shared" si="126"/>
        <v>9.7402597402598268E-3</v>
      </c>
      <c r="CA65" s="52">
        <f t="shared" si="126"/>
        <v>1.6233766233766156E-2</v>
      </c>
      <c r="CB65" s="52">
        <f t="shared" si="126"/>
        <v>1.9417475728155331E-2</v>
      </c>
      <c r="CC65" s="52">
        <f t="shared" si="126"/>
        <v>1.6103059581320522E-2</v>
      </c>
      <c r="CI65" s="53"/>
      <c r="CJ65" s="53"/>
      <c r="CK65" s="53"/>
      <c r="CL65" s="53"/>
      <c r="CM65" s="53"/>
      <c r="CN65" s="53"/>
      <c r="CO65" s="53"/>
      <c r="CP65" s="53"/>
      <c r="CQ65" s="53"/>
      <c r="CR65" s="53"/>
      <c r="CS65" s="53"/>
      <c r="CT65" s="53"/>
      <c r="CU65" s="53"/>
      <c r="CV65" s="53"/>
      <c r="CW65" s="53"/>
      <c r="CX65" s="53"/>
      <c r="CY65" s="53"/>
      <c r="CZ65" s="53"/>
      <c r="DA65" s="53"/>
      <c r="DB65" s="53"/>
      <c r="DC65" s="53"/>
      <c r="DD65" s="53"/>
      <c r="DE65" s="53"/>
      <c r="DF65" s="53"/>
      <c r="DG65" s="53"/>
      <c r="DH65" s="53"/>
      <c r="DI65" s="53"/>
      <c r="DJ65" s="53"/>
      <c r="DK65" s="53"/>
      <c r="DL65" s="53"/>
      <c r="DM65" s="53"/>
      <c r="DN65" s="53"/>
      <c r="DO65" s="53"/>
      <c r="DP65" s="53"/>
      <c r="DQ65" s="53"/>
      <c r="DU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0"/>
      <c r="EK65" s="60"/>
      <c r="EL65" s="60"/>
      <c r="EM65" s="60"/>
      <c r="EN65" s="60"/>
      <c r="EO65" s="60"/>
      <c r="EP65" s="60"/>
      <c r="EQ65" s="60"/>
      <c r="ER65" s="60"/>
      <c r="ES65" s="60"/>
      <c r="ET65" s="60"/>
      <c r="EU65" s="60"/>
      <c r="EV65" s="60"/>
      <c r="EW65" s="60"/>
    </row>
    <row r="66" spans="1:154" hidden="1" outlineLevel="1">
      <c r="A66" s="69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  <c r="BA66" s="50"/>
      <c r="BB66" s="50"/>
      <c r="BC66" s="50"/>
      <c r="BD66" s="50"/>
      <c r="BE66" s="50"/>
      <c r="BF66" s="50"/>
      <c r="BG66" s="50"/>
      <c r="BH66" s="50"/>
      <c r="BI66" s="50"/>
      <c r="BJ66" s="50"/>
      <c r="BK66" s="50"/>
      <c r="BL66" s="50"/>
      <c r="BM66" s="50"/>
      <c r="BN66" s="68"/>
      <c r="BO66" s="50"/>
      <c r="BP66" s="50"/>
      <c r="BQ66" s="50"/>
      <c r="BR66" s="50"/>
      <c r="BS66" s="50"/>
      <c r="BT66" s="50"/>
      <c r="BU66" s="50"/>
      <c r="BV66" s="50"/>
      <c r="BW66" s="50"/>
      <c r="BX66" s="50"/>
      <c r="BY66" s="50"/>
      <c r="BZ66" s="50"/>
      <c r="CA66" s="50"/>
      <c r="CB66" s="50"/>
      <c r="CC66" s="50"/>
      <c r="CD66" s="50"/>
      <c r="CE66" s="50"/>
      <c r="CF66" s="50"/>
      <c r="CG66" s="50"/>
      <c r="CH66" s="50"/>
      <c r="CI66" s="50"/>
      <c r="CJ66" s="50"/>
      <c r="CK66" s="50"/>
      <c r="CL66" s="50"/>
      <c r="CM66" s="50"/>
      <c r="CN66" s="50"/>
      <c r="CO66" s="50"/>
      <c r="CP66" s="50"/>
      <c r="CQ66" s="50"/>
      <c r="CR66" s="50"/>
      <c r="CS66" s="50"/>
      <c r="CT66" s="50"/>
      <c r="CU66" s="50"/>
      <c r="CV66" s="50"/>
      <c r="CW66" s="50"/>
      <c r="CX66" s="50"/>
      <c r="CY66" s="50"/>
      <c r="CZ66" s="50"/>
      <c r="DA66" s="50"/>
      <c r="DB66" s="50"/>
      <c r="DC66" s="50"/>
      <c r="DD66" s="50"/>
      <c r="DE66" s="50"/>
      <c r="DF66" s="50"/>
      <c r="DG66" s="50"/>
      <c r="DH66" s="50"/>
      <c r="DI66" s="50"/>
      <c r="DJ66" s="50"/>
      <c r="DK66" s="50"/>
      <c r="DL66" s="50"/>
      <c r="DM66" s="50"/>
      <c r="DN66" s="50"/>
      <c r="DO66" s="50"/>
      <c r="DP66" s="50"/>
      <c r="DQ66" s="50"/>
      <c r="DT66" s="50"/>
      <c r="DU66" s="66" t="s">
        <v>248</v>
      </c>
      <c r="DV66" s="649">
        <f>+BR5</f>
        <v>3207</v>
      </c>
      <c r="DW66" s="649">
        <f>+CA91</f>
        <v>540</v>
      </c>
      <c r="DX66" s="649">
        <f>+DW66+DV66</f>
        <v>3747</v>
      </c>
      <c r="DY66" s="66"/>
      <c r="DZ66" s="66"/>
      <c r="EA66" s="66"/>
      <c r="EB66" s="66"/>
      <c r="EC66" s="66"/>
      <c r="ED66" s="66"/>
      <c r="EE66" s="66"/>
      <c r="EF66" s="66"/>
      <c r="EG66" s="66"/>
      <c r="EH66" s="66"/>
      <c r="EI66" s="66"/>
      <c r="EJ66" s="647"/>
      <c r="EK66" s="647"/>
      <c r="EL66" s="647"/>
      <c r="EM66" s="647"/>
      <c r="EN66" s="647"/>
      <c r="EO66" s="647"/>
      <c r="EP66" s="650"/>
      <c r="EQ66" s="650"/>
      <c r="ER66" s="650"/>
      <c r="ES66" s="647"/>
      <c r="ET66" s="647"/>
      <c r="EU66" s="647"/>
      <c r="EV66" s="647"/>
      <c r="EW66" s="647"/>
    </row>
    <row r="67" spans="1:154" s="35" customFormat="1" hidden="1" outlineLevel="1">
      <c r="A67" s="619" t="s">
        <v>249</v>
      </c>
      <c r="B67" s="35">
        <f>NVDA!V67</f>
        <v>86.77</v>
      </c>
      <c r="C67" s="35">
        <f>NVDA!W67</f>
        <v>89.61</v>
      </c>
      <c r="D67" s="35">
        <f>NVDA!X67</f>
        <v>120.488</v>
      </c>
      <c r="E67" s="35">
        <f>NVDA!Y67</f>
        <v>213.87700000000001</v>
      </c>
      <c r="F67" s="35">
        <f>NVDA!AA67</f>
        <v>253.92699999999999</v>
      </c>
      <c r="G67" s="35">
        <f>NVDA!AB67</f>
        <v>285.35000000000002</v>
      </c>
      <c r="H67" s="35">
        <f>NVDA!AC67</f>
        <v>205.04300000000001</v>
      </c>
      <c r="I67" s="35">
        <f>NVDA!AD67</f>
        <v>145.04599999999999</v>
      </c>
      <c r="J67" s="35">
        <f>NVDA!AF67</f>
        <v>165.785</v>
      </c>
      <c r="K67" s="35">
        <f>NVDA!AG67</f>
        <v>217.85900000000001</v>
      </c>
      <c r="L67" s="35">
        <f>NVDA!AH67</f>
        <v>260.81900000000002</v>
      </c>
      <c r="M67" s="35">
        <f>NVDA!AI67</f>
        <v>234.238</v>
      </c>
      <c r="N67" s="35">
        <f>NVDA!AK67</f>
        <v>234.79599999999999</v>
      </c>
      <c r="O67" s="35">
        <f>NVDA!AL67</f>
        <v>266.98500000000001</v>
      </c>
      <c r="P67" s="35">
        <f>NVDA!AM67</f>
        <v>297.55099999999999</v>
      </c>
      <c r="Q67" s="35">
        <f>NVDA!AN67</f>
        <v>315.51799999999997</v>
      </c>
      <c r="R67" s="35">
        <f>NVDA!AP67</f>
        <v>307.75900000000001</v>
      </c>
      <c r="S67" s="35">
        <f>NVDA!AQ67</f>
        <v>300.95499999999998</v>
      </c>
      <c r="T67" s="35">
        <f>NVDA!AR67</f>
        <v>284.84699999999998</v>
      </c>
      <c r="U67" s="35">
        <f>NVDA!AS67</f>
        <v>254.792</v>
      </c>
      <c r="V67" s="35">
        <f>NVDA!AU67</f>
        <v>346.43099999999998</v>
      </c>
      <c r="W67" s="35">
        <f>NVDA!AV67</f>
        <v>378.661</v>
      </c>
      <c r="X67" s="35">
        <f>NVDA!AW67</f>
        <v>373.55799999999999</v>
      </c>
      <c r="Y67" s="35">
        <f>NVDA!AX67</f>
        <v>354.68</v>
      </c>
      <c r="Z67" s="35">
        <f>NVDA!AZ67</f>
        <v>332.63499999999999</v>
      </c>
      <c r="AA67" s="35">
        <f>NVDA!BA67</f>
        <v>276.30500000000001</v>
      </c>
      <c r="AB67" s="35">
        <f>NVDA!BB67</f>
        <v>306.14299999999997</v>
      </c>
      <c r="AC67" s="35">
        <f>NVDA!BC67</f>
        <v>358.52100000000002</v>
      </c>
      <c r="AD67" s="35">
        <f>NVDA!BE67</f>
        <v>420.12599999999998</v>
      </c>
      <c r="AE67" s="35">
        <f>NVDA!BF67</f>
        <v>432.279</v>
      </c>
      <c r="AF67" s="35">
        <f>NVDA!BG67</f>
        <v>523.98800000000006</v>
      </c>
      <c r="AG67" s="35">
        <f>NVDA!BH67</f>
        <v>537.83399999999995</v>
      </c>
      <c r="AH67" s="35">
        <f>NVDA!BJ67</f>
        <v>327.25900000000001</v>
      </c>
      <c r="AI67" s="35">
        <f>NVDA!BK67</f>
        <v>279.21600000000001</v>
      </c>
      <c r="AJ67" s="35">
        <f>NVDA!BL67</f>
        <v>277.64299999999997</v>
      </c>
      <c r="AK67" s="35">
        <f>NVDA!BM67</f>
        <v>330.67399999999998</v>
      </c>
      <c r="AL67" s="35">
        <f>NVDA!BO67</f>
        <v>388.13900000000001</v>
      </c>
      <c r="AM67" s="35">
        <f>NVDA!BP67</f>
        <v>434.22699999999998</v>
      </c>
      <c r="AN67" s="35">
        <f>NVDA!BQ67</f>
        <v>377.81200000000001</v>
      </c>
      <c r="AO67" s="35">
        <f>NVDA!BR67</f>
        <v>345.52499999999998</v>
      </c>
      <c r="AP67" s="35">
        <f>NVDA!BT67</f>
        <v>380.964</v>
      </c>
      <c r="AQ67" s="35">
        <f>NVDA!BU67</f>
        <v>361.911</v>
      </c>
      <c r="AR67" s="35">
        <f>NVDA!BV67</f>
        <v>319.60199999999998</v>
      </c>
      <c r="AS67" s="35">
        <f>NVDA!BW67</f>
        <v>340.29700000000003</v>
      </c>
      <c r="AT67" s="35">
        <f>NVDA!BY67</f>
        <v>342.70699999999999</v>
      </c>
      <c r="AU67" s="35">
        <f>NVDA!BZ67</f>
        <v>387.185</v>
      </c>
      <c r="AV67" s="35">
        <f>NVDA!CA67</f>
        <v>428.983</v>
      </c>
      <c r="AW67" s="35">
        <f>NVDA!CB67</f>
        <v>419.68599999999998</v>
      </c>
      <c r="AX67" s="35">
        <f>NVDA!CD67</f>
        <v>377.59699999999998</v>
      </c>
      <c r="AY67" s="35">
        <f>NVDA!CE67</f>
        <v>378.28</v>
      </c>
      <c r="AZ67" s="35">
        <f>NVDA!CF67</f>
        <v>380.31900000000002</v>
      </c>
      <c r="BA67" s="35">
        <f>NVDA!CG67</f>
        <v>387.76499999999999</v>
      </c>
      <c r="BB67" s="35">
        <f>NVDA!CI67</f>
        <v>393.28</v>
      </c>
      <c r="BC67" s="35">
        <f>NVDA!CJ67</f>
        <v>387.43400000000003</v>
      </c>
      <c r="BD67" s="35">
        <f>NVDA!CK67</f>
        <v>408.08100000000002</v>
      </c>
      <c r="BE67" s="35">
        <f>NVDA!CL67</f>
        <v>482.89299999999997</v>
      </c>
      <c r="BF67" s="35">
        <f>NVDA!CN67</f>
        <v>438</v>
      </c>
      <c r="BG67" s="35">
        <f>NVDA!CO67</f>
        <v>441</v>
      </c>
      <c r="BH67" s="35">
        <f>NVDA!CP67</f>
        <v>425</v>
      </c>
      <c r="BI67" s="35">
        <f>NVDA!CQ67</f>
        <v>418</v>
      </c>
      <c r="BJ67" s="35">
        <f>NVDA!CS67</f>
        <v>394</v>
      </c>
      <c r="BK67" s="35">
        <f>NVDA!CT67</f>
        <v>521</v>
      </c>
      <c r="BL67" s="35">
        <f>NVDA!CU67</f>
        <v>679</v>
      </c>
      <c r="BM67" s="35">
        <f>NVDA!CV67</f>
        <v>794</v>
      </c>
      <c r="BN67" s="35">
        <f>NVDA!CX67</f>
        <v>821</v>
      </c>
      <c r="BO67" s="35">
        <f>NVDA!CY67</f>
        <v>855</v>
      </c>
      <c r="BP67" s="35">
        <f>NVDA!CZ67</f>
        <v>857</v>
      </c>
      <c r="BQ67" s="35">
        <f>NVDA!DA67</f>
        <v>796</v>
      </c>
      <c r="BR67" s="35">
        <f>NVDA!DC67</f>
        <v>797</v>
      </c>
      <c r="BS67" s="35">
        <f>NVDA!DD67</f>
        <v>1090</v>
      </c>
      <c r="BT67" s="35">
        <f>NVDA!DE67</f>
        <v>1417</v>
      </c>
      <c r="BU67" s="35">
        <f>NVDA!DF67</f>
        <v>1575</v>
      </c>
      <c r="BV67" s="35">
        <f>NVDA!DH67</f>
        <v>1426</v>
      </c>
      <c r="BW67" s="35">
        <f>NVDA!DI67</f>
        <v>1204</v>
      </c>
      <c r="BX67" s="35">
        <f>NVDA!DJ67</f>
        <v>1047</v>
      </c>
      <c r="BY67" s="35">
        <f>NVDA!DK67</f>
        <v>979</v>
      </c>
      <c r="BZ67" s="35">
        <f>NVDA!DM67</f>
        <v>1128</v>
      </c>
      <c r="CA67" s="35">
        <f>NVDA!DN67</f>
        <v>1401</v>
      </c>
      <c r="CB67" s="35">
        <f>NVDA!DO67</f>
        <v>1495</v>
      </c>
      <c r="CC67" s="35">
        <f>NVDA!DP67</f>
        <v>1826</v>
      </c>
      <c r="CI67" s="48"/>
      <c r="CJ67" s="48"/>
      <c r="CK67" s="48"/>
      <c r="CL67" s="48"/>
      <c r="CM67" s="48"/>
      <c r="CN67" s="48"/>
      <c r="CO67" s="48"/>
      <c r="CP67" s="48"/>
      <c r="CQ67" s="48"/>
      <c r="CR67" s="48"/>
      <c r="CS67" s="48"/>
      <c r="CT67" s="48"/>
      <c r="CU67" s="48"/>
      <c r="CV67" s="48"/>
      <c r="CW67" s="48"/>
      <c r="CX67" s="48"/>
      <c r="CY67" s="48"/>
      <c r="CZ67" s="48"/>
      <c r="DA67" s="48"/>
      <c r="DB67" s="48"/>
      <c r="DC67" s="48"/>
      <c r="DD67" s="48"/>
      <c r="DE67" s="48"/>
      <c r="DF67" s="48"/>
      <c r="DG67" s="48"/>
      <c r="DH67" s="48"/>
      <c r="DI67" s="48"/>
      <c r="DJ67" s="48"/>
      <c r="DK67" s="48"/>
      <c r="DL67" s="48"/>
      <c r="DM67" s="48"/>
      <c r="DN67" s="48"/>
      <c r="DO67" s="48"/>
      <c r="DP67" s="48"/>
      <c r="DQ67" s="48"/>
      <c r="DU67" s="103" t="s">
        <v>250</v>
      </c>
      <c r="DV67" s="651">
        <f>+BR15</f>
        <v>2068</v>
      </c>
      <c r="DW67" s="651">
        <f>+DW66*0.7</f>
        <v>378</v>
      </c>
      <c r="DX67" s="649">
        <f>+DW67+DV67</f>
        <v>2446</v>
      </c>
      <c r="DY67" s="103"/>
      <c r="DZ67" s="103"/>
      <c r="EA67" s="103"/>
      <c r="EB67" s="103"/>
      <c r="EC67" s="103"/>
      <c r="ED67" s="103"/>
      <c r="EE67" s="103"/>
      <c r="EF67" s="103"/>
      <c r="EG67" s="103"/>
      <c r="EH67" s="103"/>
      <c r="EI67" s="103"/>
      <c r="EJ67" s="104"/>
      <c r="EK67" s="104"/>
      <c r="EL67" s="104"/>
      <c r="EM67" s="104"/>
      <c r="EN67" s="104"/>
      <c r="EO67" s="104"/>
      <c r="EP67" s="104"/>
      <c r="EQ67" s="652"/>
      <c r="ER67" s="652"/>
      <c r="ES67" s="104"/>
      <c r="ET67" s="104"/>
      <c r="EU67" s="104"/>
      <c r="EV67" s="104"/>
      <c r="EW67" s="104"/>
    </row>
    <row r="68" spans="1:154" s="52" customFormat="1" hidden="1" outlineLevel="1">
      <c r="A68" s="51" t="s">
        <v>223</v>
      </c>
      <c r="C68" s="52">
        <f t="shared" ref="C68:BN68" si="127">C67/B67-1</f>
        <v>3.2730206292497455E-2</v>
      </c>
      <c r="D68" s="52">
        <f t="shared" si="127"/>
        <v>0.34458207789309236</v>
      </c>
      <c r="E68" s="52">
        <f t="shared" si="127"/>
        <v>0.77508963548237175</v>
      </c>
      <c r="F68" s="52">
        <f t="shared" si="127"/>
        <v>0.18725716182665719</v>
      </c>
      <c r="G68" s="52">
        <f t="shared" si="127"/>
        <v>0.12374816384236431</v>
      </c>
      <c r="H68" s="52">
        <f t="shared" si="127"/>
        <v>-0.28143332749255301</v>
      </c>
      <c r="I68" s="52">
        <f t="shared" si="127"/>
        <v>-0.29260691659798199</v>
      </c>
      <c r="J68" s="52">
        <f t="shared" si="127"/>
        <v>0.14298222632819946</v>
      </c>
      <c r="K68" s="52">
        <f t="shared" si="127"/>
        <v>0.31410561872304488</v>
      </c>
      <c r="L68" s="52">
        <f t="shared" si="127"/>
        <v>0.1971917616439991</v>
      </c>
      <c r="M68" s="52">
        <f t="shared" si="127"/>
        <v>-0.10191358758372671</v>
      </c>
      <c r="N68" s="52">
        <f t="shared" si="127"/>
        <v>2.382192470905542E-3</v>
      </c>
      <c r="O68" s="52">
        <f t="shared" si="127"/>
        <v>0.13709347689057738</v>
      </c>
      <c r="P68" s="52">
        <f t="shared" si="127"/>
        <v>0.11448583253740829</v>
      </c>
      <c r="Q68" s="52">
        <f t="shared" si="127"/>
        <v>6.0382925952189748E-2</v>
      </c>
      <c r="R68" s="52">
        <f t="shared" si="127"/>
        <v>-2.4591306993578699E-2</v>
      </c>
      <c r="S68" s="52">
        <f t="shared" si="127"/>
        <v>-2.2108208045906186E-2</v>
      </c>
      <c r="T68" s="52">
        <f t="shared" si="127"/>
        <v>-5.352295193633605E-2</v>
      </c>
      <c r="U68" s="52">
        <f t="shared" si="127"/>
        <v>-0.10551278405600195</v>
      </c>
      <c r="V68" s="52">
        <f t="shared" si="127"/>
        <v>0.35966199880686989</v>
      </c>
      <c r="W68" s="52">
        <f t="shared" si="127"/>
        <v>9.3034399346478835E-2</v>
      </c>
      <c r="X68" s="52">
        <f t="shared" si="127"/>
        <v>-1.3476434066354903E-2</v>
      </c>
      <c r="Y68" s="52">
        <f t="shared" si="127"/>
        <v>-5.0535659790447496E-2</v>
      </c>
      <c r="Z68" s="52">
        <f t="shared" si="127"/>
        <v>-6.2154618247434401E-2</v>
      </c>
      <c r="AA68" s="52">
        <f t="shared" si="127"/>
        <v>-0.1693447773084612</v>
      </c>
      <c r="AB68" s="52">
        <f t="shared" si="127"/>
        <v>0.10798935958451694</v>
      </c>
      <c r="AC68" s="52">
        <f t="shared" si="127"/>
        <v>0.17108998082595406</v>
      </c>
      <c r="AD68" s="52">
        <f t="shared" si="127"/>
        <v>0.1718309387734609</v>
      </c>
      <c r="AE68" s="52">
        <f t="shared" si="127"/>
        <v>2.892703617486192E-2</v>
      </c>
      <c r="AF68" s="52">
        <f t="shared" si="127"/>
        <v>0.21215233680100143</v>
      </c>
      <c r="AG68" s="52">
        <f t="shared" si="127"/>
        <v>2.6424269258074506E-2</v>
      </c>
      <c r="AH68" s="52">
        <f t="shared" si="127"/>
        <v>-0.39152415057434065</v>
      </c>
      <c r="AI68" s="52">
        <f t="shared" si="127"/>
        <v>-0.14680421317671932</v>
      </c>
      <c r="AJ68" s="52">
        <f t="shared" si="127"/>
        <v>-5.6336313105267433E-3</v>
      </c>
      <c r="AK68" s="52">
        <f t="shared" si="127"/>
        <v>0.19100427527436326</v>
      </c>
      <c r="AL68" s="52">
        <f t="shared" si="127"/>
        <v>0.17378142823445453</v>
      </c>
      <c r="AM68" s="52">
        <f t="shared" si="127"/>
        <v>0.11874096650942056</v>
      </c>
      <c r="AN68" s="52">
        <f t="shared" si="127"/>
        <v>-0.12992052543945898</v>
      </c>
      <c r="AO68" s="52">
        <f t="shared" si="127"/>
        <v>-8.54578467597642E-2</v>
      </c>
      <c r="AP68" s="52">
        <f t="shared" si="127"/>
        <v>0.10256566095072728</v>
      </c>
      <c r="AQ68" s="52">
        <f t="shared" si="127"/>
        <v>-5.0012599615711695E-2</v>
      </c>
      <c r="AR68" s="52">
        <f t="shared" si="127"/>
        <v>-0.11690443230518011</v>
      </c>
      <c r="AS68" s="52">
        <f t="shared" si="127"/>
        <v>6.4752410810946293E-2</v>
      </c>
      <c r="AT68" s="52">
        <f t="shared" si="127"/>
        <v>7.0820489160938749E-3</v>
      </c>
      <c r="AU68" s="52">
        <f t="shared" si="127"/>
        <v>0.12978433472324769</v>
      </c>
      <c r="AV68" s="52">
        <f t="shared" si="127"/>
        <v>0.10795356225060382</v>
      </c>
      <c r="AW68" s="52">
        <f t="shared" si="127"/>
        <v>-2.1672187475960669E-2</v>
      </c>
      <c r="AX68" s="52">
        <f t="shared" si="127"/>
        <v>-0.1002868811444747</v>
      </c>
      <c r="AY68" s="52">
        <f t="shared" si="127"/>
        <v>1.8088067436976552E-3</v>
      </c>
      <c r="AZ68" s="52">
        <f t="shared" si="127"/>
        <v>5.3901871629482567E-3</v>
      </c>
      <c r="BA68" s="52">
        <f t="shared" si="127"/>
        <v>1.9578301373320839E-2</v>
      </c>
      <c r="BB68" s="52">
        <f t="shared" si="127"/>
        <v>1.4222531688006912E-2</v>
      </c>
      <c r="BC68" s="52">
        <f t="shared" si="127"/>
        <v>-1.4864727420667023E-2</v>
      </c>
      <c r="BD68" s="52">
        <f t="shared" si="127"/>
        <v>5.3291657417779525E-2</v>
      </c>
      <c r="BE68" s="52">
        <f t="shared" si="127"/>
        <v>0.18332634942572668</v>
      </c>
      <c r="BF68" s="52">
        <f t="shared" si="127"/>
        <v>-9.2966764894086173E-2</v>
      </c>
      <c r="BG68" s="52">
        <f t="shared" si="127"/>
        <v>6.8493150684931781E-3</v>
      </c>
      <c r="BH68" s="52">
        <f t="shared" si="127"/>
        <v>-3.6281179138321962E-2</v>
      </c>
      <c r="BI68" s="52">
        <f t="shared" si="127"/>
        <v>-1.6470588235294126E-2</v>
      </c>
      <c r="BJ68" s="52">
        <f t="shared" si="127"/>
        <v>-5.7416267942583699E-2</v>
      </c>
      <c r="BK68" s="52">
        <f t="shared" si="127"/>
        <v>0.32233502538071068</v>
      </c>
      <c r="BL68" s="52">
        <f t="shared" si="127"/>
        <v>0.30326295585412666</v>
      </c>
      <c r="BM68" s="52">
        <f t="shared" si="127"/>
        <v>0.1693667157584684</v>
      </c>
      <c r="BN68" s="52">
        <f t="shared" si="127"/>
        <v>3.400503778337538E-2</v>
      </c>
      <c r="BO68" s="52">
        <f t="shared" ref="BO68:CC68" si="128">BO67/BN67-1</f>
        <v>4.1412911084043769E-2</v>
      </c>
      <c r="BP68" s="52">
        <f t="shared" si="128"/>
        <v>2.3391812865496409E-3</v>
      </c>
      <c r="BQ68" s="52">
        <f t="shared" si="128"/>
        <v>-7.1178529754959197E-2</v>
      </c>
      <c r="BR68" s="52">
        <f t="shared" si="128"/>
        <v>1.2562814070351536E-3</v>
      </c>
      <c r="BS68" s="52">
        <f t="shared" si="128"/>
        <v>0.36762860727728985</v>
      </c>
      <c r="BT68" s="52">
        <f t="shared" si="128"/>
        <v>0.30000000000000004</v>
      </c>
      <c r="BU68" s="52">
        <f t="shared" si="128"/>
        <v>0.1115031757233591</v>
      </c>
      <c r="BV68" s="52">
        <f t="shared" si="128"/>
        <v>-9.4603174603174578E-2</v>
      </c>
      <c r="BW68" s="52">
        <f t="shared" si="128"/>
        <v>-0.15568022440392704</v>
      </c>
      <c r="BX68" s="52">
        <f t="shared" si="128"/>
        <v>-0.13039867109634551</v>
      </c>
      <c r="BY68" s="52">
        <f t="shared" si="128"/>
        <v>-6.4947468958930332E-2</v>
      </c>
      <c r="BZ68" s="52">
        <f t="shared" si="128"/>
        <v>0.15219611848825343</v>
      </c>
      <c r="CA68" s="52">
        <f t="shared" si="128"/>
        <v>0.24202127659574457</v>
      </c>
      <c r="CB68" s="52">
        <f t="shared" si="128"/>
        <v>6.7094932191291923E-2</v>
      </c>
      <c r="CC68" s="52">
        <f t="shared" si="128"/>
        <v>0.22140468227424748</v>
      </c>
      <c r="CI68" s="53"/>
      <c r="CJ68" s="53"/>
      <c r="CK68" s="53"/>
      <c r="CL68" s="53"/>
      <c r="CM68" s="53"/>
      <c r="CN68" s="53"/>
      <c r="CO68" s="53"/>
      <c r="CP68" s="53"/>
      <c r="CQ68" s="53"/>
      <c r="CR68" s="53"/>
      <c r="CS68" s="53"/>
      <c r="CT68" s="53"/>
      <c r="CU68" s="53"/>
      <c r="CV68" s="53"/>
      <c r="CW68" s="53"/>
      <c r="CX68" s="53"/>
      <c r="CY68" s="53"/>
      <c r="CZ68" s="53"/>
      <c r="DA68" s="53"/>
      <c r="DB68" s="53"/>
      <c r="DC68" s="53"/>
      <c r="DD68" s="53"/>
      <c r="DE68" s="53"/>
      <c r="DF68" s="53"/>
      <c r="DG68" s="53"/>
      <c r="DH68" s="53"/>
      <c r="DI68" s="53"/>
      <c r="DJ68" s="53"/>
      <c r="DK68" s="53"/>
      <c r="DL68" s="53"/>
      <c r="DM68" s="53"/>
      <c r="DN68" s="53"/>
      <c r="DO68" s="53"/>
      <c r="DP68" s="53"/>
      <c r="DQ68" s="53"/>
      <c r="DU68" s="62" t="s">
        <v>251</v>
      </c>
      <c r="DV68" s="649">
        <f>+BR21</f>
        <v>769</v>
      </c>
      <c r="DW68" s="649">
        <f>+CB269</f>
        <v>276.75</v>
      </c>
      <c r="DX68" s="649">
        <f>+DW68+DV68</f>
        <v>1045.75</v>
      </c>
      <c r="DY68" s="62"/>
      <c r="DZ68" s="62"/>
      <c r="EA68" s="62"/>
      <c r="EB68" s="62"/>
      <c r="EC68" s="62"/>
      <c r="ED68" s="62"/>
      <c r="EE68" s="62"/>
      <c r="EF68" s="62"/>
      <c r="EG68" s="62"/>
      <c r="EH68" s="62"/>
      <c r="EI68" s="653"/>
      <c r="EJ68" s="654"/>
      <c r="EK68" s="654"/>
      <c r="EL68" s="654"/>
      <c r="EM68" s="60"/>
      <c r="EN68" s="60"/>
      <c r="EO68" s="60"/>
      <c r="EP68" s="60"/>
      <c r="EQ68" s="60"/>
      <c r="ER68" s="60"/>
      <c r="ES68" s="60"/>
      <c r="ET68" s="60"/>
      <c r="EU68" s="60"/>
      <c r="EV68" s="60"/>
      <c r="EW68" s="60"/>
    </row>
    <row r="69" spans="1:154" s="52" customFormat="1" hidden="1" outlineLevel="1">
      <c r="A69" s="51" t="s">
        <v>225</v>
      </c>
      <c r="F69" s="52">
        <f t="shared" ref="F69:BQ69" si="129">F67/B67-1</f>
        <v>1.9264377088855595</v>
      </c>
      <c r="G69" s="52">
        <f t="shared" si="129"/>
        <v>2.1843544247293831</v>
      </c>
      <c r="H69" s="52">
        <f t="shared" si="129"/>
        <v>0.70177113073501096</v>
      </c>
      <c r="I69" s="52">
        <f t="shared" si="129"/>
        <v>-0.32182516119077798</v>
      </c>
      <c r="J69" s="52">
        <f t="shared" si="129"/>
        <v>-0.34711550957558668</v>
      </c>
      <c r="K69" s="52">
        <f t="shared" si="129"/>
        <v>-0.23652006308042761</v>
      </c>
      <c r="L69" s="52">
        <f t="shared" si="129"/>
        <v>0.27202099071901986</v>
      </c>
      <c r="M69" s="52">
        <f t="shared" si="129"/>
        <v>0.61492216262427091</v>
      </c>
      <c r="N69" s="52">
        <f t="shared" si="129"/>
        <v>0.41626805802696265</v>
      </c>
      <c r="O69" s="52">
        <f t="shared" si="129"/>
        <v>0.22549447119467181</v>
      </c>
      <c r="P69" s="52">
        <f t="shared" si="129"/>
        <v>0.14083329818763191</v>
      </c>
      <c r="Q69" s="52">
        <f t="shared" si="129"/>
        <v>0.34699749827098914</v>
      </c>
      <c r="R69" s="52">
        <f t="shared" si="129"/>
        <v>0.31075060903933638</v>
      </c>
      <c r="S69" s="52">
        <f t="shared" si="129"/>
        <v>0.12723561248759285</v>
      </c>
      <c r="T69" s="52">
        <f t="shared" si="129"/>
        <v>-4.2695201830946661E-2</v>
      </c>
      <c r="U69" s="52">
        <f t="shared" si="129"/>
        <v>-0.19246445527671951</v>
      </c>
      <c r="V69" s="52">
        <f t="shared" si="129"/>
        <v>0.12565676389642544</v>
      </c>
      <c r="W69" s="52">
        <f t="shared" si="129"/>
        <v>0.25819806947882573</v>
      </c>
      <c r="X69" s="52">
        <f t="shared" si="129"/>
        <v>0.31143385747436358</v>
      </c>
      <c r="Y69" s="52">
        <f t="shared" si="129"/>
        <v>0.39203742660680096</v>
      </c>
      <c r="Z69" s="52">
        <f t="shared" si="129"/>
        <v>-3.9823225981508559E-2</v>
      </c>
      <c r="AA69" s="52">
        <f t="shared" si="129"/>
        <v>-0.27031038316594524</v>
      </c>
      <c r="AB69" s="52">
        <f t="shared" si="129"/>
        <v>-0.18046729021999264</v>
      </c>
      <c r="AC69" s="52">
        <f t="shared" si="129"/>
        <v>1.0829480094733279E-2</v>
      </c>
      <c r="AD69" s="52">
        <f t="shared" si="129"/>
        <v>0.26302403535406671</v>
      </c>
      <c r="AE69" s="52">
        <f t="shared" si="129"/>
        <v>0.56449937568990793</v>
      </c>
      <c r="AF69" s="52">
        <f t="shared" si="129"/>
        <v>0.71157922931440565</v>
      </c>
      <c r="AG69" s="52">
        <f t="shared" si="129"/>
        <v>0.50014643493686539</v>
      </c>
      <c r="AH69" s="52">
        <f t="shared" si="129"/>
        <v>-0.22104559108457933</v>
      </c>
      <c r="AI69" s="52">
        <f t="shared" si="129"/>
        <v>-0.3540838208656909</v>
      </c>
      <c r="AJ69" s="52">
        <f t="shared" si="129"/>
        <v>-0.47013481224760878</v>
      </c>
      <c r="AK69" s="52">
        <f t="shared" si="129"/>
        <v>-0.38517460777860824</v>
      </c>
      <c r="AL69" s="52">
        <f t="shared" si="129"/>
        <v>0.18603002514827693</v>
      </c>
      <c r="AM69" s="52">
        <f t="shared" si="129"/>
        <v>0.55516517678070021</v>
      </c>
      <c r="AN69" s="52">
        <f t="shared" si="129"/>
        <v>0.36078345213097407</v>
      </c>
      <c r="AO69" s="52">
        <f t="shared" si="129"/>
        <v>4.4911302370310269E-2</v>
      </c>
      <c r="AP69" s="52">
        <f t="shared" si="129"/>
        <v>-1.8485645606342138E-2</v>
      </c>
      <c r="AQ69" s="52">
        <f t="shared" si="129"/>
        <v>-0.16653962098165243</v>
      </c>
      <c r="AR69" s="52">
        <f t="shared" si="129"/>
        <v>-0.15407133706711285</v>
      </c>
      <c r="AS69" s="52">
        <f t="shared" si="129"/>
        <v>-1.5130598364807013E-2</v>
      </c>
      <c r="AT69" s="52">
        <f t="shared" si="129"/>
        <v>-0.10042156214235465</v>
      </c>
      <c r="AU69" s="52">
        <f t="shared" si="129"/>
        <v>6.9834848899315016E-2</v>
      </c>
      <c r="AV69" s="52">
        <f t="shared" si="129"/>
        <v>0.34224128760145445</v>
      </c>
      <c r="AW69" s="52">
        <f t="shared" si="129"/>
        <v>0.23329327029036384</v>
      </c>
      <c r="AX69" s="52">
        <f t="shared" si="129"/>
        <v>0.10180708301843855</v>
      </c>
      <c r="AY69" s="52">
        <f t="shared" si="129"/>
        <v>-2.2999341400105955E-2</v>
      </c>
      <c r="AZ69" s="52">
        <f t="shared" si="129"/>
        <v>-0.1134403927428359</v>
      </c>
      <c r="BA69" s="52">
        <f t="shared" si="129"/>
        <v>-7.6059244292161265E-2</v>
      </c>
      <c r="BB69" s="52">
        <f t="shared" si="129"/>
        <v>4.1533698625783488E-2</v>
      </c>
      <c r="BC69" s="52">
        <f t="shared" si="129"/>
        <v>2.4199006027281422E-2</v>
      </c>
      <c r="BD69" s="52">
        <f t="shared" si="129"/>
        <v>7.2996615998674796E-2</v>
      </c>
      <c r="BE69" s="52">
        <f t="shared" si="129"/>
        <v>0.24532384304926946</v>
      </c>
      <c r="BF69" s="52">
        <f t="shared" si="129"/>
        <v>0.11371033360455662</v>
      </c>
      <c r="BG69" s="52">
        <f t="shared" si="129"/>
        <v>0.13825838723498696</v>
      </c>
      <c r="BH69" s="52">
        <f t="shared" si="129"/>
        <v>4.145990624410345E-2</v>
      </c>
      <c r="BI69" s="52">
        <f t="shared" si="129"/>
        <v>-0.1343838075929864</v>
      </c>
      <c r="BJ69" s="52">
        <f t="shared" si="129"/>
        <v>-0.1004566210045662</v>
      </c>
      <c r="BK69" s="52">
        <f t="shared" si="129"/>
        <v>0.18140589569161003</v>
      </c>
      <c r="BL69" s="52">
        <f t="shared" si="129"/>
        <v>0.59764705882352942</v>
      </c>
      <c r="BM69" s="52">
        <f t="shared" si="129"/>
        <v>0.8995215311004785</v>
      </c>
      <c r="BN69" s="52">
        <f t="shared" si="129"/>
        <v>1.0837563451776648</v>
      </c>
      <c r="BO69" s="52">
        <f t="shared" si="129"/>
        <v>0.64107485604606529</v>
      </c>
      <c r="BP69" s="52">
        <f t="shared" si="129"/>
        <v>0.26215022091310747</v>
      </c>
      <c r="BQ69" s="52">
        <f t="shared" si="129"/>
        <v>2.5188916876575096E-3</v>
      </c>
      <c r="BR69" s="52">
        <f t="shared" ref="BR69:CC69" si="130">BR67/BN67-1</f>
        <v>-2.9232643118148549E-2</v>
      </c>
      <c r="BS69" s="52">
        <f t="shared" si="130"/>
        <v>0.27485380116959068</v>
      </c>
      <c r="BT69" s="52">
        <f t="shared" si="130"/>
        <v>0.65344224037339549</v>
      </c>
      <c r="BU69" s="52">
        <f t="shared" si="130"/>
        <v>0.97864321608040195</v>
      </c>
      <c r="BV69" s="52">
        <f t="shared" si="130"/>
        <v>0.78920953575909669</v>
      </c>
      <c r="BW69" s="52">
        <f t="shared" si="130"/>
        <v>0.1045871559633027</v>
      </c>
      <c r="BX69" s="52">
        <f t="shared" si="130"/>
        <v>-0.26111503175723361</v>
      </c>
      <c r="BY69" s="52">
        <f t="shared" si="130"/>
        <v>-0.37841269841269842</v>
      </c>
      <c r="BZ69" s="52">
        <f t="shared" si="130"/>
        <v>-0.20897615708274897</v>
      </c>
      <c r="CA69" s="52">
        <f t="shared" si="130"/>
        <v>0.16362126245847186</v>
      </c>
      <c r="CB69" s="52">
        <f t="shared" si="130"/>
        <v>0.42788920725883473</v>
      </c>
      <c r="CC69" s="52">
        <f t="shared" si="130"/>
        <v>0.86516853932584259</v>
      </c>
      <c r="CI69" s="53"/>
      <c r="CJ69" s="53"/>
      <c r="CK69" s="53"/>
      <c r="CL69" s="53"/>
      <c r="CM69" s="53"/>
      <c r="CN69" s="53"/>
      <c r="CO69" s="53"/>
      <c r="CP69" s="53"/>
      <c r="CQ69" s="53"/>
      <c r="CR69" s="53"/>
      <c r="CS69" s="53"/>
      <c r="CT69" s="53"/>
      <c r="CU69" s="53"/>
      <c r="CV69" s="53"/>
      <c r="CW69" s="53"/>
      <c r="CX69" s="53"/>
      <c r="CY69" s="53"/>
      <c r="CZ69" s="53"/>
      <c r="DA69" s="53"/>
      <c r="DB69" s="53"/>
      <c r="DC69" s="53"/>
      <c r="DD69" s="53"/>
      <c r="DE69" s="53"/>
      <c r="DF69" s="53"/>
      <c r="DG69" s="53"/>
      <c r="DH69" s="53"/>
      <c r="DI69" s="53"/>
      <c r="DJ69" s="53"/>
      <c r="DK69" s="53"/>
      <c r="DL69" s="53"/>
      <c r="DM69" s="53"/>
      <c r="DN69" s="53"/>
      <c r="DO69" s="53"/>
      <c r="DP69" s="53"/>
      <c r="DQ69" s="53"/>
      <c r="DU69" s="62" t="s">
        <v>252</v>
      </c>
      <c r="DV69" s="653">
        <f>+DV67-DV68</f>
        <v>1299</v>
      </c>
      <c r="DW69" s="653">
        <f>+DW67-DW68</f>
        <v>101.25</v>
      </c>
      <c r="DX69" s="653">
        <f>+DX67-DX68</f>
        <v>1400.25</v>
      </c>
      <c r="DY69" s="62"/>
      <c r="DZ69" s="62"/>
      <c r="EA69" s="62"/>
      <c r="EB69" s="62"/>
      <c r="EC69" s="62"/>
      <c r="ED69" s="62"/>
      <c r="EE69" s="62"/>
      <c r="EF69" s="62"/>
      <c r="EG69" s="62"/>
      <c r="EH69" s="62"/>
      <c r="EI69" s="653"/>
      <c r="EJ69" s="654"/>
      <c r="EK69" s="654"/>
      <c r="EL69" s="654"/>
      <c r="EM69" s="60"/>
      <c r="EN69" s="60"/>
      <c r="EO69" s="60"/>
      <c r="EP69" s="60"/>
      <c r="EQ69" s="60"/>
      <c r="ER69" s="60"/>
      <c r="ES69" s="60"/>
      <c r="ET69" s="60"/>
      <c r="EU69" s="60"/>
      <c r="EV69" s="60"/>
      <c r="EW69" s="60"/>
    </row>
    <row r="70" spans="1:154" s="49" customFormat="1" hidden="1" outlineLevel="1">
      <c r="A70" s="69" t="s">
        <v>253</v>
      </c>
      <c r="E70" s="49">
        <f t="shared" ref="E70:BP70" si="131">E67/(E8+D8+C8+B8)*365</f>
        <v>96.765886739502847</v>
      </c>
      <c r="F70" s="49">
        <f t="shared" si="131"/>
        <v>90.059472275260291</v>
      </c>
      <c r="G70" s="49">
        <f t="shared" si="131"/>
        <v>88.638148886031303</v>
      </c>
      <c r="H70" s="49">
        <f t="shared" si="131"/>
        <v>59.332299810842393</v>
      </c>
      <c r="I70" s="49">
        <f t="shared" si="131"/>
        <v>42.419436643417157</v>
      </c>
      <c r="J70" s="49">
        <f t="shared" si="131"/>
        <v>52.72866812710329</v>
      </c>
      <c r="K70" s="49">
        <f t="shared" si="131"/>
        <v>68.26340183263828</v>
      </c>
      <c r="L70" s="49">
        <f t="shared" si="131"/>
        <v>80.131490344552432</v>
      </c>
      <c r="M70" s="49">
        <f t="shared" si="131"/>
        <v>70.539003721790579</v>
      </c>
      <c r="N70" s="49">
        <f t="shared" si="131"/>
        <v>68.601538041594523</v>
      </c>
      <c r="O70" s="49">
        <f t="shared" si="131"/>
        <v>79.165789976075487</v>
      </c>
      <c r="P70" s="49">
        <f t="shared" si="131"/>
        <v>88.536487043911947</v>
      </c>
      <c r="Q70" s="49">
        <f t="shared" si="131"/>
        <v>91.549004332445634</v>
      </c>
      <c r="R70" s="49">
        <f t="shared" si="131"/>
        <v>85.940353899837291</v>
      </c>
      <c r="S70" s="49">
        <f t="shared" si="131"/>
        <v>81.507999165988352</v>
      </c>
      <c r="T70" s="49">
        <f t="shared" si="131"/>
        <v>76.809080196955534</v>
      </c>
      <c r="U70" s="49">
        <f t="shared" si="131"/>
        <v>68.035744724434224</v>
      </c>
      <c r="V70" s="49">
        <f t="shared" si="131"/>
        <v>91.151725972413857</v>
      </c>
      <c r="W70" s="49">
        <f t="shared" si="131"/>
        <v>96.929346930388377</v>
      </c>
      <c r="X70" s="49">
        <f t="shared" si="131"/>
        <v>88.49379304257414</v>
      </c>
      <c r="Y70" s="49">
        <f t="shared" si="131"/>
        <v>78.709477370558631</v>
      </c>
      <c r="Z70" s="49">
        <f t="shared" si="131"/>
        <v>71.064830125287898</v>
      </c>
      <c r="AA70" s="49">
        <f t="shared" si="131"/>
        <v>55.51496957863673</v>
      </c>
      <c r="AB70" s="49">
        <f t="shared" si="131"/>
        <v>57.656547816225029</v>
      </c>
      <c r="AC70" s="49">
        <f t="shared" si="131"/>
        <v>62.451519718543778</v>
      </c>
      <c r="AD70" s="49">
        <f t="shared" si="131"/>
        <v>67.859204068384031</v>
      </c>
      <c r="AE70" s="49">
        <f t="shared" si="131"/>
        <v>69.166065010435275</v>
      </c>
      <c r="AF70" s="49">
        <f t="shared" si="131"/>
        <v>85.229739202433507</v>
      </c>
      <c r="AG70" s="49">
        <f t="shared" si="131"/>
        <v>102.28587819133054</v>
      </c>
      <c r="AH70" s="49">
        <f t="shared" si="131"/>
        <v>68.765387358748328</v>
      </c>
      <c r="AI70" s="49">
        <f t="shared" si="131"/>
        <v>60.409209404774465</v>
      </c>
      <c r="AJ70" s="49">
        <f t="shared" si="131"/>
        <v>61.612767998715931</v>
      </c>
      <c r="AK70" s="49">
        <f t="shared" si="131"/>
        <v>65.271711267773199</v>
      </c>
      <c r="AL70" s="49">
        <f t="shared" si="131"/>
        <v>73.3134349135116</v>
      </c>
      <c r="AM70" s="49">
        <f t="shared" si="131"/>
        <v>82.089005585411627</v>
      </c>
      <c r="AN70" s="49">
        <f t="shared" si="131"/>
        <v>74.614691209730637</v>
      </c>
      <c r="AO70" s="49">
        <f t="shared" si="131"/>
        <v>71.412221261502452</v>
      </c>
      <c r="AP70" s="49">
        <f t="shared" si="131"/>
        <v>81.914710872331398</v>
      </c>
      <c r="AQ70" s="49">
        <f t="shared" si="131"/>
        <v>78.282606711689397</v>
      </c>
      <c r="AR70" s="49">
        <f t="shared" si="131"/>
        <v>67.060946817335449</v>
      </c>
      <c r="AS70" s="49">
        <f t="shared" si="131"/>
        <v>71.800584192916631</v>
      </c>
      <c r="AT70" s="49">
        <f t="shared" si="131"/>
        <v>73.272687706703181</v>
      </c>
      <c r="AU70" s="49">
        <f t="shared" si="131"/>
        <v>82.382668586485096</v>
      </c>
      <c r="AV70" s="49">
        <f t="shared" si="131"/>
        <v>88.528567333510111</v>
      </c>
      <c r="AW70" s="49">
        <f t="shared" si="131"/>
        <v>83.823200447391542</v>
      </c>
      <c r="AX70" s="49">
        <f t="shared" si="131"/>
        <v>76.700930553785511</v>
      </c>
      <c r="AY70" s="49">
        <f t="shared" si="131"/>
        <v>80.410063240310251</v>
      </c>
      <c r="AZ70" s="49">
        <f t="shared" si="131"/>
        <v>86.027798934447532</v>
      </c>
      <c r="BA70" s="49">
        <f t="shared" si="131"/>
        <v>86.975255838991487</v>
      </c>
      <c r="BB70" s="49">
        <f t="shared" si="131"/>
        <v>84.72020245896995</v>
      </c>
      <c r="BC70" s="49">
        <f t="shared" si="131"/>
        <v>80.575559203460202</v>
      </c>
      <c r="BD70" s="49">
        <f t="shared" si="131"/>
        <v>80.867390122911189</v>
      </c>
      <c r="BE70" s="49">
        <f t="shared" si="131"/>
        <v>94.693041034953325</v>
      </c>
      <c r="BF70" s="49">
        <f t="shared" si="131"/>
        <v>85.866761769821011</v>
      </c>
      <c r="BG70" s="49">
        <f t="shared" si="131"/>
        <v>85.45626846535481</v>
      </c>
      <c r="BH70" s="49">
        <f t="shared" si="131"/>
        <v>81.093683919429594</v>
      </c>
      <c r="BI70" s="49">
        <f t="shared" si="131"/>
        <v>77.211538461538467</v>
      </c>
      <c r="BJ70" s="49">
        <f t="shared" si="131"/>
        <v>70.80748399803052</v>
      </c>
      <c r="BK70" s="49">
        <f t="shared" si="131"/>
        <v>89.028558052434462</v>
      </c>
      <c r="BL70" s="49">
        <f t="shared" si="131"/>
        <v>103.87049455155072</v>
      </c>
      <c r="BM70" s="49">
        <f t="shared" si="131"/>
        <v>109.3622641509434</v>
      </c>
      <c r="BN70" s="49">
        <f t="shared" si="131"/>
        <v>103.65444482877898</v>
      </c>
      <c r="BO70" s="49">
        <f t="shared" si="131"/>
        <v>97.068429237947129</v>
      </c>
      <c r="BP70" s="49">
        <f t="shared" si="131"/>
        <v>90.432205839838105</v>
      </c>
      <c r="BQ70" s="49">
        <f t="shared" ref="BQ70:CC70" si="132">BQ67/(BQ8+BP8+BO8+BN8)*365</f>
        <v>78.694474539544956</v>
      </c>
      <c r="BR70" s="49">
        <f t="shared" si="132"/>
        <v>72.113287059990085</v>
      </c>
      <c r="BS70" s="49">
        <f t="shared" si="132"/>
        <v>93.744109330819981</v>
      </c>
      <c r="BT70" s="49">
        <f t="shared" si="132"/>
        <v>117.41316685584563</v>
      </c>
      <c r="BU70" s="49">
        <f t="shared" si="132"/>
        <v>135.32838983050848</v>
      </c>
      <c r="BV70" s="49">
        <f t="shared" si="132"/>
        <v>130.48132364001003</v>
      </c>
      <c r="BW70" s="49">
        <f t="shared" si="132"/>
        <v>114.32362122788763</v>
      </c>
      <c r="BX70" s="49">
        <f t="shared" si="132"/>
        <v>104.07271241830065</v>
      </c>
      <c r="BY70" s="49">
        <f t="shared" si="132"/>
        <v>95.187799680340959</v>
      </c>
      <c r="BZ70" s="49">
        <f t="shared" si="132"/>
        <v>105.59630674531931</v>
      </c>
      <c r="CA70" s="49">
        <f t="shared" si="132"/>
        <v>125.7970479704797</v>
      </c>
      <c r="CB70" s="49">
        <f t="shared" si="132"/>
        <v>123.48381986874858</v>
      </c>
      <c r="CC70" s="49">
        <f t="shared" si="132"/>
        <v>135.90742251223492</v>
      </c>
      <c r="CI70" s="633"/>
      <c r="CJ70" s="633"/>
      <c r="CK70" s="633"/>
      <c r="CL70" s="633"/>
      <c r="CM70" s="633"/>
      <c r="CN70" s="633"/>
      <c r="CO70" s="633"/>
      <c r="CP70" s="633"/>
      <c r="CQ70" s="633"/>
      <c r="CR70" s="633"/>
      <c r="CS70" s="633"/>
      <c r="CT70" s="633"/>
      <c r="CU70" s="633"/>
      <c r="CV70" s="633"/>
      <c r="CW70" s="633"/>
      <c r="CX70" s="633"/>
      <c r="CY70" s="633"/>
      <c r="CZ70" s="633"/>
      <c r="DA70" s="633"/>
      <c r="DB70" s="633"/>
      <c r="DC70" s="633"/>
      <c r="DD70" s="633"/>
      <c r="DE70" s="633"/>
      <c r="DF70" s="633"/>
      <c r="DG70" s="633"/>
      <c r="DH70" s="633"/>
      <c r="DI70" s="633"/>
      <c r="DJ70" s="633"/>
      <c r="DK70" s="633"/>
      <c r="DL70" s="633"/>
      <c r="DM70" s="633"/>
      <c r="DN70" s="633"/>
      <c r="DO70" s="633"/>
      <c r="DP70" s="633"/>
      <c r="DQ70" s="633"/>
      <c r="DU70" s="655"/>
      <c r="DV70" s="653"/>
      <c r="DW70" s="655"/>
      <c r="DX70" s="66">
        <f>+DX69/DV69-1</f>
        <v>7.7944572748267937E-2</v>
      </c>
      <c r="DY70" s="655"/>
      <c r="DZ70" s="655"/>
      <c r="EA70" s="655"/>
      <c r="EB70" s="655"/>
      <c r="EC70" s="655"/>
      <c r="ED70" s="655"/>
      <c r="EE70" s="655"/>
      <c r="EF70" s="655"/>
      <c r="EG70" s="655"/>
      <c r="EH70" s="655"/>
      <c r="EI70" s="656"/>
      <c r="EJ70" s="654"/>
      <c r="EK70" s="654"/>
      <c r="EL70" s="654"/>
      <c r="EM70" s="117"/>
      <c r="EN70" s="117"/>
      <c r="EO70" s="117"/>
      <c r="EP70" s="657"/>
      <c r="EQ70" s="657"/>
      <c r="ER70" s="657"/>
      <c r="ES70" s="657"/>
      <c r="ET70" s="657"/>
      <c r="EU70" s="657"/>
      <c r="EV70" s="657"/>
      <c r="EW70" s="657"/>
    </row>
    <row r="71" spans="1:154" s="49" customFormat="1" hidden="1" outlineLevel="1">
      <c r="A71" s="69" t="s">
        <v>254</v>
      </c>
      <c r="B71" s="49">
        <f t="shared" ref="B71:BM71" si="133">B67/(B8+C8+D8+E8)*365</f>
        <v>39.257965991605744</v>
      </c>
      <c r="C71" s="49">
        <f t="shared" si="133"/>
        <v>31.781690448774942</v>
      </c>
      <c r="D71" s="49">
        <f t="shared" si="133"/>
        <v>37.427136088943882</v>
      </c>
      <c r="E71" s="49">
        <f t="shared" si="133"/>
        <v>61.888551604509978</v>
      </c>
      <c r="F71" s="49">
        <f t="shared" si="133"/>
        <v>74.262236039277113</v>
      </c>
      <c r="G71" s="49">
        <f t="shared" si="133"/>
        <v>90.756856471145937</v>
      </c>
      <c r="H71" s="49">
        <f t="shared" si="133"/>
        <v>64.247667996133515</v>
      </c>
      <c r="I71" s="49">
        <f t="shared" si="133"/>
        <v>44.562520937952947</v>
      </c>
      <c r="J71" s="49">
        <f t="shared" si="133"/>
        <v>49.924900024833946</v>
      </c>
      <c r="K71" s="49">
        <f t="shared" si="133"/>
        <v>63.65296885894027</v>
      </c>
      <c r="L71" s="49">
        <f t="shared" si="133"/>
        <v>77.337461564395127</v>
      </c>
      <c r="M71" s="49">
        <f t="shared" si="133"/>
        <v>69.697664105285639</v>
      </c>
      <c r="N71" s="49">
        <f t="shared" si="133"/>
        <v>68.12714336817838</v>
      </c>
      <c r="O71" s="49">
        <f t="shared" si="133"/>
        <v>74.554392839683189</v>
      </c>
      <c r="P71" s="49">
        <f t="shared" si="133"/>
        <v>80.586089813556839</v>
      </c>
      <c r="Q71" s="49">
        <f t="shared" si="133"/>
        <v>85.079524676696664</v>
      </c>
      <c r="R71" s="49">
        <f t="shared" si="133"/>
        <v>82.179239382112286</v>
      </c>
      <c r="S71" s="49">
        <f t="shared" si="133"/>
        <v>79.18623821201858</v>
      </c>
      <c r="T71" s="49">
        <f t="shared" si="133"/>
        <v>72.914912507705679</v>
      </c>
      <c r="U71" s="49">
        <f t="shared" si="133"/>
        <v>60.358794395792756</v>
      </c>
      <c r="V71" s="49">
        <f t="shared" si="133"/>
        <v>76.878885065298277</v>
      </c>
      <c r="W71" s="49">
        <f t="shared" si="133"/>
        <v>80.897920062746394</v>
      </c>
      <c r="X71" s="49">
        <f t="shared" si="133"/>
        <v>75.054961024434533</v>
      </c>
      <c r="Y71" s="49">
        <f t="shared" si="133"/>
        <v>66.797621959210872</v>
      </c>
      <c r="Z71" s="49">
        <f t="shared" si="133"/>
        <v>57.94238346311041</v>
      </c>
      <c r="AA71" s="49">
        <f t="shared" si="133"/>
        <v>44.629081228285933</v>
      </c>
      <c r="AB71" s="49">
        <f t="shared" si="133"/>
        <v>48.983889202319993</v>
      </c>
      <c r="AC71" s="49">
        <f t="shared" si="133"/>
        <v>58.315555563477908</v>
      </c>
      <c r="AD71" s="49">
        <f t="shared" si="133"/>
        <v>79.900037671495184</v>
      </c>
      <c r="AE71" s="49">
        <f t="shared" si="133"/>
        <v>90.832743735244463</v>
      </c>
      <c r="AF71" s="49">
        <f t="shared" si="133"/>
        <v>113.36635729180622</v>
      </c>
      <c r="AG71" s="49">
        <f t="shared" si="133"/>
        <v>119.35269919940853</v>
      </c>
      <c r="AH71" s="49">
        <f t="shared" si="133"/>
        <v>64.597624723383731</v>
      </c>
      <c r="AI71" s="49">
        <f t="shared" si="133"/>
        <v>52.739570212761549</v>
      </c>
      <c r="AJ71" s="49">
        <f t="shared" si="133"/>
        <v>52.487380512382778</v>
      </c>
      <c r="AK71" s="49">
        <f t="shared" si="133"/>
        <v>65.305332813903391</v>
      </c>
      <c r="AL71" s="49">
        <f t="shared" si="133"/>
        <v>80.219573542343682</v>
      </c>
      <c r="AM71" s="49">
        <f t="shared" si="133"/>
        <v>93.367297587068194</v>
      </c>
      <c r="AN71" s="49">
        <f t="shared" si="133"/>
        <v>81.722048257601429</v>
      </c>
      <c r="AO71" s="49">
        <f t="shared" si="133"/>
        <v>72.500277373295006</v>
      </c>
      <c r="AP71" s="49">
        <f t="shared" si="133"/>
        <v>80.381072288237291</v>
      </c>
      <c r="AQ71" s="49">
        <f t="shared" si="133"/>
        <v>77.378611118595941</v>
      </c>
      <c r="AR71" s="49">
        <f t="shared" si="133"/>
        <v>68.002803945343459</v>
      </c>
      <c r="AS71" s="49">
        <f t="shared" si="133"/>
        <v>70.226572796338061</v>
      </c>
      <c r="AT71" s="49">
        <f t="shared" si="133"/>
        <v>68.448310297994738</v>
      </c>
      <c r="AU71" s="49">
        <f t="shared" si="133"/>
        <v>78.648532155889598</v>
      </c>
      <c r="AV71" s="49">
        <f t="shared" si="133"/>
        <v>91.187877125457391</v>
      </c>
      <c r="AW71" s="49">
        <f t="shared" si="133"/>
        <v>94.932577188104034</v>
      </c>
      <c r="AX71" s="49">
        <f t="shared" si="133"/>
        <v>84.694584810479739</v>
      </c>
      <c r="AY71" s="49">
        <f t="shared" si="133"/>
        <v>81.488909138982791</v>
      </c>
      <c r="AZ71" s="49">
        <f t="shared" si="133"/>
        <v>79.095835937735927</v>
      </c>
      <c r="BA71" s="49">
        <f t="shared" si="133"/>
        <v>76.841469049062937</v>
      </c>
      <c r="BB71" s="49">
        <f t="shared" si="133"/>
        <v>77.120354153459331</v>
      </c>
      <c r="BC71" s="49">
        <f t="shared" si="133"/>
        <v>75.953659770613783</v>
      </c>
      <c r="BD71" s="49">
        <f t="shared" si="133"/>
        <v>79.07727775875388</v>
      </c>
      <c r="BE71" s="49">
        <f t="shared" si="133"/>
        <v>92.140170138600283</v>
      </c>
      <c r="BF71" s="49">
        <f t="shared" si="133"/>
        <v>80.905870445344135</v>
      </c>
      <c r="BG71" s="49">
        <f t="shared" si="133"/>
        <v>79.254062038404726</v>
      </c>
      <c r="BH71" s="49">
        <f t="shared" si="133"/>
        <v>72.624063670411985</v>
      </c>
      <c r="BI71" s="49">
        <f t="shared" si="133"/>
        <v>63.943839061190275</v>
      </c>
      <c r="BJ71" s="49">
        <f t="shared" si="133"/>
        <v>54.26792452830189</v>
      </c>
      <c r="BK71" s="49">
        <f t="shared" si="133"/>
        <v>65.778277412659975</v>
      </c>
      <c r="BL71" s="49">
        <f t="shared" si="133"/>
        <v>77.087091757387256</v>
      </c>
      <c r="BM71" s="49">
        <f t="shared" si="133"/>
        <v>83.784330731425271</v>
      </c>
      <c r="BN71" s="49">
        <f t="shared" ref="BN71:CC71" si="134">BN67/(BN8+BO8+BP8+BQ8)*365</f>
        <v>81.166034669555799</v>
      </c>
      <c r="BO71" s="49">
        <f t="shared" si="134"/>
        <v>77.361179970252849</v>
      </c>
      <c r="BP71" s="49">
        <f t="shared" si="134"/>
        <v>73.705230914231862</v>
      </c>
      <c r="BQ71" s="49">
        <f t="shared" si="134"/>
        <v>65.956867196367767</v>
      </c>
      <c r="BR71" s="49">
        <f t="shared" si="134"/>
        <v>68.480461393596983</v>
      </c>
      <c r="BS71" s="49">
        <f t="shared" si="134"/>
        <v>99.736776134369521</v>
      </c>
      <c r="BT71" s="49">
        <f t="shared" si="134"/>
        <v>134.54864724245576</v>
      </c>
      <c r="BU71" s="49">
        <f t="shared" si="134"/>
        <v>156.55637254901958</v>
      </c>
      <c r="BV71" s="49">
        <f t="shared" si="134"/>
        <v>138.64944059669685</v>
      </c>
      <c r="BW71" s="49">
        <f t="shared" si="134"/>
        <v>112.71095152603232</v>
      </c>
      <c r="BX71" s="49">
        <f t="shared" si="134"/>
        <v>94.011070110701112</v>
      </c>
      <c r="BY71" s="49">
        <f t="shared" si="134"/>
        <v>80.863317492645393</v>
      </c>
      <c r="BZ71" s="49">
        <f t="shared" si="134"/>
        <v>83.955954323001635</v>
      </c>
      <c r="CA71" s="49">
        <f t="shared" si="134"/>
        <v>91.396782841823054</v>
      </c>
      <c r="CB71" s="49">
        <f t="shared" si="134"/>
        <v>85.248398687705048</v>
      </c>
      <c r="CC71" s="49">
        <f t="shared" si="134"/>
        <v>93.489970542853143</v>
      </c>
      <c r="CI71" s="633"/>
      <c r="CJ71" s="633"/>
      <c r="CK71" s="633"/>
      <c r="CL71" s="633"/>
      <c r="CM71" s="633"/>
      <c r="CN71" s="633"/>
      <c r="CO71" s="633"/>
      <c r="CP71" s="633"/>
      <c r="CQ71" s="633"/>
      <c r="CR71" s="633"/>
      <c r="CS71" s="633"/>
      <c r="CT71" s="633"/>
      <c r="CU71" s="633"/>
      <c r="CV71" s="633"/>
      <c r="CW71" s="633"/>
      <c r="CX71" s="633"/>
      <c r="CY71" s="633"/>
      <c r="CZ71" s="633"/>
      <c r="DA71" s="633"/>
      <c r="DB71" s="633"/>
      <c r="DC71" s="633"/>
      <c r="DD71" s="633"/>
      <c r="DE71" s="633"/>
      <c r="DF71" s="633"/>
      <c r="DG71" s="633"/>
      <c r="DH71" s="633"/>
      <c r="DI71" s="633"/>
      <c r="DJ71" s="633"/>
      <c r="DK71" s="633"/>
      <c r="DL71" s="633"/>
      <c r="DM71" s="633"/>
      <c r="DN71" s="633"/>
      <c r="DO71" s="633"/>
      <c r="DP71" s="633"/>
      <c r="DQ71" s="633"/>
      <c r="DU71" s="655"/>
      <c r="DV71" s="655"/>
      <c r="DW71" s="655"/>
      <c r="DX71" s="655"/>
      <c r="DY71" s="655"/>
      <c r="DZ71" s="655"/>
      <c r="EA71" s="655"/>
      <c r="EB71" s="655"/>
      <c r="EC71" s="655"/>
      <c r="ED71" s="655"/>
      <c r="EE71" s="655"/>
      <c r="EF71" s="655"/>
      <c r="EG71" s="655"/>
      <c r="EH71" s="655"/>
      <c r="EI71" s="653"/>
      <c r="EJ71" s="654"/>
      <c r="EK71" s="654"/>
      <c r="EL71" s="654"/>
      <c r="EM71" s="117"/>
      <c r="EN71" s="117"/>
      <c r="EO71" s="117"/>
      <c r="EP71" s="117"/>
      <c r="EQ71" s="117"/>
      <c r="ER71" s="117"/>
      <c r="ES71" s="117"/>
      <c r="ET71" s="117"/>
      <c r="EU71" s="117"/>
      <c r="EV71" s="117"/>
      <c r="EW71" s="117"/>
    </row>
    <row r="72" spans="1:154" s="49" customFormat="1" hidden="1" outlineLevel="1">
      <c r="A72" s="619" t="s">
        <v>255</v>
      </c>
      <c r="B72" s="35">
        <f>NVDA!V65</f>
        <v>86.629000000000005</v>
      </c>
      <c r="C72" s="35">
        <f>NVDA!W65</f>
        <v>112.846</v>
      </c>
      <c r="D72" s="35">
        <f>NVDA!X65</f>
        <v>117.664</v>
      </c>
      <c r="E72" s="35">
        <f>NVDA!Y65</f>
        <v>147.34800000000001</v>
      </c>
      <c r="F72" s="35">
        <f>NVDA!AA65</f>
        <v>151.429</v>
      </c>
      <c r="G72" s="35">
        <f>NVDA!AB65</f>
        <v>133.03800000000001</v>
      </c>
      <c r="H72" s="35">
        <f>NVDA!AC65</f>
        <v>149.86099999999999</v>
      </c>
      <c r="I72" s="35">
        <f>NVDA!AD65</f>
        <v>154.501</v>
      </c>
      <c r="J72" s="35">
        <f>NVDA!AF65</f>
        <v>155.751</v>
      </c>
      <c r="K72" s="35">
        <f>NVDA!AG65</f>
        <v>190.21299999999999</v>
      </c>
      <c r="L72" s="35">
        <f>NVDA!AH65</f>
        <v>157.839</v>
      </c>
      <c r="M72" s="35">
        <f>NVDA!AI65</f>
        <v>196.631</v>
      </c>
      <c r="N72" s="35">
        <f>NVDA!AK65</f>
        <v>205.30799999999999</v>
      </c>
      <c r="O72" s="35">
        <f>NVDA!AL65</f>
        <v>246.39599999999999</v>
      </c>
      <c r="P72" s="35">
        <f>NVDA!AM65</f>
        <v>307.40899999999999</v>
      </c>
      <c r="Q72" s="35">
        <f>NVDA!AN65</f>
        <v>296.279</v>
      </c>
      <c r="R72" s="35">
        <f>NVDA!AP65</f>
        <v>255.25200000000001</v>
      </c>
      <c r="S72" s="35">
        <f>NVDA!AQ65</f>
        <v>355.39299999999997</v>
      </c>
      <c r="T72" s="35">
        <f>NVDA!AR65</f>
        <v>351.73700000000002</v>
      </c>
      <c r="U72" s="35">
        <f>NVDA!AS65</f>
        <v>318.18599999999998</v>
      </c>
      <c r="V72" s="35">
        <f>NVDA!AU65</f>
        <v>391.27</v>
      </c>
      <c r="W72" s="35">
        <f>NVDA!AV65</f>
        <v>459.63600000000002</v>
      </c>
      <c r="X72" s="35">
        <f>NVDA!AW65</f>
        <v>439.25200000000001</v>
      </c>
      <c r="Y72" s="35">
        <f>NVDA!AX65</f>
        <v>518.67999999999995</v>
      </c>
      <c r="Z72" s="35">
        <f>NVDA!AZ65</f>
        <v>471.51900000000001</v>
      </c>
      <c r="AA72" s="35">
        <f>NVDA!BA65</f>
        <v>508.435</v>
      </c>
      <c r="AB72" s="35">
        <f>NVDA!BB65</f>
        <v>552.40700000000004</v>
      </c>
      <c r="AC72" s="35">
        <f>NVDA!BC65</f>
        <v>666.49400000000003</v>
      </c>
      <c r="AD72" s="35">
        <f>NVDA!BE65</f>
        <v>651.79999999999995</v>
      </c>
      <c r="AE72" s="35">
        <f>NVDA!BF65</f>
        <v>679.41600000000005</v>
      </c>
      <c r="AF72" s="35">
        <f>NVDA!BG65</f>
        <v>607.83399999999995</v>
      </c>
      <c r="AG72" s="35">
        <f>NVDA!BH65</f>
        <v>318.435</v>
      </c>
      <c r="AH72" s="35">
        <f>NVDA!BJ65</f>
        <v>304.39299999999997</v>
      </c>
      <c r="AI72" s="35">
        <f>NVDA!BK65</f>
        <v>351.96</v>
      </c>
      <c r="AJ72" s="35">
        <f>NVDA!BL65</f>
        <v>397.82</v>
      </c>
      <c r="AK72" s="35">
        <f>NVDA!BM65</f>
        <v>374.96300000000002</v>
      </c>
      <c r="AL72" s="35">
        <f>NVDA!BO65</f>
        <v>529.66300000000001</v>
      </c>
      <c r="AM72" s="35">
        <f>NVDA!BP65</f>
        <v>395.93400000000003</v>
      </c>
      <c r="AN72" s="35">
        <f>NVDA!BQ65</f>
        <v>399.50200000000001</v>
      </c>
      <c r="AO72" s="35">
        <f>NVDA!BR65</f>
        <v>348.77</v>
      </c>
      <c r="AP72" s="35">
        <f>NVDA!BT65</f>
        <v>343.202</v>
      </c>
      <c r="AQ72" s="35">
        <f>NVDA!BU65</f>
        <v>419.94400000000002</v>
      </c>
      <c r="AR72" s="35">
        <f>NVDA!BV65</f>
        <v>371.26100000000002</v>
      </c>
      <c r="AS72" s="35">
        <f>NVDA!BW65</f>
        <v>336.14299999999997</v>
      </c>
      <c r="AT72" s="35">
        <f>NVDA!BY65</f>
        <v>411.15499999999997</v>
      </c>
      <c r="AU72" s="35">
        <f>NVDA!BZ65</f>
        <v>445.31200000000001</v>
      </c>
      <c r="AV72" s="35">
        <f>NVDA!CA65</f>
        <v>444.94400000000002</v>
      </c>
      <c r="AW72" s="35">
        <f>NVDA!CB65</f>
        <v>454.25200000000001</v>
      </c>
      <c r="AX72" s="35">
        <f>NVDA!CD65</f>
        <v>346.99799999999999</v>
      </c>
      <c r="AY72" s="35">
        <f>NVDA!CE65</f>
        <v>418.12299999999999</v>
      </c>
      <c r="AZ72" s="35">
        <f>NVDA!CF65</f>
        <v>447.63099999999997</v>
      </c>
      <c r="BA72" s="35">
        <f>NVDA!CG65</f>
        <v>426.35700000000003</v>
      </c>
      <c r="BB72" s="35">
        <f>NVDA!CI65</f>
        <v>396.43799999999999</v>
      </c>
      <c r="BC72" s="35">
        <f>NVDA!CJ65</f>
        <v>469.625</v>
      </c>
      <c r="BD72" s="35">
        <f>NVDA!CK65</f>
        <v>563.4</v>
      </c>
      <c r="BE72" s="35">
        <f>NVDA!CL65</f>
        <v>473.637</v>
      </c>
      <c r="BF72" s="35">
        <f>NVDA!CN65</f>
        <v>455</v>
      </c>
      <c r="BG72" s="35">
        <f>NVDA!CO65</f>
        <v>514</v>
      </c>
      <c r="BH72" s="35">
        <f>NVDA!CP65</f>
        <v>536</v>
      </c>
      <c r="BI72" s="35">
        <f>NVDA!CQ65</f>
        <v>505</v>
      </c>
      <c r="BJ72" s="35">
        <f>NVDA!CS65</f>
        <v>523</v>
      </c>
      <c r="BK72" s="35">
        <f>NVDA!CT65</f>
        <v>644</v>
      </c>
      <c r="BL72" s="35">
        <f>NVDA!CU65</f>
        <v>833</v>
      </c>
      <c r="BM72" s="35">
        <f>NVDA!CV65</f>
        <v>826</v>
      </c>
      <c r="BN72" s="35">
        <f>NVDA!CX65</f>
        <v>976</v>
      </c>
      <c r="BO72" s="35">
        <f>NVDA!CY65</f>
        <v>1213</v>
      </c>
      <c r="BP72" s="35">
        <f>NVDA!CZ65</f>
        <v>1167</v>
      </c>
      <c r="BQ72" s="35">
        <f>NVDA!DA65</f>
        <v>1265</v>
      </c>
      <c r="BR72" s="35">
        <f>NVDA!DC65</f>
        <v>1220</v>
      </c>
      <c r="BS72" s="35">
        <f>NVDA!DD65</f>
        <v>1662</v>
      </c>
      <c r="BT72" s="35">
        <f>NVDA!DE65</f>
        <v>2219</v>
      </c>
      <c r="BU72" s="35">
        <f>NVDA!DF65</f>
        <v>1424</v>
      </c>
      <c r="BV72" s="35">
        <f>NVDA!DH65</f>
        <v>1242</v>
      </c>
      <c r="BW72" s="35">
        <f>NVDA!DI65</f>
        <v>1561</v>
      </c>
      <c r="BX72" s="35">
        <f>NVDA!DJ65</f>
        <v>1455</v>
      </c>
      <c r="BY72" s="35">
        <f>NVDA!DK65</f>
        <v>1657</v>
      </c>
      <c r="BZ72" s="35">
        <f>NVDA!DM65</f>
        <v>1907</v>
      </c>
      <c r="CA72" s="35">
        <f>NVDA!DN65</f>
        <v>2084</v>
      </c>
      <c r="CB72" s="35">
        <f>NVDA!DO65</f>
        <v>2546</v>
      </c>
      <c r="CC72" s="35">
        <f>NVDA!DP65</f>
        <v>2429</v>
      </c>
      <c r="CD72" s="35"/>
      <c r="CE72" s="35"/>
      <c r="CF72" s="35"/>
      <c r="CG72" s="35"/>
      <c r="CH72" s="35"/>
      <c r="CI72" s="48"/>
      <c r="CJ72" s="48"/>
      <c r="CK72" s="48"/>
      <c r="CL72" s="48"/>
      <c r="CM72" s="48"/>
      <c r="CN72" s="48"/>
      <c r="CO72" s="48"/>
      <c r="CP72" s="48"/>
      <c r="CQ72" s="48"/>
      <c r="CR72" s="48"/>
      <c r="CS72" s="48"/>
      <c r="CT72" s="48"/>
      <c r="CU72" s="48"/>
      <c r="CV72" s="48"/>
      <c r="CW72" s="48"/>
      <c r="CX72" s="48"/>
      <c r="CY72" s="48"/>
      <c r="CZ72" s="48"/>
      <c r="DA72" s="48"/>
      <c r="DB72" s="48"/>
      <c r="DC72" s="48"/>
      <c r="DD72" s="48"/>
      <c r="DE72" s="48"/>
      <c r="DF72" s="48"/>
      <c r="DG72" s="48"/>
      <c r="DH72" s="48"/>
      <c r="DI72" s="48"/>
      <c r="DJ72" s="48"/>
      <c r="DK72" s="48"/>
      <c r="DL72" s="48"/>
      <c r="DM72" s="48"/>
      <c r="DN72" s="48"/>
      <c r="DO72" s="48"/>
      <c r="DP72" s="48"/>
      <c r="DQ72" s="48"/>
      <c r="DU72" s="655"/>
      <c r="DV72" s="655"/>
      <c r="DW72" s="655"/>
      <c r="DX72" s="655"/>
      <c r="DY72" s="655"/>
      <c r="DZ72" s="655"/>
      <c r="EA72" s="655"/>
      <c r="EB72" s="655"/>
      <c r="EC72" s="655"/>
      <c r="ED72" s="655"/>
      <c r="EE72" s="655"/>
      <c r="EF72" s="655"/>
      <c r="EG72" s="655"/>
      <c r="EH72" s="655"/>
      <c r="EI72" s="653"/>
      <c r="EJ72" s="654"/>
      <c r="EK72" s="654"/>
      <c r="EL72" s="654"/>
      <c r="EM72" s="117"/>
      <c r="EN72" s="117"/>
      <c r="EO72" s="117"/>
      <c r="EP72" s="117"/>
      <c r="EQ72" s="117"/>
      <c r="ER72" s="117"/>
      <c r="ES72" s="117"/>
      <c r="ET72" s="117"/>
      <c r="EU72" s="117"/>
      <c r="EV72" s="117"/>
      <c r="EW72" s="117"/>
    </row>
    <row r="73" spans="1:154" hidden="1" outlineLevel="1">
      <c r="A73" s="69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  <c r="AS73" s="50"/>
      <c r="AT73" s="50"/>
      <c r="AU73" s="50"/>
      <c r="AV73" s="50"/>
      <c r="AW73" s="50"/>
      <c r="AX73" s="50"/>
      <c r="AY73" s="50"/>
      <c r="AZ73" s="50"/>
      <c r="BA73" s="50"/>
      <c r="BB73" s="50"/>
      <c r="BC73" s="50"/>
      <c r="BD73" s="50"/>
      <c r="BE73" s="50"/>
      <c r="BF73" s="50"/>
      <c r="BG73" s="50"/>
      <c r="BH73" s="50"/>
      <c r="BI73" s="50"/>
      <c r="BJ73" s="50"/>
      <c r="BK73" s="50"/>
      <c r="BL73" s="50"/>
      <c r="BM73" s="50"/>
      <c r="BN73" s="68"/>
      <c r="BO73" s="50"/>
      <c r="BP73" s="50"/>
      <c r="BQ73" s="50"/>
      <c r="BR73" s="50"/>
      <c r="BS73" s="50"/>
      <c r="BT73" s="50"/>
      <c r="BU73" s="50"/>
      <c r="BV73" s="50"/>
      <c r="BW73" s="50"/>
      <c r="BX73" s="50"/>
      <c r="BY73" s="50"/>
      <c r="BZ73" s="50"/>
      <c r="CA73" s="50"/>
      <c r="CB73" s="50"/>
      <c r="CC73" s="50"/>
      <c r="CD73" s="50"/>
      <c r="CE73" s="50"/>
      <c r="CF73" s="50"/>
      <c r="CG73" s="50"/>
      <c r="CH73" s="50"/>
      <c r="CI73" s="50"/>
      <c r="CJ73" s="50"/>
      <c r="CK73" s="50"/>
      <c r="CL73" s="50"/>
      <c r="CM73" s="50"/>
      <c r="CN73" s="50"/>
      <c r="CO73" s="50"/>
      <c r="CP73" s="50"/>
      <c r="CQ73" s="50"/>
      <c r="CR73" s="50"/>
      <c r="CS73" s="50"/>
      <c r="CT73" s="50"/>
      <c r="CU73" s="50"/>
      <c r="CV73" s="50"/>
      <c r="CW73" s="50"/>
      <c r="CX73" s="50"/>
      <c r="CY73" s="50"/>
      <c r="CZ73" s="50"/>
      <c r="DA73" s="50"/>
      <c r="DB73" s="50"/>
      <c r="DC73" s="50"/>
      <c r="DD73" s="50"/>
      <c r="DE73" s="50"/>
      <c r="DF73" s="50"/>
      <c r="DG73" s="50"/>
      <c r="DH73" s="50"/>
      <c r="DI73" s="50"/>
      <c r="DJ73" s="50"/>
      <c r="DK73" s="50"/>
      <c r="DL73" s="50"/>
      <c r="DM73" s="50"/>
      <c r="DN73" s="50"/>
      <c r="DO73" s="50"/>
      <c r="DP73" s="50"/>
      <c r="DQ73" s="50"/>
      <c r="DT73" s="50"/>
      <c r="DU73" s="66"/>
      <c r="DV73" s="66"/>
      <c r="DW73" s="66"/>
      <c r="DX73" s="66"/>
      <c r="DY73" s="66"/>
      <c r="DZ73" s="66"/>
      <c r="EA73" s="66"/>
      <c r="EB73" s="66"/>
      <c r="EC73" s="66"/>
      <c r="ED73" s="66"/>
      <c r="EE73" s="66"/>
      <c r="EF73" s="66"/>
      <c r="EG73" s="66"/>
      <c r="EH73" s="66"/>
      <c r="EI73" s="66"/>
      <c r="EJ73" s="647"/>
      <c r="EK73" s="647"/>
      <c r="EL73" s="647"/>
      <c r="EM73" s="647"/>
      <c r="EN73" s="647"/>
      <c r="EO73" s="647"/>
      <c r="EP73" s="647"/>
      <c r="EQ73" s="647"/>
      <c r="ER73" s="647"/>
      <c r="ES73" s="647"/>
      <c r="ET73" s="647"/>
      <c r="EU73" s="647"/>
      <c r="EV73" s="647"/>
      <c r="EW73" s="647"/>
    </row>
    <row r="74" spans="1:154" collapsed="1">
      <c r="A74" s="74" t="s">
        <v>256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4"/>
      <c r="AF74" s="74"/>
      <c r="AG74" s="74"/>
      <c r="AH74" s="74"/>
      <c r="AI74" s="74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39" t="s">
        <v>128</v>
      </c>
      <c r="BC74" s="39" t="s">
        <v>129</v>
      </c>
      <c r="BD74" s="39" t="s">
        <v>130</v>
      </c>
      <c r="BE74" s="39" t="s">
        <v>131</v>
      </c>
      <c r="BF74" s="75" t="str">
        <f t="shared" ref="BF74:DQ74" si="135">BF3</f>
        <v>1Q15</v>
      </c>
      <c r="BG74" s="75" t="str">
        <f t="shared" si="135"/>
        <v>2Q15</v>
      </c>
      <c r="BH74" s="75" t="str">
        <f t="shared" si="135"/>
        <v>3Q15</v>
      </c>
      <c r="BI74" s="75" t="str">
        <f t="shared" si="135"/>
        <v>4Q15</v>
      </c>
      <c r="BJ74" s="75" t="str">
        <f t="shared" si="135"/>
        <v>1Q16</v>
      </c>
      <c r="BK74" s="75" t="str">
        <f t="shared" si="135"/>
        <v>2Q16</v>
      </c>
      <c r="BL74" s="75" t="str">
        <f t="shared" si="135"/>
        <v>3Q16</v>
      </c>
      <c r="BM74" s="75" t="str">
        <f t="shared" si="135"/>
        <v>4Q16</v>
      </c>
      <c r="BN74" s="75" t="str">
        <f t="shared" si="135"/>
        <v>1Q17</v>
      </c>
      <c r="BO74" s="75" t="str">
        <f t="shared" si="135"/>
        <v>2Q17</v>
      </c>
      <c r="BP74" s="75" t="str">
        <f t="shared" si="135"/>
        <v>3Q17</v>
      </c>
      <c r="BQ74" s="75" t="str">
        <f t="shared" si="135"/>
        <v>4Q17</v>
      </c>
      <c r="BR74" s="75" t="str">
        <f t="shared" si="135"/>
        <v>1Q18</v>
      </c>
      <c r="BS74" s="75" t="str">
        <f t="shared" si="135"/>
        <v>2Q18</v>
      </c>
      <c r="BT74" s="75" t="str">
        <f t="shared" si="135"/>
        <v>3Q18</v>
      </c>
      <c r="BU74" s="75" t="str">
        <f t="shared" si="135"/>
        <v>4Q18</v>
      </c>
      <c r="BV74" s="75" t="str">
        <f t="shared" si="135"/>
        <v>1Q19</v>
      </c>
      <c r="BW74" s="75" t="str">
        <f t="shared" si="135"/>
        <v>2Q19</v>
      </c>
      <c r="BX74" s="75" t="str">
        <f t="shared" si="135"/>
        <v>3Q19</v>
      </c>
      <c r="BY74" s="75" t="str">
        <f t="shared" si="135"/>
        <v>4Q19</v>
      </c>
      <c r="BZ74" s="75" t="str">
        <f t="shared" si="135"/>
        <v>1Q20</v>
      </c>
      <c r="CA74" s="75" t="str">
        <f t="shared" si="135"/>
        <v>2Q20</v>
      </c>
      <c r="CB74" s="75" t="str">
        <f t="shared" si="135"/>
        <v>3Q20</v>
      </c>
      <c r="CC74" s="75" t="str">
        <f t="shared" si="135"/>
        <v>4Q20</v>
      </c>
      <c r="CD74" s="75" t="str">
        <f t="shared" si="135"/>
        <v>1Q21</v>
      </c>
      <c r="CE74" s="75" t="str">
        <f t="shared" si="135"/>
        <v>2Q21</v>
      </c>
      <c r="CF74" s="75" t="str">
        <f t="shared" si="135"/>
        <v>3Q21</v>
      </c>
      <c r="CG74" s="75" t="str">
        <f t="shared" si="135"/>
        <v>4Q21</v>
      </c>
      <c r="CH74" s="75" t="str">
        <f t="shared" si="135"/>
        <v>1Q22</v>
      </c>
      <c r="CI74" s="75" t="str">
        <f t="shared" si="135"/>
        <v>2Q22</v>
      </c>
      <c r="CJ74" s="75" t="str">
        <f t="shared" si="135"/>
        <v>3Q22</v>
      </c>
      <c r="CK74" s="75" t="str">
        <f t="shared" si="135"/>
        <v>4Q22</v>
      </c>
      <c r="CL74" s="75" t="str">
        <f t="shared" si="135"/>
        <v>1Q23</v>
      </c>
      <c r="CM74" s="75" t="str">
        <f t="shared" si="135"/>
        <v>2Q23</v>
      </c>
      <c r="CN74" s="75" t="str">
        <f t="shared" si="135"/>
        <v>3Q23</v>
      </c>
      <c r="CO74" s="75" t="str">
        <f t="shared" si="135"/>
        <v>4Q23</v>
      </c>
      <c r="CP74" s="75" t="str">
        <f t="shared" si="135"/>
        <v>1Q24</v>
      </c>
      <c r="CQ74" s="75" t="str">
        <f t="shared" si="135"/>
        <v>2Q24</v>
      </c>
      <c r="CR74" s="75" t="str">
        <f t="shared" si="135"/>
        <v>3Q24</v>
      </c>
      <c r="CS74" s="75" t="str">
        <f t="shared" si="135"/>
        <v>4Q24</v>
      </c>
      <c r="CT74" s="75" t="str">
        <f t="shared" si="135"/>
        <v>1Q25</v>
      </c>
      <c r="CU74" s="75" t="str">
        <f t="shared" si="135"/>
        <v>2Q25</v>
      </c>
      <c r="CV74" s="75" t="str">
        <f t="shared" si="135"/>
        <v>3Q25</v>
      </c>
      <c r="CW74" s="75" t="str">
        <f t="shared" si="135"/>
        <v>4Q25</v>
      </c>
      <c r="CX74" s="75" t="str">
        <f t="shared" si="135"/>
        <v>1Q26</v>
      </c>
      <c r="CY74" s="75" t="str">
        <f t="shared" si="135"/>
        <v>2Q26E</v>
      </c>
      <c r="CZ74" s="75" t="str">
        <f t="shared" si="135"/>
        <v>3Q26E</v>
      </c>
      <c r="DA74" s="75" t="str">
        <f t="shared" si="135"/>
        <v>4Q26E</v>
      </c>
      <c r="DB74" s="75" t="str">
        <f t="shared" si="135"/>
        <v>1Q27E</v>
      </c>
      <c r="DC74" s="75" t="str">
        <f t="shared" si="135"/>
        <v>2Q27E</v>
      </c>
      <c r="DD74" s="75" t="str">
        <f t="shared" si="135"/>
        <v>3Q27E</v>
      </c>
      <c r="DE74" s="75" t="str">
        <f t="shared" si="135"/>
        <v>4Q27E</v>
      </c>
      <c r="DF74" s="75" t="str">
        <f t="shared" si="135"/>
        <v>1Q28E</v>
      </c>
      <c r="DG74" s="75" t="str">
        <f t="shared" si="135"/>
        <v>2Q28E</v>
      </c>
      <c r="DH74" s="75" t="str">
        <f t="shared" si="135"/>
        <v>3Q28E</v>
      </c>
      <c r="DI74" s="75" t="str">
        <f t="shared" si="135"/>
        <v>4Q28E</v>
      </c>
      <c r="DJ74" s="75" t="str">
        <f t="shared" si="135"/>
        <v>1Q29E</v>
      </c>
      <c r="DK74" s="75" t="str">
        <f t="shared" si="135"/>
        <v>2Q29E</v>
      </c>
      <c r="DL74" s="75" t="str">
        <f t="shared" si="135"/>
        <v>3Q29E</v>
      </c>
      <c r="DM74" s="75" t="str">
        <f t="shared" si="135"/>
        <v>4Q29E</v>
      </c>
      <c r="DN74" s="75" t="str">
        <f t="shared" si="135"/>
        <v>1Q30E</v>
      </c>
      <c r="DO74" s="75" t="str">
        <f t="shared" si="135"/>
        <v>2Q30E</v>
      </c>
      <c r="DP74" s="75" t="str">
        <f t="shared" si="135"/>
        <v>3Q30E</v>
      </c>
      <c r="DQ74" s="75" t="str">
        <f t="shared" si="135"/>
        <v>4Q30E</v>
      </c>
      <c r="DT74" s="47">
        <v>2001</v>
      </c>
      <c r="DU74" s="47">
        <v>2002</v>
      </c>
      <c r="DV74" s="47">
        <v>2003</v>
      </c>
      <c r="DW74" s="47">
        <v>2004</v>
      </c>
      <c r="DX74" s="47">
        <v>2005</v>
      </c>
      <c r="DY74" s="47">
        <v>2006</v>
      </c>
      <c r="DZ74" s="47">
        <v>2007</v>
      </c>
      <c r="EA74" s="47">
        <v>2008</v>
      </c>
      <c r="EB74" s="47">
        <v>2009</v>
      </c>
      <c r="EC74" s="47">
        <v>2010</v>
      </c>
      <c r="ED74" s="47">
        <v>2011</v>
      </c>
      <c r="EE74" s="47">
        <v>2012</v>
      </c>
      <c r="EF74" s="47">
        <v>2013</v>
      </c>
      <c r="EG74" s="47">
        <f>EG4</f>
        <v>2014</v>
      </c>
      <c r="EH74" s="47">
        <f t="shared" ref="EH74:EW74" si="136">EH$4</f>
        <v>2015</v>
      </c>
      <c r="EI74" s="47">
        <f t="shared" si="136"/>
        <v>2016</v>
      </c>
      <c r="EJ74" s="47">
        <f t="shared" si="136"/>
        <v>2017</v>
      </c>
      <c r="EK74" s="47">
        <f t="shared" si="136"/>
        <v>2018</v>
      </c>
      <c r="EL74" s="47">
        <f t="shared" si="136"/>
        <v>2019</v>
      </c>
      <c r="EM74" s="47">
        <f t="shared" si="136"/>
        <v>2020</v>
      </c>
      <c r="EN74" s="47">
        <f t="shared" si="136"/>
        <v>2021</v>
      </c>
      <c r="EO74" s="47">
        <f t="shared" si="136"/>
        <v>2022</v>
      </c>
      <c r="EP74" s="47">
        <f t="shared" si="136"/>
        <v>2023</v>
      </c>
      <c r="EQ74" s="47">
        <f t="shared" si="136"/>
        <v>2024</v>
      </c>
      <c r="ER74" s="47">
        <f t="shared" si="136"/>
        <v>2025</v>
      </c>
      <c r="ES74" s="47" t="str">
        <f t="shared" si="136"/>
        <v>2026E</v>
      </c>
      <c r="ET74" s="47" t="str">
        <f t="shared" si="136"/>
        <v>2027E</v>
      </c>
      <c r="EU74" s="47" t="str">
        <f t="shared" si="136"/>
        <v>2028E</v>
      </c>
      <c r="EV74" s="47" t="str">
        <f t="shared" si="136"/>
        <v>2029E</v>
      </c>
      <c r="EW74" s="47" t="str">
        <f t="shared" si="136"/>
        <v>2030E</v>
      </c>
    </row>
    <row r="75" spans="1:154" s="49" customFormat="1">
      <c r="A75" s="76" t="s">
        <v>257</v>
      </c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6"/>
      <c r="AY75" s="76"/>
      <c r="AZ75" s="76"/>
      <c r="BA75" s="76"/>
      <c r="BB75" s="76">
        <v>468</v>
      </c>
      <c r="BC75" s="76">
        <v>417</v>
      </c>
      <c r="BD75" s="76">
        <v>528</v>
      </c>
      <c r="BE75" s="76">
        <v>646</v>
      </c>
      <c r="BF75" s="76">
        <v>587</v>
      </c>
      <c r="BG75" s="76">
        <v>661</v>
      </c>
      <c r="BH75" s="76">
        <v>761</v>
      </c>
      <c r="BI75" s="76">
        <v>810</v>
      </c>
      <c r="BJ75" s="76">
        <v>687</v>
      </c>
      <c r="BK75" s="76">
        <v>781</v>
      </c>
      <c r="BL75" s="76">
        <v>1244</v>
      </c>
      <c r="BM75" s="76">
        <v>1348</v>
      </c>
      <c r="BN75" s="76">
        <v>1027</v>
      </c>
      <c r="BO75" s="76">
        <v>1186</v>
      </c>
      <c r="BP75" s="76">
        <v>1561</v>
      </c>
      <c r="BQ75" s="76">
        <v>1739</v>
      </c>
      <c r="BR75" s="76">
        <v>1723</v>
      </c>
      <c r="BS75" s="76">
        <v>1805</v>
      </c>
      <c r="BT75" s="76">
        <v>1764</v>
      </c>
      <c r="BU75" s="76">
        <v>954</v>
      </c>
      <c r="BV75" s="76">
        <v>1055</v>
      </c>
      <c r="BW75" s="76">
        <v>1313</v>
      </c>
      <c r="BX75" s="76">
        <v>1659</v>
      </c>
      <c r="BY75" s="76">
        <v>1491</v>
      </c>
      <c r="BZ75" s="76">
        <v>1339</v>
      </c>
      <c r="CA75" s="76">
        <v>1654</v>
      </c>
      <c r="CB75" s="76">
        <v>2271</v>
      </c>
      <c r="CC75" s="76">
        <v>2495</v>
      </c>
      <c r="CD75" s="76">
        <v>2760</v>
      </c>
      <c r="CE75" s="76">
        <v>3061</v>
      </c>
      <c r="CF75" s="76">
        <v>3221</v>
      </c>
      <c r="CG75" s="76">
        <v>3420</v>
      </c>
      <c r="CH75" s="76">
        <v>3620</v>
      </c>
      <c r="CI75" s="76">
        <v>2042</v>
      </c>
      <c r="CJ75" s="76">
        <v>1574</v>
      </c>
      <c r="CK75" s="76">
        <v>1831</v>
      </c>
      <c r="CL75" s="76">
        <v>2240</v>
      </c>
      <c r="CM75" s="76">
        <v>2486</v>
      </c>
      <c r="CN75" s="76">
        <v>2856</v>
      </c>
      <c r="CO75" s="76">
        <v>2865</v>
      </c>
      <c r="CP75" s="76">
        <v>2647</v>
      </c>
      <c r="CQ75" s="76">
        <v>2880</v>
      </c>
      <c r="CR75" s="76">
        <v>3279</v>
      </c>
      <c r="CS75" s="76">
        <v>2544</v>
      </c>
      <c r="CT75" s="76">
        <v>3763</v>
      </c>
      <c r="CU75" s="76">
        <v>4287</v>
      </c>
      <c r="CV75" s="76">
        <v>4265</v>
      </c>
      <c r="CW75" s="76">
        <v>3727</v>
      </c>
      <c r="CX75" s="76">
        <v>3540.6499999999996</v>
      </c>
      <c r="CY75" s="78">
        <v>3478.8186070674701</v>
      </c>
      <c r="CZ75" s="78">
        <v>3634.5539363254475</v>
      </c>
      <c r="DA75" s="78">
        <v>3780.0669670232141</v>
      </c>
      <c r="DB75" s="78">
        <v>3508.157297532447</v>
      </c>
      <c r="DC75" s="78">
        <v>3694.4121049072451</v>
      </c>
      <c r="DD75" s="78">
        <v>3981.4602300830911</v>
      </c>
      <c r="DE75" s="78">
        <v>4133.2915530151095</v>
      </c>
      <c r="DF75" s="78">
        <v>3769.9870593774981</v>
      </c>
      <c r="DG75" s="78">
        <v>3969.043064506981</v>
      </c>
      <c r="DH75" s="78">
        <v>4301.3473690999599</v>
      </c>
      <c r="DI75" s="78">
        <v>4509.6202921517479</v>
      </c>
      <c r="DJ75" s="78">
        <v>4114.2804598736075</v>
      </c>
      <c r="DK75" s="78">
        <v>4330.5560180983884</v>
      </c>
      <c r="DL75" s="78">
        <v>4692.068110169148</v>
      </c>
      <c r="DM75" s="78">
        <v>4921.9885550087201</v>
      </c>
      <c r="DN75" s="78">
        <v>4491.5294930339878</v>
      </c>
      <c r="DO75" s="78">
        <v>4726.6875182477215</v>
      </c>
      <c r="DP75" s="78">
        <v>5120.2205826814761</v>
      </c>
      <c r="DQ75" s="78">
        <v>5373.8204781202785</v>
      </c>
      <c r="DT75" s="77"/>
      <c r="DU75" s="77"/>
      <c r="DV75" s="77"/>
      <c r="DW75" s="77"/>
      <c r="DX75" s="77"/>
      <c r="DY75" s="77"/>
      <c r="DZ75" s="77"/>
      <c r="EA75" s="77"/>
      <c r="EB75" s="77"/>
      <c r="EC75" s="76"/>
      <c r="ED75" s="76"/>
      <c r="EE75" s="76">
        <v>1316</v>
      </c>
      <c r="EF75" s="76">
        <v>1511</v>
      </c>
      <c r="EG75" s="76">
        <f>SUM(BB75:BE75)</f>
        <v>2059</v>
      </c>
      <c r="EH75" s="76">
        <f>SUM(BF75:BI75)</f>
        <v>2819</v>
      </c>
      <c r="EI75" s="76">
        <f>SUM(BJ75:BM75)</f>
        <v>4060</v>
      </c>
      <c r="EJ75" s="76">
        <f>SUM(BN75:BQ75)</f>
        <v>5513</v>
      </c>
      <c r="EK75" s="76">
        <f>SUM(BR75:BU75)</f>
        <v>6246</v>
      </c>
      <c r="EL75" s="76">
        <f>BV75+BW75+BX75+BY75</f>
        <v>5518</v>
      </c>
      <c r="EM75" s="76">
        <f>SUM(BZ75:CC75)</f>
        <v>7759</v>
      </c>
      <c r="EN75" s="76">
        <f>+CD75+CE75+CF75+CG75</f>
        <v>12462</v>
      </c>
      <c r="EO75" s="76">
        <f>SUM(CH75:CK75)</f>
        <v>9067</v>
      </c>
      <c r="EP75" s="76">
        <f>SUM(CL75:CO75)</f>
        <v>10447</v>
      </c>
      <c r="EQ75" s="76">
        <f>SUM(CP75:CS75)</f>
        <v>11350</v>
      </c>
      <c r="ER75" s="76">
        <f>SUM(CT75:CW75)</f>
        <v>16042</v>
      </c>
      <c r="ES75" s="78">
        <f>SUM(CX75:DA75)</f>
        <v>14434.089510416132</v>
      </c>
      <c r="ET75" s="78">
        <f>SUM(DB75:DE75)</f>
        <v>15317.321185537892</v>
      </c>
      <c r="EU75" s="78">
        <f>SUM(DF75:DI75)</f>
        <v>16549.997785136187</v>
      </c>
      <c r="EV75" s="78">
        <f>SUM(DJ75:DM75)</f>
        <v>18058.893143149864</v>
      </c>
      <c r="EW75" s="78">
        <f>SUM(DN75:DQ75)</f>
        <v>19712.258072083467</v>
      </c>
      <c r="EX75" s="35"/>
    </row>
    <row r="76" spans="1:154" s="52" customFormat="1">
      <c r="A76" s="51" t="s">
        <v>223</v>
      </c>
      <c r="BC76" s="52">
        <f>BC75/BB75-1</f>
        <v>-0.10897435897435892</v>
      </c>
      <c r="BD76" s="52">
        <f t="shared" ref="BD76:CX76" si="137">BD75/BC75-1</f>
        <v>0.26618705035971213</v>
      </c>
      <c r="BE76" s="52">
        <f t="shared" si="137"/>
        <v>0.2234848484848484</v>
      </c>
      <c r="BF76" s="52">
        <f t="shared" si="137"/>
        <v>-9.1331269349845257E-2</v>
      </c>
      <c r="BG76" s="52">
        <f t="shared" si="137"/>
        <v>0.12606473594548562</v>
      </c>
      <c r="BH76" s="52">
        <f t="shared" si="137"/>
        <v>0.15128593040847194</v>
      </c>
      <c r="BI76" s="52">
        <f t="shared" si="137"/>
        <v>6.4388961892247076E-2</v>
      </c>
      <c r="BJ76" s="52">
        <f t="shared" si="137"/>
        <v>-0.1518518518518519</v>
      </c>
      <c r="BK76" s="52">
        <f t="shared" si="137"/>
        <v>0.13682678311499274</v>
      </c>
      <c r="BL76" s="52">
        <f t="shared" si="137"/>
        <v>0.59282970550576186</v>
      </c>
      <c r="BM76" s="52">
        <f t="shared" si="137"/>
        <v>8.3601286173633493E-2</v>
      </c>
      <c r="BN76" s="52">
        <f t="shared" si="137"/>
        <v>-0.23813056379821962</v>
      </c>
      <c r="BO76" s="52">
        <f t="shared" si="137"/>
        <v>0.15481986368062328</v>
      </c>
      <c r="BP76" s="52">
        <f t="shared" si="137"/>
        <v>0.31618887015177055</v>
      </c>
      <c r="BQ76" s="52">
        <f t="shared" si="137"/>
        <v>0.11402946828955796</v>
      </c>
      <c r="BR76" s="52">
        <f t="shared" si="137"/>
        <v>-9.2006900517538348E-3</v>
      </c>
      <c r="BS76" s="52">
        <f t="shared" si="137"/>
        <v>4.7591410330818373E-2</v>
      </c>
      <c r="BT76" s="52">
        <f t="shared" si="137"/>
        <v>-2.2714681440443196E-2</v>
      </c>
      <c r="BU76" s="52">
        <f t="shared" si="137"/>
        <v>-0.45918367346938771</v>
      </c>
      <c r="BV76" s="52">
        <f t="shared" si="137"/>
        <v>0.1058700209643606</v>
      </c>
      <c r="BW76" s="52">
        <f t="shared" si="137"/>
        <v>0.24454976303317544</v>
      </c>
      <c r="BX76" s="52">
        <f t="shared" si="137"/>
        <v>0.26351865955826348</v>
      </c>
      <c r="BY76" s="52">
        <f t="shared" si="137"/>
        <v>-0.10126582278481011</v>
      </c>
      <c r="BZ76" s="52">
        <f t="shared" si="137"/>
        <v>-0.10194500335345402</v>
      </c>
      <c r="CA76" s="52">
        <f t="shared" si="137"/>
        <v>0.23525018670649733</v>
      </c>
      <c r="CB76" s="52">
        <f t="shared" si="137"/>
        <v>0.37303506650544138</v>
      </c>
      <c r="CC76" s="52">
        <f t="shared" si="137"/>
        <v>9.8634962571554352E-2</v>
      </c>
      <c r="CD76" s="52">
        <f t="shared" si="137"/>
        <v>0.10621242484969939</v>
      </c>
      <c r="CE76" s="52">
        <f t="shared" si="137"/>
        <v>0.10905797101449277</v>
      </c>
      <c r="CF76" s="52">
        <f t="shared" si="137"/>
        <v>5.2270499836654771E-2</v>
      </c>
      <c r="CG76" s="52">
        <f t="shared" si="137"/>
        <v>6.1782055262340929E-2</v>
      </c>
      <c r="CH76" s="52">
        <f t="shared" si="137"/>
        <v>5.8479532163742798E-2</v>
      </c>
      <c r="CI76" s="52">
        <f t="shared" si="137"/>
        <v>-0.43591160220994474</v>
      </c>
      <c r="CJ76" s="52">
        <f t="shared" si="137"/>
        <v>-0.2291870714985309</v>
      </c>
      <c r="CK76" s="52">
        <f t="shared" si="137"/>
        <v>0.1632782719186785</v>
      </c>
      <c r="CL76" s="52">
        <f t="shared" si="137"/>
        <v>0.22337520480611683</v>
      </c>
      <c r="CM76" s="52">
        <f t="shared" si="137"/>
        <v>0.10982142857142851</v>
      </c>
      <c r="CN76" s="52">
        <f t="shared" si="137"/>
        <v>0.14883346741753822</v>
      </c>
      <c r="CO76" s="52">
        <f t="shared" si="137"/>
        <v>3.1512605042016695E-3</v>
      </c>
      <c r="CP76" s="52">
        <f t="shared" si="137"/>
        <v>-7.6090750436300203E-2</v>
      </c>
      <c r="CQ76" s="52">
        <f t="shared" si="137"/>
        <v>8.8024178315073698E-2</v>
      </c>
      <c r="CR76" s="52">
        <f t="shared" si="137"/>
        <v>0.13854166666666656</v>
      </c>
      <c r="CS76" s="52">
        <f t="shared" si="137"/>
        <v>-0.22415370539798718</v>
      </c>
      <c r="CT76" s="52">
        <f t="shared" si="137"/>
        <v>0.47916666666666674</v>
      </c>
      <c r="CU76" s="52">
        <f t="shared" si="137"/>
        <v>0.13925059792718586</v>
      </c>
      <c r="CV76" s="52">
        <f t="shared" si="137"/>
        <v>-5.1317937951947945E-3</v>
      </c>
      <c r="CW76" s="52">
        <f t="shared" si="137"/>
        <v>-0.12614302461899174</v>
      </c>
      <c r="CX76" s="52">
        <f t="shared" si="137"/>
        <v>-5.0000000000000044E-2</v>
      </c>
      <c r="CY76" s="53">
        <f t="shared" ref="CY76:DQ76" si="138">CY75/CX75-1</f>
        <v>-1.746328864263047E-2</v>
      </c>
      <c r="CZ76" s="53">
        <f t="shared" si="138"/>
        <v>4.4766728837654757E-2</v>
      </c>
      <c r="DA76" s="53">
        <f t="shared" si="138"/>
        <v>4.0036008062348749E-2</v>
      </c>
      <c r="DB76" s="53">
        <f t="shared" si="138"/>
        <v>-7.1932500631039065E-2</v>
      </c>
      <c r="DC76" s="53">
        <f t="shared" si="138"/>
        <v>5.3091920224274114E-2</v>
      </c>
      <c r="DD76" s="53">
        <f t="shared" si="138"/>
        <v>7.7697917022998997E-2</v>
      </c>
      <c r="DE76" s="53">
        <f t="shared" si="138"/>
        <v>3.8134582328566813E-2</v>
      </c>
      <c r="DF76" s="53">
        <f t="shared" si="138"/>
        <v>-8.7897136937410525E-2</v>
      </c>
      <c r="DG76" s="53">
        <f t="shared" si="138"/>
        <v>5.2800182598597756E-2</v>
      </c>
      <c r="DH76" s="53">
        <f t="shared" si="138"/>
        <v>8.3724036044002137E-2</v>
      </c>
      <c r="DI76" s="53">
        <f t="shared" si="138"/>
        <v>4.8420391375032956E-2</v>
      </c>
      <c r="DJ76" s="53">
        <f t="shared" si="138"/>
        <v>-8.7665880199750856E-2</v>
      </c>
      <c r="DK76" s="53">
        <f t="shared" si="138"/>
        <v>5.2567043091521493E-2</v>
      </c>
      <c r="DL76" s="53">
        <f t="shared" si="138"/>
        <v>8.347937090755031E-2</v>
      </c>
      <c r="DM76" s="53">
        <f t="shared" si="138"/>
        <v>4.9001941029215734E-2</v>
      </c>
      <c r="DN76" s="53">
        <f t="shared" si="138"/>
        <v>-8.7456331351418504E-2</v>
      </c>
      <c r="DO76" s="53">
        <f t="shared" si="138"/>
        <v>5.235589025485532E-2</v>
      </c>
      <c r="DP76" s="53">
        <f t="shared" si="138"/>
        <v>8.3257685834845496E-2</v>
      </c>
      <c r="DQ76" s="53">
        <f t="shared" si="138"/>
        <v>4.9529095737901097E-2</v>
      </c>
      <c r="DT76" s="54" t="s">
        <v>224</v>
      </c>
      <c r="DU76" s="54" t="s">
        <v>224</v>
      </c>
      <c r="DV76" s="54" t="s">
        <v>224</v>
      </c>
      <c r="DW76" s="54" t="s">
        <v>224</v>
      </c>
      <c r="DX76" s="54" t="s">
        <v>224</v>
      </c>
      <c r="DY76" s="54" t="s">
        <v>224</v>
      </c>
      <c r="DZ76" s="54" t="s">
        <v>224</v>
      </c>
      <c r="EA76" s="54" t="s">
        <v>224</v>
      </c>
      <c r="EB76" s="54" t="s">
        <v>224</v>
      </c>
      <c r="EC76" s="54" t="s">
        <v>224</v>
      </c>
      <c r="ED76" s="54" t="s">
        <v>224</v>
      </c>
      <c r="EE76" s="54" t="s">
        <v>224</v>
      </c>
      <c r="EF76" s="54" t="s">
        <v>224</v>
      </c>
      <c r="EG76" s="54" t="s">
        <v>224</v>
      </c>
      <c r="EH76" s="54" t="s">
        <v>224</v>
      </c>
      <c r="EI76" s="54" t="s">
        <v>224</v>
      </c>
      <c r="EJ76" s="54" t="s">
        <v>224</v>
      </c>
      <c r="EK76" s="54" t="s">
        <v>224</v>
      </c>
      <c r="EL76" s="54" t="s">
        <v>224</v>
      </c>
      <c r="EM76" s="54" t="s">
        <v>224</v>
      </c>
      <c r="EN76" s="54" t="s">
        <v>224</v>
      </c>
      <c r="EO76" s="54" t="s">
        <v>224</v>
      </c>
      <c r="EP76" s="54" t="s">
        <v>224</v>
      </c>
      <c r="EQ76" s="54" t="s">
        <v>224</v>
      </c>
      <c r="ER76" s="54" t="s">
        <v>224</v>
      </c>
      <c r="ES76" s="55" t="s">
        <v>224</v>
      </c>
      <c r="ET76" s="55" t="s">
        <v>224</v>
      </c>
      <c r="EU76" s="55" t="s">
        <v>224</v>
      </c>
      <c r="EV76" s="55" t="s">
        <v>224</v>
      </c>
      <c r="EW76" s="55" t="s">
        <v>224</v>
      </c>
    </row>
    <row r="77" spans="1:154" s="52" customFormat="1">
      <c r="A77" s="51" t="s">
        <v>225</v>
      </c>
      <c r="BF77" s="52">
        <f t="shared" ref="BF77:DQ77" si="139">BF75/BB75-1</f>
        <v>0.25427350427350426</v>
      </c>
      <c r="BG77" s="52">
        <f t="shared" si="139"/>
        <v>0.58513189448441238</v>
      </c>
      <c r="BH77" s="52">
        <f t="shared" si="139"/>
        <v>0.4412878787878789</v>
      </c>
      <c r="BI77" s="52">
        <f t="shared" si="139"/>
        <v>0.25386996904024772</v>
      </c>
      <c r="BJ77" s="52">
        <f t="shared" si="139"/>
        <v>0.17035775127768304</v>
      </c>
      <c r="BK77" s="52">
        <f t="shared" si="139"/>
        <v>0.18154311649016641</v>
      </c>
      <c r="BL77" s="52">
        <f t="shared" si="139"/>
        <v>0.63469119579500655</v>
      </c>
      <c r="BM77" s="52">
        <f t="shared" si="139"/>
        <v>0.66419753086419764</v>
      </c>
      <c r="BN77" s="52">
        <f t="shared" si="139"/>
        <v>0.49490538573508003</v>
      </c>
      <c r="BO77" s="52">
        <f t="shared" si="139"/>
        <v>0.51856594110115228</v>
      </c>
      <c r="BP77" s="52">
        <f t="shared" si="139"/>
        <v>0.25482315112540199</v>
      </c>
      <c r="BQ77" s="52">
        <f t="shared" si="139"/>
        <v>0.2900593471810089</v>
      </c>
      <c r="BR77" s="52">
        <f t="shared" si="139"/>
        <v>0.67770204479065232</v>
      </c>
      <c r="BS77" s="52">
        <f t="shared" si="139"/>
        <v>0.52192242833052283</v>
      </c>
      <c r="BT77" s="52">
        <f t="shared" si="139"/>
        <v>0.13004484304932729</v>
      </c>
      <c r="BU77" s="52">
        <f t="shared" si="139"/>
        <v>-0.45140885566417477</v>
      </c>
      <c r="BV77" s="52">
        <f t="shared" si="139"/>
        <v>-0.38769587928032501</v>
      </c>
      <c r="BW77" s="52">
        <f t="shared" si="139"/>
        <v>-0.27257617728531858</v>
      </c>
      <c r="BX77" s="52">
        <f t="shared" si="139"/>
        <v>-5.9523809523809534E-2</v>
      </c>
      <c r="BY77" s="52">
        <f t="shared" si="139"/>
        <v>0.56289308176100628</v>
      </c>
      <c r="BZ77" s="52">
        <f t="shared" si="139"/>
        <v>0.26919431279620842</v>
      </c>
      <c r="CA77" s="52">
        <f t="shared" si="139"/>
        <v>0.25971058644325962</v>
      </c>
      <c r="CB77" s="52">
        <f t="shared" si="139"/>
        <v>0.36889692585895117</v>
      </c>
      <c r="CC77" s="52">
        <f t="shared" si="139"/>
        <v>0.67337357478202553</v>
      </c>
      <c r="CD77" s="52">
        <f t="shared" si="139"/>
        <v>1.0612397311426438</v>
      </c>
      <c r="CE77" s="52">
        <f t="shared" si="139"/>
        <v>0.85066505441354301</v>
      </c>
      <c r="CF77" s="52">
        <f t="shared" si="139"/>
        <v>0.41831792162043158</v>
      </c>
      <c r="CG77" s="52">
        <f t="shared" si="139"/>
        <v>0.3707414829659319</v>
      </c>
      <c r="CH77" s="52">
        <f t="shared" si="139"/>
        <v>0.31159420289855078</v>
      </c>
      <c r="CI77" s="52">
        <f t="shared" si="139"/>
        <v>-0.33289774583469456</v>
      </c>
      <c r="CJ77" s="52">
        <f t="shared" si="139"/>
        <v>-0.51133188450791678</v>
      </c>
      <c r="CK77" s="52">
        <f t="shared" si="139"/>
        <v>-0.46461988304093571</v>
      </c>
      <c r="CL77" s="52">
        <f t="shared" si="139"/>
        <v>-0.38121546961325969</v>
      </c>
      <c r="CM77" s="52">
        <f t="shared" si="139"/>
        <v>0.21743388834475996</v>
      </c>
      <c r="CN77" s="52">
        <f t="shared" si="139"/>
        <v>0.81448538754764921</v>
      </c>
      <c r="CO77" s="52">
        <f t="shared" si="139"/>
        <v>0.5647187329328236</v>
      </c>
      <c r="CP77" s="52">
        <f t="shared" si="139"/>
        <v>0.18169642857142865</v>
      </c>
      <c r="CQ77" s="52">
        <f t="shared" si="139"/>
        <v>0.15848753016894612</v>
      </c>
      <c r="CR77" s="52">
        <f t="shared" si="139"/>
        <v>0.14810924369747891</v>
      </c>
      <c r="CS77" s="52">
        <f t="shared" si="139"/>
        <v>-0.11204188481675392</v>
      </c>
      <c r="CT77" s="52">
        <f t="shared" si="139"/>
        <v>0.42160936909709101</v>
      </c>
      <c r="CU77" s="52">
        <f t="shared" si="139"/>
        <v>0.48854166666666665</v>
      </c>
      <c r="CV77" s="52">
        <f t="shared" si="139"/>
        <v>0.30070143336383048</v>
      </c>
      <c r="CW77" s="52">
        <f t="shared" si="139"/>
        <v>0.46501572327044016</v>
      </c>
      <c r="CX77" s="52">
        <f t="shared" si="139"/>
        <v>-5.9088493223491967E-2</v>
      </c>
      <c r="CY77" s="53">
        <f t="shared" si="139"/>
        <v>-0.1885191026201376</v>
      </c>
      <c r="CZ77" s="53">
        <f t="shared" si="139"/>
        <v>-0.1478185377900475</v>
      </c>
      <c r="DA77" s="53">
        <f t="shared" si="139"/>
        <v>1.4238520800433196E-2</v>
      </c>
      <c r="DB77" s="53">
        <f t="shared" si="139"/>
        <v>-9.177044460071615E-3</v>
      </c>
      <c r="DC77" s="53">
        <f t="shared" si="139"/>
        <v>6.1973193256406489E-2</v>
      </c>
      <c r="DD77" s="53">
        <f t="shared" si="139"/>
        <v>9.5446731520613337E-2</v>
      </c>
      <c r="DE77" s="53">
        <f t="shared" si="139"/>
        <v>9.3444002202441867E-2</v>
      </c>
      <c r="DF77" s="53">
        <f t="shared" si="139"/>
        <v>7.4634555876162079E-2</v>
      </c>
      <c r="DG77" s="53">
        <f t="shared" si="139"/>
        <v>7.4336850302906488E-2</v>
      </c>
      <c r="DH77" s="53">
        <f t="shared" si="139"/>
        <v>8.0344175385670624E-2</v>
      </c>
      <c r="DI77" s="53">
        <f t="shared" si="139"/>
        <v>9.1048195925621966E-2</v>
      </c>
      <c r="DJ77" s="53">
        <f t="shared" si="139"/>
        <v>9.132482289023014E-2</v>
      </c>
      <c r="DK77" s="53">
        <f t="shared" si="139"/>
        <v>9.1083152214755048E-2</v>
      </c>
      <c r="DL77" s="53">
        <f t="shared" si="139"/>
        <v>9.0836825659803555E-2</v>
      </c>
      <c r="DM77" s="53">
        <f t="shared" si="139"/>
        <v>9.1441903340427899E-2</v>
      </c>
      <c r="DN77" s="53">
        <f t="shared" si="139"/>
        <v>9.1692590439488297E-2</v>
      </c>
      <c r="DO77" s="53">
        <f t="shared" si="139"/>
        <v>9.1473588724821697E-2</v>
      </c>
      <c r="DP77" s="53">
        <f t="shared" si="139"/>
        <v>9.1250267996833001E-2</v>
      </c>
      <c r="DQ77" s="53">
        <f t="shared" si="139"/>
        <v>9.179865374773466E-2</v>
      </c>
      <c r="EC77" s="79"/>
      <c r="ED77" s="79"/>
      <c r="EE77" s="79"/>
      <c r="EF77" s="52">
        <f>EF75/EE75-1</f>
        <v>0.14817629179331315</v>
      </c>
      <c r="EG77" s="52">
        <f t="shared" ref="EG77:ET77" si="140">EG75/EF75-1</f>
        <v>0.3626737260092654</v>
      </c>
      <c r="EH77" s="52">
        <f t="shared" si="140"/>
        <v>0.36911121903836808</v>
      </c>
      <c r="EI77" s="52">
        <f>EI75/EH75-1</f>
        <v>0.44022703086200776</v>
      </c>
      <c r="EJ77" s="52">
        <f t="shared" si="140"/>
        <v>0.35788177339901472</v>
      </c>
      <c r="EK77" s="52">
        <f t="shared" si="140"/>
        <v>0.13295846181752213</v>
      </c>
      <c r="EL77" s="52">
        <f t="shared" si="140"/>
        <v>-0.11655459494076204</v>
      </c>
      <c r="EM77" s="52">
        <f t="shared" si="140"/>
        <v>0.40612540775643358</v>
      </c>
      <c r="EN77" s="52">
        <f t="shared" si="140"/>
        <v>0.60613481118700863</v>
      </c>
      <c r="EO77" s="52">
        <f t="shared" si="140"/>
        <v>-0.27242818167228378</v>
      </c>
      <c r="EP77" s="52">
        <f t="shared" si="140"/>
        <v>0.15220028675416342</v>
      </c>
      <c r="EQ77" s="52">
        <f t="shared" si="140"/>
        <v>8.643629750167503E-2</v>
      </c>
      <c r="ER77" s="52">
        <f t="shared" si="140"/>
        <v>0.41339207048458149</v>
      </c>
      <c r="ES77" s="65">
        <f t="shared" si="140"/>
        <v>-0.1002312984405852</v>
      </c>
      <c r="ET77" s="65">
        <f t="shared" si="140"/>
        <v>6.1190674651448562E-2</v>
      </c>
      <c r="EU77" s="65">
        <f>EU75/ET75-1</f>
        <v>8.0475990851595292E-2</v>
      </c>
      <c r="EV77" s="65">
        <f>EV75/EU75-1</f>
        <v>9.1171937156924621E-2</v>
      </c>
      <c r="EW77" s="65">
        <f>EW75/EV75-1</f>
        <v>9.1554056819964202E-2</v>
      </c>
    </row>
    <row r="78" spans="1:154" s="52" customFormat="1">
      <c r="A78" s="51" t="s">
        <v>258</v>
      </c>
      <c r="BB78" s="52" t="e">
        <f t="shared" ref="BB78:CG78" si="141">BB75/BB$119</f>
        <v>#REF!</v>
      </c>
      <c r="BC78" s="52" t="e">
        <f t="shared" si="141"/>
        <v>#REF!</v>
      </c>
      <c r="BD78" s="52" t="e">
        <f t="shared" si="141"/>
        <v>#REF!</v>
      </c>
      <c r="BE78" s="52" t="e">
        <f t="shared" si="141"/>
        <v>#REF!</v>
      </c>
      <c r="BF78" s="52" t="e">
        <f t="shared" si="141"/>
        <v>#REF!</v>
      </c>
      <c r="BG78" s="52" t="e">
        <f t="shared" si="141"/>
        <v>#REF!</v>
      </c>
      <c r="BH78" s="52" t="e">
        <f t="shared" si="141"/>
        <v>#REF!</v>
      </c>
      <c r="BI78" s="52" t="e">
        <f t="shared" si="141"/>
        <v>#REF!</v>
      </c>
      <c r="BJ78" s="52" t="e">
        <f t="shared" si="141"/>
        <v>#REF!</v>
      </c>
      <c r="BK78" s="52" t="e">
        <f t="shared" si="141"/>
        <v>#REF!</v>
      </c>
      <c r="BL78" s="52" t="e">
        <f t="shared" si="141"/>
        <v>#REF!</v>
      </c>
      <c r="BM78" s="52" t="e">
        <f t="shared" si="141"/>
        <v>#REF!</v>
      </c>
      <c r="BN78" s="52" t="e">
        <f t="shared" si="141"/>
        <v>#REF!</v>
      </c>
      <c r="BO78" s="52">
        <f t="shared" si="141"/>
        <v>0.53183856502242155</v>
      </c>
      <c r="BP78" s="52">
        <f t="shared" si="141"/>
        <v>0.592185128983308</v>
      </c>
      <c r="BQ78" s="52">
        <f t="shared" si="141"/>
        <v>0.59738921332875305</v>
      </c>
      <c r="BR78" s="52">
        <f t="shared" si="141"/>
        <v>0.53726223885251012</v>
      </c>
      <c r="BS78" s="52">
        <f t="shared" si="141"/>
        <v>0.57796990073647136</v>
      </c>
      <c r="BT78" s="52">
        <f t="shared" si="141"/>
        <v>0.55454259666771455</v>
      </c>
      <c r="BU78" s="52">
        <f t="shared" si="141"/>
        <v>0.43265306122448982</v>
      </c>
      <c r="BV78" s="52">
        <f t="shared" si="141"/>
        <v>0.4752252252252252</v>
      </c>
      <c r="BW78" s="52">
        <f t="shared" si="141"/>
        <v>0.50911205893757272</v>
      </c>
      <c r="BX78" s="52">
        <f t="shared" si="141"/>
        <v>0.5504313205043132</v>
      </c>
      <c r="BY78" s="52">
        <f t="shared" si="141"/>
        <v>0.48019323671497582</v>
      </c>
      <c r="BZ78" s="52">
        <f t="shared" si="141"/>
        <v>0.43474025974025976</v>
      </c>
      <c r="CA78" s="52">
        <f t="shared" si="141"/>
        <v>0.42783238489394726</v>
      </c>
      <c r="CB78" s="52">
        <f t="shared" si="141"/>
        <v>0.48053322048243757</v>
      </c>
      <c r="CC78" s="52">
        <f t="shared" si="141"/>
        <v>0.49870077953228065</v>
      </c>
      <c r="CD78" s="52">
        <f t="shared" si="141"/>
        <v>0.48754636989931105</v>
      </c>
      <c r="CE78" s="52">
        <f t="shared" si="141"/>
        <v>0.47041647456585217</v>
      </c>
      <c r="CF78" s="52">
        <f t="shared" si="141"/>
        <v>0.45347036463466139</v>
      </c>
      <c r="CG78" s="52">
        <f t="shared" si="141"/>
        <v>0.44746827162109121</v>
      </c>
      <c r="CH78" s="52">
        <f t="shared" ref="CH78:DQ78" si="142">CH75/CH$119</f>
        <v>0.43677606177606176</v>
      </c>
      <c r="CI78" s="52">
        <f t="shared" si="142"/>
        <v>0.3045942720763723</v>
      </c>
      <c r="CJ78" s="52">
        <f t="shared" si="142"/>
        <v>0.26538526386781319</v>
      </c>
      <c r="CK78" s="52">
        <f t="shared" si="142"/>
        <v>0.30259461246075031</v>
      </c>
      <c r="CL78" s="52">
        <f t="shared" si="142"/>
        <v>0.31145717463848721</v>
      </c>
      <c r="CM78" s="52">
        <f t="shared" si="142"/>
        <v>0.18405271340786258</v>
      </c>
      <c r="CN78" s="52">
        <f t="shared" si="142"/>
        <v>0.15761589403973511</v>
      </c>
      <c r="CO78" s="52">
        <f t="shared" si="142"/>
        <v>0.12962041351852691</v>
      </c>
      <c r="CP78" s="52">
        <f t="shared" si="142"/>
        <v>0.10163569344186761</v>
      </c>
      <c r="CQ78" s="52">
        <f t="shared" si="142"/>
        <v>9.5872170439414109E-2</v>
      </c>
      <c r="CR78" s="52">
        <f t="shared" si="142"/>
        <v>9.3466735077817678E-2</v>
      </c>
      <c r="CS78" s="52">
        <f t="shared" si="142"/>
        <v>6.4681803157814452E-2</v>
      </c>
      <c r="CT78" s="52">
        <f t="shared" si="142"/>
        <v>8.5402387544823211E-2</v>
      </c>
      <c r="CU78" s="52">
        <f t="shared" si="142"/>
        <v>9.1714267376933445E-2</v>
      </c>
      <c r="CV78" s="52">
        <f t="shared" si="142"/>
        <v>7.4816685962881102E-2</v>
      </c>
      <c r="CW78" s="52">
        <f t="shared" si="142"/>
        <v>5.4706650813921058E-2</v>
      </c>
      <c r="CX78" s="52">
        <f t="shared" si="142"/>
        <v>4.3382343931875261E-2</v>
      </c>
      <c r="CY78" s="53">
        <f t="shared" si="142"/>
        <v>3.7386673741814556E-2</v>
      </c>
      <c r="CZ78" s="53">
        <f t="shared" si="142"/>
        <v>3.2845107812819532E-2</v>
      </c>
      <c r="DA78" s="53">
        <f t="shared" si="142"/>
        <v>3.0112386808946758E-2</v>
      </c>
      <c r="DB78" s="53">
        <f t="shared" si="142"/>
        <v>2.5597326155438891E-2</v>
      </c>
      <c r="DC78" s="53">
        <f t="shared" si="142"/>
        <v>2.4554333105424514E-2</v>
      </c>
      <c r="DD78" s="53">
        <f t="shared" si="142"/>
        <v>2.3671950287031999E-2</v>
      </c>
      <c r="DE78" s="53">
        <f t="shared" si="142"/>
        <v>2.3037435500142801E-2</v>
      </c>
      <c r="DF78" s="53">
        <f t="shared" si="142"/>
        <v>2.0481469040256672E-2</v>
      </c>
      <c r="DG78" s="53">
        <f t="shared" si="142"/>
        <v>2.0917934666997148E-2</v>
      </c>
      <c r="DH78" s="53">
        <f t="shared" si="142"/>
        <v>2.1184984925211193E-2</v>
      </c>
      <c r="DI78" s="53">
        <f t="shared" si="142"/>
        <v>2.1154683005892346E-2</v>
      </c>
      <c r="DJ78" s="53">
        <f t="shared" si="142"/>
        <v>1.9163484694986268E-2</v>
      </c>
      <c r="DK78" s="53">
        <f t="shared" si="142"/>
        <v>1.9942199131927948E-2</v>
      </c>
      <c r="DL78" s="53">
        <f t="shared" si="142"/>
        <v>2.0946018158661827E-2</v>
      </c>
      <c r="DM78" s="53">
        <f t="shared" si="142"/>
        <v>2.1516224565927264E-2</v>
      </c>
      <c r="DN78" s="53">
        <f t="shared" si="142"/>
        <v>1.9311639383828738E-2</v>
      </c>
      <c r="DO78" s="53">
        <f t="shared" si="142"/>
        <v>1.9717398259145254E-2</v>
      </c>
      <c r="DP78" s="53">
        <f t="shared" si="142"/>
        <v>2.0143907746434622E-2</v>
      </c>
      <c r="DQ78" s="53">
        <f t="shared" si="142"/>
        <v>2.0321321186111747E-2</v>
      </c>
      <c r="EC78" s="79"/>
      <c r="ED78" s="79"/>
      <c r="EE78" s="658">
        <f t="shared" ref="EE78:EW78" si="143">EE75/EE$119</f>
        <v>0.30747663551401871</v>
      </c>
      <c r="EF78" s="658">
        <f t="shared" si="143"/>
        <v>0.36585956416464893</v>
      </c>
      <c r="EG78" s="62" t="e">
        <f t="shared" si="143"/>
        <v>#REF!</v>
      </c>
      <c r="EH78" s="62" t="e">
        <f t="shared" si="143"/>
        <v>#REF!</v>
      </c>
      <c r="EI78" s="62" t="e">
        <f t="shared" si="143"/>
        <v>#REF!</v>
      </c>
      <c r="EJ78" s="62" t="e">
        <f t="shared" si="143"/>
        <v>#REF!</v>
      </c>
      <c r="EK78" s="62">
        <f t="shared" si="143"/>
        <v>0.53311710481392971</v>
      </c>
      <c r="EL78" s="62">
        <f t="shared" si="143"/>
        <v>0.50540392013189228</v>
      </c>
      <c r="EM78" s="62">
        <f t="shared" si="143"/>
        <v>0.51649251463021795</v>
      </c>
      <c r="EN78" s="60">
        <f t="shared" si="143"/>
        <v>0.46303039310396077</v>
      </c>
      <c r="EO78" s="60">
        <f t="shared" si="143"/>
        <v>0.3361385037443464</v>
      </c>
      <c r="EP78" s="60">
        <f t="shared" si="143"/>
        <v>0.17148156659334887</v>
      </c>
      <c r="EQ78" s="60">
        <f t="shared" si="143"/>
        <v>8.6975179506042291E-2</v>
      </c>
      <c r="ER78" s="60">
        <f t="shared" si="143"/>
        <v>7.4289842454778682E-2</v>
      </c>
      <c r="ES78" s="61">
        <f t="shared" si="143"/>
        <v>3.5131915091136112E-2</v>
      </c>
      <c r="ET78" s="61">
        <f t="shared" si="143"/>
        <v>2.4117214117624599E-2</v>
      </c>
      <c r="EU78" s="61">
        <f t="shared" si="143"/>
        <v>2.094875692332256E-2</v>
      </c>
      <c r="EV78" s="61">
        <f t="shared" si="143"/>
        <v>2.0414436204098822E-2</v>
      </c>
      <c r="EW78" s="61">
        <f t="shared" si="143"/>
        <v>1.9892730879990512E-2</v>
      </c>
    </row>
    <row r="79" spans="1:154" s="49" customFormat="1">
      <c r="A79" s="76" t="s">
        <v>260</v>
      </c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6"/>
      <c r="AY79" s="76"/>
      <c r="AZ79" s="76"/>
      <c r="BA79" s="76"/>
      <c r="BB79" s="76">
        <v>191</v>
      </c>
      <c r="BC79" s="76">
        <v>208</v>
      </c>
      <c r="BD79" s="76">
        <v>206</v>
      </c>
      <c r="BE79" s="76">
        <v>190</v>
      </c>
      <c r="BF79" s="76">
        <v>181</v>
      </c>
      <c r="BG79" s="76">
        <v>176</v>
      </c>
      <c r="BH79" s="76">
        <v>190</v>
      </c>
      <c r="BI79" s="76">
        <v>203</v>
      </c>
      <c r="BJ79" s="76">
        <v>189</v>
      </c>
      <c r="BK79" s="76">
        <v>214</v>
      </c>
      <c r="BL79" s="76">
        <v>207</v>
      </c>
      <c r="BM79" s="76">
        <v>225</v>
      </c>
      <c r="BN79" s="76">
        <v>205</v>
      </c>
      <c r="BO79" s="76">
        <v>235</v>
      </c>
      <c r="BP79" s="76">
        <v>239</v>
      </c>
      <c r="BQ79" s="76">
        <v>254</v>
      </c>
      <c r="BR79" s="76">
        <v>251</v>
      </c>
      <c r="BS79" s="76">
        <v>281</v>
      </c>
      <c r="BT79" s="76">
        <v>305</v>
      </c>
      <c r="BU79" s="76">
        <v>293</v>
      </c>
      <c r="BV79" s="76">
        <v>266</v>
      </c>
      <c r="BW79" s="76">
        <v>291</v>
      </c>
      <c r="BX79" s="76">
        <v>324</v>
      </c>
      <c r="BY79" s="76">
        <v>331</v>
      </c>
      <c r="BZ79" s="76">
        <v>307</v>
      </c>
      <c r="CA79" s="76">
        <v>203</v>
      </c>
      <c r="CB79" s="76">
        <v>236</v>
      </c>
      <c r="CC79" s="76">
        <v>307</v>
      </c>
      <c r="CD79" s="76">
        <v>372</v>
      </c>
      <c r="CE79" s="76">
        <v>519</v>
      </c>
      <c r="CF79" s="76">
        <v>577</v>
      </c>
      <c r="CG79" s="76">
        <v>643</v>
      </c>
      <c r="CH79" s="76">
        <v>622</v>
      </c>
      <c r="CI79" s="76">
        <v>496</v>
      </c>
      <c r="CJ79" s="76">
        <v>200</v>
      </c>
      <c r="CK79" s="76">
        <v>226</v>
      </c>
      <c r="CL79" s="76">
        <v>295</v>
      </c>
      <c r="CM79" s="76">
        <v>379</v>
      </c>
      <c r="CN79" s="76">
        <v>416</v>
      </c>
      <c r="CO79" s="76">
        <v>463</v>
      </c>
      <c r="CP79" s="76">
        <v>427</v>
      </c>
      <c r="CQ79" s="76">
        <v>454</v>
      </c>
      <c r="CR79" s="76">
        <v>486</v>
      </c>
      <c r="CS79" s="76">
        <v>511</v>
      </c>
      <c r="CT79" s="76">
        <v>509</v>
      </c>
      <c r="CU79" s="76">
        <v>601</v>
      </c>
      <c r="CV79" s="76">
        <v>760</v>
      </c>
      <c r="CW79" s="76">
        <v>1321</v>
      </c>
      <c r="CX79" s="76">
        <f>CW79*(1+CX80)</f>
        <v>1955.08</v>
      </c>
      <c r="CY79" s="78">
        <f>CX79*(1+CY80)</f>
        <v>2111.4864000000002</v>
      </c>
      <c r="CZ79" s="78">
        <f>CY79*(1+CZ80)</f>
        <v>2174.8309920000002</v>
      </c>
      <c r="DA79" s="78">
        <f>CZ79*(1+DA80)</f>
        <v>2283.5725416000005</v>
      </c>
      <c r="DB79" s="78">
        <f t="shared" ref="DB79:DQ79" si="144">DA79*(1+DB80)</f>
        <v>2100.8867382720005</v>
      </c>
      <c r="DC79" s="78">
        <f t="shared" si="144"/>
        <v>2184.9222078028806</v>
      </c>
      <c r="DD79" s="78">
        <f t="shared" si="144"/>
        <v>2316.0175402710533</v>
      </c>
      <c r="DE79" s="78">
        <f t="shared" si="144"/>
        <v>2408.6582418818957</v>
      </c>
      <c r="DF79" s="78">
        <f t="shared" si="144"/>
        <v>2215.9655825313444</v>
      </c>
      <c r="DG79" s="78">
        <f t="shared" si="144"/>
        <v>2326.7638616579115</v>
      </c>
      <c r="DH79" s="78">
        <f t="shared" si="144"/>
        <v>2489.6373319739655</v>
      </c>
      <c r="DI79" s="78">
        <f t="shared" si="144"/>
        <v>2614.1191985726637</v>
      </c>
      <c r="DJ79" s="78">
        <f t="shared" si="144"/>
        <v>2404.9896626868508</v>
      </c>
      <c r="DK79" s="78">
        <f t="shared" si="144"/>
        <v>2501.1892491943249</v>
      </c>
      <c r="DL79" s="78">
        <f t="shared" si="144"/>
        <v>2651.2606041459844</v>
      </c>
      <c r="DM79" s="78">
        <f t="shared" si="144"/>
        <v>2783.823634353284</v>
      </c>
      <c r="DN79" s="78">
        <f t="shared" si="144"/>
        <v>2561.1177436050216</v>
      </c>
      <c r="DO79" s="78">
        <f t="shared" si="144"/>
        <v>2663.5624533492223</v>
      </c>
      <c r="DP79" s="78">
        <f t="shared" si="144"/>
        <v>2823.3762005501758</v>
      </c>
      <c r="DQ79" s="78">
        <f t="shared" si="144"/>
        <v>2964.5450105776845</v>
      </c>
      <c r="DT79" s="77"/>
      <c r="DU79" s="77"/>
      <c r="DV79" s="77"/>
      <c r="DW79" s="77"/>
      <c r="DX79" s="77"/>
      <c r="DY79" s="77"/>
      <c r="DZ79" s="77"/>
      <c r="EA79" s="77"/>
      <c r="EB79" s="77"/>
      <c r="EC79" s="76"/>
      <c r="ED79" s="76"/>
      <c r="EE79" s="76">
        <v>719</v>
      </c>
      <c r="EF79" s="76">
        <v>789</v>
      </c>
      <c r="EG79" s="76">
        <f>SUM(BB79:BE79)</f>
        <v>795</v>
      </c>
      <c r="EH79" s="76">
        <f>SUM(BF79:BI79)</f>
        <v>750</v>
      </c>
      <c r="EI79" s="76">
        <f>SUM(BJ79:BM79)</f>
        <v>835</v>
      </c>
      <c r="EJ79" s="76">
        <f>SUM(BN79:BQ79)</f>
        <v>933</v>
      </c>
      <c r="EK79" s="76">
        <f>SUM(BR79:BU79)</f>
        <v>1130</v>
      </c>
      <c r="EL79" s="76">
        <f>BV79+BW79+BX79+BY79</f>
        <v>1212</v>
      </c>
      <c r="EM79" s="76">
        <f>SUM(BZ79:CC79)</f>
        <v>1053</v>
      </c>
      <c r="EN79" s="76">
        <f>+CD79+CE79+CF79+CG79</f>
        <v>2111</v>
      </c>
      <c r="EO79" s="76">
        <f>SUM(CH79:CK79)</f>
        <v>1544</v>
      </c>
      <c r="EP79" s="76">
        <f>SUM(CL79:CO79)</f>
        <v>1553</v>
      </c>
      <c r="EQ79" s="76">
        <f>SUM(CP79:CS79)</f>
        <v>1878</v>
      </c>
      <c r="ER79" s="76">
        <f>SUM(CT79:CW79)</f>
        <v>3191</v>
      </c>
      <c r="ES79" s="78">
        <f>SUM(CX79:DA79)</f>
        <v>8524.9699336000012</v>
      </c>
      <c r="ET79" s="78">
        <f>SUM(DB79:DE79)</f>
        <v>9010.4847282278315</v>
      </c>
      <c r="EU79" s="78">
        <f>SUM(DF79:DI79)</f>
        <v>9646.4859747358842</v>
      </c>
      <c r="EV79" s="78">
        <f>SUM(DJ79:DM79)</f>
        <v>10341.263150380444</v>
      </c>
      <c r="EW79" s="78">
        <f>SUM(DN79:DQ79)</f>
        <v>11012.601408082104</v>
      </c>
      <c r="EX79" s="35"/>
    </row>
    <row r="80" spans="1:154" s="52" customFormat="1">
      <c r="A80" s="51" t="s">
        <v>223</v>
      </c>
      <c r="BB80" s="62"/>
      <c r="BC80" s="62">
        <f t="shared" ref="BC80:CW80" si="145">BC79/BB79-1</f>
        <v>8.9005235602094279E-2</v>
      </c>
      <c r="BD80" s="62">
        <f t="shared" si="145"/>
        <v>-9.6153846153845812E-3</v>
      </c>
      <c r="BE80" s="62">
        <f t="shared" si="145"/>
        <v>-7.7669902912621325E-2</v>
      </c>
      <c r="BF80" s="62">
        <f t="shared" si="145"/>
        <v>-4.7368421052631615E-2</v>
      </c>
      <c r="BG80" s="62">
        <f t="shared" si="145"/>
        <v>-2.7624309392265234E-2</v>
      </c>
      <c r="BH80" s="62">
        <f t="shared" si="145"/>
        <v>7.9545454545454586E-2</v>
      </c>
      <c r="BI80" s="62">
        <f t="shared" si="145"/>
        <v>6.8421052631578938E-2</v>
      </c>
      <c r="BJ80" s="62">
        <f t="shared" si="145"/>
        <v>-6.8965517241379337E-2</v>
      </c>
      <c r="BK80" s="62">
        <f t="shared" si="145"/>
        <v>0.13227513227513232</v>
      </c>
      <c r="BL80" s="62">
        <f t="shared" si="145"/>
        <v>-3.2710280373831724E-2</v>
      </c>
      <c r="BM80" s="62">
        <f t="shared" si="145"/>
        <v>8.6956521739130377E-2</v>
      </c>
      <c r="BN80" s="62">
        <f t="shared" si="145"/>
        <v>-8.8888888888888906E-2</v>
      </c>
      <c r="BO80" s="62">
        <f t="shared" si="145"/>
        <v>0.14634146341463405</v>
      </c>
      <c r="BP80" s="62">
        <f t="shared" si="145"/>
        <v>1.7021276595744705E-2</v>
      </c>
      <c r="BQ80" s="62">
        <f t="shared" si="145"/>
        <v>6.2761506276150625E-2</v>
      </c>
      <c r="BR80" s="62">
        <f t="shared" si="145"/>
        <v>-1.1811023622047223E-2</v>
      </c>
      <c r="BS80" s="62">
        <f t="shared" si="145"/>
        <v>0.1195219123505975</v>
      </c>
      <c r="BT80" s="62">
        <f t="shared" si="145"/>
        <v>8.5409252669039093E-2</v>
      </c>
      <c r="BU80" s="62">
        <f t="shared" si="145"/>
        <v>-3.9344262295081922E-2</v>
      </c>
      <c r="BV80" s="62">
        <f t="shared" si="145"/>
        <v>-9.2150170648464202E-2</v>
      </c>
      <c r="BW80" s="62">
        <f t="shared" si="145"/>
        <v>9.3984962406014949E-2</v>
      </c>
      <c r="BX80" s="62">
        <f t="shared" si="145"/>
        <v>0.11340206185567014</v>
      </c>
      <c r="BY80" s="62">
        <f t="shared" si="145"/>
        <v>2.1604938271605034E-2</v>
      </c>
      <c r="BZ80" s="62">
        <f t="shared" si="145"/>
        <v>-7.2507552870090586E-2</v>
      </c>
      <c r="CA80" s="62">
        <f t="shared" si="145"/>
        <v>-0.33876221498371339</v>
      </c>
      <c r="CB80" s="62">
        <f t="shared" si="145"/>
        <v>0.16256157635467972</v>
      </c>
      <c r="CC80" s="62">
        <f t="shared" si="145"/>
        <v>0.30084745762711873</v>
      </c>
      <c r="CD80" s="62">
        <f t="shared" si="145"/>
        <v>0.21172638436482094</v>
      </c>
      <c r="CE80" s="62">
        <f t="shared" si="145"/>
        <v>0.39516129032258074</v>
      </c>
      <c r="CF80" s="62">
        <f t="shared" si="145"/>
        <v>0.11175337186897871</v>
      </c>
      <c r="CG80" s="62">
        <f t="shared" si="145"/>
        <v>0.11438474870017323</v>
      </c>
      <c r="CH80" s="62">
        <f t="shared" si="145"/>
        <v>-3.2659409020217689E-2</v>
      </c>
      <c r="CI80" s="62">
        <f t="shared" si="145"/>
        <v>-0.202572347266881</v>
      </c>
      <c r="CJ80" s="62">
        <f t="shared" si="145"/>
        <v>-0.59677419354838712</v>
      </c>
      <c r="CK80" s="62">
        <f t="shared" si="145"/>
        <v>0.12999999999999989</v>
      </c>
      <c r="CL80" s="62">
        <f t="shared" si="145"/>
        <v>0.30530973451327426</v>
      </c>
      <c r="CM80" s="62">
        <f t="shared" si="145"/>
        <v>0.28474576271186436</v>
      </c>
      <c r="CN80" s="62">
        <f t="shared" si="145"/>
        <v>9.7625329815303363E-2</v>
      </c>
      <c r="CO80" s="62">
        <f t="shared" si="145"/>
        <v>0.11298076923076916</v>
      </c>
      <c r="CP80" s="62">
        <f t="shared" si="145"/>
        <v>-7.7753779697624203E-2</v>
      </c>
      <c r="CQ80" s="62">
        <f t="shared" si="145"/>
        <v>6.3231850117096089E-2</v>
      </c>
      <c r="CR80" s="62">
        <f t="shared" si="145"/>
        <v>7.0484581497797461E-2</v>
      </c>
      <c r="CS80" s="62">
        <f t="shared" si="145"/>
        <v>5.1440329218106928E-2</v>
      </c>
      <c r="CT80" s="62">
        <f t="shared" si="145"/>
        <v>-3.9138943248532287E-3</v>
      </c>
      <c r="CU80" s="62">
        <f t="shared" si="145"/>
        <v>0.18074656188605109</v>
      </c>
      <c r="CV80" s="62">
        <f t="shared" si="145"/>
        <v>0.26455906821963393</v>
      </c>
      <c r="CW80" s="62">
        <f t="shared" si="145"/>
        <v>0.73815789473684212</v>
      </c>
      <c r="CX80" s="62">
        <v>0.48</v>
      </c>
      <c r="CY80" s="659">
        <v>0.08</v>
      </c>
      <c r="CZ80" s="659">
        <v>0.03</v>
      </c>
      <c r="DA80" s="659">
        <v>0.05</v>
      </c>
      <c r="DB80" s="659">
        <v>-0.08</v>
      </c>
      <c r="DC80" s="659">
        <v>0.04</v>
      </c>
      <c r="DD80" s="659">
        <v>0.06</v>
      </c>
      <c r="DE80" s="659">
        <v>0.04</v>
      </c>
      <c r="DF80" s="659">
        <v>-0.08</v>
      </c>
      <c r="DG80" s="659">
        <v>0.05</v>
      </c>
      <c r="DH80" s="659">
        <v>7.0000000000000007E-2</v>
      </c>
      <c r="DI80" s="659">
        <v>0.05</v>
      </c>
      <c r="DJ80" s="659">
        <v>-0.08</v>
      </c>
      <c r="DK80" s="659">
        <v>0.04</v>
      </c>
      <c r="DL80" s="659">
        <v>0.06</v>
      </c>
      <c r="DM80" s="659">
        <v>0.05</v>
      </c>
      <c r="DN80" s="659">
        <v>-0.08</v>
      </c>
      <c r="DO80" s="659">
        <v>0.04</v>
      </c>
      <c r="DP80" s="659">
        <v>0.06</v>
      </c>
      <c r="DQ80" s="659">
        <v>0.05</v>
      </c>
      <c r="DT80" s="54" t="s">
        <v>224</v>
      </c>
      <c r="DU80" s="54" t="s">
        <v>224</v>
      </c>
      <c r="DV80" s="54" t="s">
        <v>224</v>
      </c>
      <c r="DW80" s="54" t="s">
        <v>224</v>
      </c>
      <c r="DX80" s="54" t="s">
        <v>224</v>
      </c>
      <c r="DY80" s="54" t="s">
        <v>224</v>
      </c>
      <c r="DZ80" s="54" t="s">
        <v>224</v>
      </c>
      <c r="EA80" s="54" t="s">
        <v>224</v>
      </c>
      <c r="EB80" s="54" t="s">
        <v>224</v>
      </c>
      <c r="EC80" s="54" t="s">
        <v>224</v>
      </c>
      <c r="ED80" s="54" t="s">
        <v>224</v>
      </c>
      <c r="EE80" s="54" t="s">
        <v>224</v>
      </c>
      <c r="EF80" s="54" t="s">
        <v>224</v>
      </c>
      <c r="EG80" s="54" t="s">
        <v>224</v>
      </c>
      <c r="EH80" s="54" t="s">
        <v>224</v>
      </c>
      <c r="EI80" s="54" t="s">
        <v>224</v>
      </c>
      <c r="EJ80" s="54" t="s">
        <v>224</v>
      </c>
      <c r="EK80" s="54" t="s">
        <v>224</v>
      </c>
      <c r="EL80" s="54" t="s">
        <v>224</v>
      </c>
      <c r="EM80" s="54" t="s">
        <v>224</v>
      </c>
      <c r="EN80" s="54" t="s">
        <v>224</v>
      </c>
      <c r="EO80" s="54" t="s">
        <v>224</v>
      </c>
      <c r="EP80" s="54" t="s">
        <v>224</v>
      </c>
      <c r="EQ80" s="54" t="s">
        <v>224</v>
      </c>
      <c r="ER80" s="54" t="s">
        <v>224</v>
      </c>
      <c r="ES80" s="55" t="s">
        <v>224</v>
      </c>
      <c r="ET80" s="55" t="s">
        <v>224</v>
      </c>
      <c r="EU80" s="55" t="s">
        <v>224</v>
      </c>
      <c r="EV80" s="55" t="s">
        <v>224</v>
      </c>
      <c r="EW80" s="55" t="s">
        <v>224</v>
      </c>
    </row>
    <row r="81" spans="1:155" s="52" customFormat="1">
      <c r="A81" s="51" t="s">
        <v>225</v>
      </c>
      <c r="BB81" s="62"/>
      <c r="BC81" s="62"/>
      <c r="BD81" s="62"/>
      <c r="BE81" s="62"/>
      <c r="BF81" s="62">
        <f t="shared" ref="BF81:DQ81" si="146">BF79/BB79-1</f>
        <v>-5.2356020942408432E-2</v>
      </c>
      <c r="BG81" s="62">
        <f t="shared" si="146"/>
        <v>-0.15384615384615385</v>
      </c>
      <c r="BH81" s="62">
        <f t="shared" si="146"/>
        <v>-7.7669902912621325E-2</v>
      </c>
      <c r="BI81" s="62">
        <f t="shared" si="146"/>
        <v>6.8421052631578938E-2</v>
      </c>
      <c r="BJ81" s="62">
        <f t="shared" si="146"/>
        <v>4.4198895027624419E-2</v>
      </c>
      <c r="BK81" s="62">
        <f t="shared" si="146"/>
        <v>0.21590909090909083</v>
      </c>
      <c r="BL81" s="62">
        <f t="shared" si="146"/>
        <v>8.9473684210526372E-2</v>
      </c>
      <c r="BM81" s="62">
        <f t="shared" si="146"/>
        <v>0.10837438423645329</v>
      </c>
      <c r="BN81" s="62">
        <f t="shared" si="146"/>
        <v>8.4656084656084651E-2</v>
      </c>
      <c r="BO81" s="62">
        <f t="shared" si="146"/>
        <v>9.8130841121495394E-2</v>
      </c>
      <c r="BP81" s="62">
        <f t="shared" si="146"/>
        <v>0.15458937198067635</v>
      </c>
      <c r="BQ81" s="62">
        <f t="shared" si="146"/>
        <v>0.12888888888888883</v>
      </c>
      <c r="BR81" s="62">
        <f t="shared" si="146"/>
        <v>0.224390243902439</v>
      </c>
      <c r="BS81" s="62">
        <f t="shared" si="146"/>
        <v>0.19574468085106389</v>
      </c>
      <c r="BT81" s="62">
        <f t="shared" si="146"/>
        <v>0.2761506276150627</v>
      </c>
      <c r="BU81" s="62">
        <f t="shared" si="146"/>
        <v>0.15354330708661412</v>
      </c>
      <c r="BV81" s="62">
        <f t="shared" si="146"/>
        <v>5.9760956175298752E-2</v>
      </c>
      <c r="BW81" s="62">
        <f t="shared" si="146"/>
        <v>3.5587188612099752E-2</v>
      </c>
      <c r="BX81" s="62">
        <f t="shared" si="146"/>
        <v>6.2295081967213006E-2</v>
      </c>
      <c r="BY81" s="62">
        <f t="shared" si="146"/>
        <v>0.12969283276450505</v>
      </c>
      <c r="BZ81" s="62">
        <f t="shared" si="146"/>
        <v>0.15413533834586457</v>
      </c>
      <c r="CA81" s="62">
        <f t="shared" si="146"/>
        <v>-0.30240549828178698</v>
      </c>
      <c r="CB81" s="62">
        <f t="shared" si="146"/>
        <v>-0.27160493827160492</v>
      </c>
      <c r="CC81" s="62">
        <f t="shared" si="146"/>
        <v>-7.2507552870090586E-2</v>
      </c>
      <c r="CD81" s="62">
        <f t="shared" si="146"/>
        <v>0.21172638436482094</v>
      </c>
      <c r="CE81" s="62">
        <f t="shared" si="146"/>
        <v>1.5566502463054186</v>
      </c>
      <c r="CF81" s="62">
        <f t="shared" si="146"/>
        <v>1.4449152542372881</v>
      </c>
      <c r="CG81" s="62">
        <f t="shared" si="146"/>
        <v>1.0944625407166124</v>
      </c>
      <c r="CH81" s="62">
        <f t="shared" si="146"/>
        <v>0.67204301075268824</v>
      </c>
      <c r="CI81" s="62">
        <f t="shared" si="146"/>
        <v>-4.4315992292870865E-2</v>
      </c>
      <c r="CJ81" s="62">
        <f t="shared" si="146"/>
        <v>-0.65337954939341425</v>
      </c>
      <c r="CK81" s="62">
        <f t="shared" si="146"/>
        <v>-0.64852255054432351</v>
      </c>
      <c r="CL81" s="62">
        <f t="shared" si="146"/>
        <v>-0.52572347266881025</v>
      </c>
      <c r="CM81" s="62">
        <f t="shared" si="146"/>
        <v>-0.23588709677419351</v>
      </c>
      <c r="CN81" s="62">
        <f t="shared" si="146"/>
        <v>1.08</v>
      </c>
      <c r="CO81" s="62">
        <f t="shared" si="146"/>
        <v>1.0486725663716814</v>
      </c>
      <c r="CP81" s="62">
        <f t="shared" si="146"/>
        <v>0.44745762711864412</v>
      </c>
      <c r="CQ81" s="62">
        <f t="shared" si="146"/>
        <v>0.19788918205804751</v>
      </c>
      <c r="CR81" s="62">
        <f t="shared" si="146"/>
        <v>0.16826923076923084</v>
      </c>
      <c r="CS81" s="62">
        <f t="shared" si="146"/>
        <v>0.10367170626349886</v>
      </c>
      <c r="CT81" s="62">
        <f t="shared" si="146"/>
        <v>0.19203747072599531</v>
      </c>
      <c r="CU81" s="62">
        <f t="shared" si="146"/>
        <v>0.32378854625550657</v>
      </c>
      <c r="CV81" s="62">
        <f t="shared" si="146"/>
        <v>0.56378600823045266</v>
      </c>
      <c r="CW81" s="63">
        <f t="shared" si="146"/>
        <v>1.5851272015655575</v>
      </c>
      <c r="CX81" s="63">
        <f t="shared" si="146"/>
        <v>2.8410216110019646</v>
      </c>
      <c r="CY81" s="63">
        <f t="shared" si="146"/>
        <v>2.5132885191347758</v>
      </c>
      <c r="CZ81" s="63">
        <f t="shared" si="146"/>
        <v>1.8616197263157899</v>
      </c>
      <c r="DA81" s="63">
        <f t="shared" si="146"/>
        <v>0.72866960000000036</v>
      </c>
      <c r="DB81" s="63">
        <f t="shared" si="146"/>
        <v>7.4578400000000267E-2</v>
      </c>
      <c r="DC81" s="63">
        <f t="shared" si="146"/>
        <v>3.4779200000000232E-2</v>
      </c>
      <c r="DD81" s="63">
        <f t="shared" si="146"/>
        <v>6.4918400000000265E-2</v>
      </c>
      <c r="DE81" s="63">
        <f t="shared" si="146"/>
        <v>5.4776320000000212E-2</v>
      </c>
      <c r="DF81" s="63">
        <f t="shared" si="146"/>
        <v>5.4776320000000212E-2</v>
      </c>
      <c r="DG81" s="63">
        <f t="shared" si="146"/>
        <v>6.4918400000000265E-2</v>
      </c>
      <c r="DH81" s="63">
        <f t="shared" si="146"/>
        <v>7.4964800000000276E-2</v>
      </c>
      <c r="DI81" s="63">
        <f t="shared" si="146"/>
        <v>8.5301000000000071E-2</v>
      </c>
      <c r="DJ81" s="63">
        <f t="shared" si="146"/>
        <v>8.5301000000000071E-2</v>
      </c>
      <c r="DK81" s="63">
        <f t="shared" si="146"/>
        <v>7.4964800000000054E-2</v>
      </c>
      <c r="DL81" s="63">
        <f t="shared" si="146"/>
        <v>6.4918400000000043E-2</v>
      </c>
      <c r="DM81" s="63">
        <f t="shared" si="146"/>
        <v>6.4918400000000265E-2</v>
      </c>
      <c r="DN81" s="63">
        <f t="shared" si="146"/>
        <v>6.4918400000000265E-2</v>
      </c>
      <c r="DO81" s="63">
        <f t="shared" si="146"/>
        <v>6.4918400000000265E-2</v>
      </c>
      <c r="DP81" s="63">
        <f t="shared" si="146"/>
        <v>6.4918400000000265E-2</v>
      </c>
      <c r="DQ81" s="63">
        <f t="shared" si="146"/>
        <v>6.4918400000000043E-2</v>
      </c>
      <c r="EC81" s="79"/>
      <c r="ED81" s="79"/>
      <c r="EE81" s="79"/>
      <c r="EF81" s="91">
        <f t="shared" ref="EF81:ET81" si="147">EF79/EE79-1</f>
        <v>9.7357440890125213E-2</v>
      </c>
      <c r="EG81" s="52">
        <f t="shared" si="147"/>
        <v>7.6045627376426506E-3</v>
      </c>
      <c r="EH81" s="52">
        <f t="shared" si="147"/>
        <v>-5.6603773584905648E-2</v>
      </c>
      <c r="EI81" s="52">
        <f>EI79/EH79-1</f>
        <v>0.11333333333333329</v>
      </c>
      <c r="EJ81" s="52">
        <f t="shared" si="147"/>
        <v>0.11736526946107784</v>
      </c>
      <c r="EK81" s="52">
        <f t="shared" si="147"/>
        <v>0.2111468381564845</v>
      </c>
      <c r="EL81" s="52">
        <f t="shared" si="147"/>
        <v>7.2566371681415998E-2</v>
      </c>
      <c r="EM81" s="52">
        <f t="shared" si="147"/>
        <v>-0.13118811881188119</v>
      </c>
      <c r="EN81" s="52">
        <f t="shared" si="147"/>
        <v>1.0047483380816713</v>
      </c>
      <c r="EO81" s="52">
        <f t="shared" si="147"/>
        <v>-0.26859308384651825</v>
      </c>
      <c r="EP81" s="52">
        <f t="shared" si="147"/>
        <v>5.8290155440414715E-3</v>
      </c>
      <c r="EQ81" s="52">
        <f t="shared" si="147"/>
        <v>0.20927237604636195</v>
      </c>
      <c r="ER81" s="52">
        <f t="shared" si="147"/>
        <v>0.6991480298189563</v>
      </c>
      <c r="ES81" s="65">
        <f t="shared" si="147"/>
        <v>1.6715668861172048</v>
      </c>
      <c r="ET81" s="65">
        <f t="shared" si="147"/>
        <v>5.6952082929259351E-2</v>
      </c>
      <c r="EU81" s="65">
        <f>EU79/ET79-1</f>
        <v>7.0584576267645582E-2</v>
      </c>
      <c r="EV81" s="65">
        <f>EV79/EU79-1</f>
        <v>7.2023862105245362E-2</v>
      </c>
      <c r="EW81" s="65">
        <f>EW79/EV79-1</f>
        <v>6.4918400000000265E-2</v>
      </c>
    </row>
    <row r="82" spans="1:155" s="52" customFormat="1">
      <c r="A82" s="51" t="s">
        <v>258</v>
      </c>
      <c r="BB82" s="62" t="e">
        <f t="shared" ref="BB82:CG82" si="148">BB79/BB$119</f>
        <v>#REF!</v>
      </c>
      <c r="BC82" s="62" t="e">
        <f t="shared" si="148"/>
        <v>#REF!</v>
      </c>
      <c r="BD82" s="62" t="e">
        <f t="shared" si="148"/>
        <v>#REF!</v>
      </c>
      <c r="BE82" s="62" t="e">
        <f t="shared" si="148"/>
        <v>#REF!</v>
      </c>
      <c r="BF82" s="62" t="e">
        <f t="shared" si="148"/>
        <v>#REF!</v>
      </c>
      <c r="BG82" s="62" t="e">
        <f t="shared" si="148"/>
        <v>#REF!</v>
      </c>
      <c r="BH82" s="62" t="e">
        <f t="shared" si="148"/>
        <v>#REF!</v>
      </c>
      <c r="BI82" s="62" t="e">
        <f t="shared" si="148"/>
        <v>#REF!</v>
      </c>
      <c r="BJ82" s="62" t="e">
        <f t="shared" si="148"/>
        <v>#REF!</v>
      </c>
      <c r="BK82" s="62" t="e">
        <f t="shared" si="148"/>
        <v>#REF!</v>
      </c>
      <c r="BL82" s="62" t="e">
        <f t="shared" si="148"/>
        <v>#REF!</v>
      </c>
      <c r="BM82" s="62" t="e">
        <f t="shared" si="148"/>
        <v>#REF!</v>
      </c>
      <c r="BN82" s="62" t="e">
        <f t="shared" si="148"/>
        <v>#REF!</v>
      </c>
      <c r="BO82" s="62">
        <f t="shared" si="148"/>
        <v>0.10538116591928251</v>
      </c>
      <c r="BP82" s="62">
        <f t="shared" si="148"/>
        <v>9.0667678300455232E-2</v>
      </c>
      <c r="BQ82" s="62">
        <f t="shared" si="148"/>
        <v>8.7255238749570599E-2</v>
      </c>
      <c r="BR82" s="62">
        <f t="shared" si="148"/>
        <v>7.8266292485188654E-2</v>
      </c>
      <c r="BS82" s="62">
        <f t="shared" si="148"/>
        <v>8.9977585654819087E-2</v>
      </c>
      <c r="BT82" s="62">
        <f t="shared" si="148"/>
        <v>9.5881798176673999E-2</v>
      </c>
      <c r="BU82" s="62">
        <f t="shared" si="148"/>
        <v>0.1328798185941043</v>
      </c>
      <c r="BV82" s="62">
        <f t="shared" si="148"/>
        <v>0.11981981981981982</v>
      </c>
      <c r="BW82" s="62">
        <f t="shared" si="148"/>
        <v>0.11283443195036837</v>
      </c>
      <c r="BX82" s="62">
        <f t="shared" si="148"/>
        <v>0.10749834107498341</v>
      </c>
      <c r="BY82" s="62">
        <f t="shared" si="148"/>
        <v>0.10660225442834138</v>
      </c>
      <c r="BZ82" s="62">
        <f t="shared" si="148"/>
        <v>9.9675324675324681E-2</v>
      </c>
      <c r="CA82" s="62">
        <f t="shared" si="148"/>
        <v>5.2509053285049144E-2</v>
      </c>
      <c r="CB82" s="62">
        <f t="shared" si="148"/>
        <v>4.9936521371138382E-2</v>
      </c>
      <c r="CC82" s="62">
        <f t="shared" si="148"/>
        <v>6.1363182090745552E-2</v>
      </c>
      <c r="CD82" s="62">
        <f t="shared" si="148"/>
        <v>6.5712771595124536E-2</v>
      </c>
      <c r="CE82" s="62">
        <f t="shared" si="148"/>
        <v>7.9760258183494692E-2</v>
      </c>
      <c r="CF82" s="62">
        <f t="shared" si="148"/>
        <v>8.1233281711952696E-2</v>
      </c>
      <c r="CG82" s="62">
        <f t="shared" si="148"/>
        <v>8.4129268611801644E-2</v>
      </c>
      <c r="CH82" s="62">
        <f t="shared" ref="CH82:DQ82" si="149">CH79/CH$119</f>
        <v>7.5048262548262551E-2</v>
      </c>
      <c r="CI82" s="62">
        <f t="shared" si="149"/>
        <v>7.3985680190930783E-2</v>
      </c>
      <c r="CJ82" s="62">
        <f t="shared" si="149"/>
        <v>3.3721126285617943E-2</v>
      </c>
      <c r="CK82" s="62">
        <f t="shared" si="149"/>
        <v>3.7349198479590152E-2</v>
      </c>
      <c r="CL82" s="62">
        <f t="shared" si="149"/>
        <v>4.1017797552836487E-2</v>
      </c>
      <c r="CM82" s="62">
        <f t="shared" si="149"/>
        <v>2.8059524690901016E-2</v>
      </c>
      <c r="CN82" s="62">
        <f t="shared" si="149"/>
        <v>2.2958057395143488E-2</v>
      </c>
      <c r="CO82" s="62">
        <f t="shared" si="149"/>
        <v>2.0947382708229653E-2</v>
      </c>
      <c r="CP82" s="62">
        <f t="shared" si="149"/>
        <v>1.6395330978344339E-2</v>
      </c>
      <c r="CQ82" s="62">
        <f t="shared" si="149"/>
        <v>1.511318242343542E-2</v>
      </c>
      <c r="CR82" s="62">
        <f t="shared" si="149"/>
        <v>1.3853258081067214E-2</v>
      </c>
      <c r="CS82" s="62">
        <f t="shared" si="149"/>
        <v>1.2992296153161628E-2</v>
      </c>
      <c r="CT82" s="62">
        <f t="shared" si="149"/>
        <v>1.1551904135082385E-2</v>
      </c>
      <c r="CU82" s="62">
        <f t="shared" si="149"/>
        <v>1.2857540166442034E-2</v>
      </c>
      <c r="CV82" s="62">
        <f t="shared" si="149"/>
        <v>1.3331929972283619E-2</v>
      </c>
      <c r="CW82" s="63">
        <f t="shared" si="149"/>
        <v>1.9390256432838669E-2</v>
      </c>
      <c r="CX82" s="63">
        <f t="shared" si="149"/>
        <v>2.3954910249341418E-2</v>
      </c>
      <c r="CY82" s="63">
        <f t="shared" si="149"/>
        <v>2.2692029123537318E-2</v>
      </c>
      <c r="CZ82" s="63">
        <f t="shared" si="149"/>
        <v>1.9653734587061857E-2</v>
      </c>
      <c r="DA82" s="63">
        <f t="shared" si="149"/>
        <v>1.8191164410269717E-2</v>
      </c>
      <c r="DB82" s="63">
        <f t="shared" si="149"/>
        <v>1.5329153881728758E-2</v>
      </c>
      <c r="DC82" s="63">
        <f t="shared" si="149"/>
        <v>1.4521744238703022E-2</v>
      </c>
      <c r="DD82" s="63">
        <f t="shared" si="149"/>
        <v>1.3769986112870541E-2</v>
      </c>
      <c r="DE82" s="63">
        <f t="shared" si="149"/>
        <v>1.3424968497265523E-2</v>
      </c>
      <c r="DF82" s="63">
        <f t="shared" si="149"/>
        <v>1.2038829247436267E-2</v>
      </c>
      <c r="DG82" s="63">
        <f t="shared" si="149"/>
        <v>1.2262677338759466E-2</v>
      </c>
      <c r="DH82" s="63">
        <f t="shared" si="149"/>
        <v>1.2261955341251067E-2</v>
      </c>
      <c r="DI82" s="63">
        <f t="shared" si="149"/>
        <v>1.2262864587882066E-2</v>
      </c>
      <c r="DJ82" s="63">
        <f t="shared" si="149"/>
        <v>1.1201954519628323E-2</v>
      </c>
      <c r="DK82" s="63">
        <f t="shared" si="149"/>
        <v>1.151796994788057E-2</v>
      </c>
      <c r="DL82" s="63">
        <f t="shared" si="149"/>
        <v>1.1835581124116408E-2</v>
      </c>
      <c r="DM82" s="63">
        <f t="shared" si="149"/>
        <v>1.2169344523917719E-2</v>
      </c>
      <c r="DN82" s="63">
        <f t="shared" si="149"/>
        <v>1.1011701550826499E-2</v>
      </c>
      <c r="DO82" s="63">
        <f t="shared" si="149"/>
        <v>1.1111062763942197E-2</v>
      </c>
      <c r="DP82" s="63">
        <f t="shared" si="149"/>
        <v>1.1107691318950329E-2</v>
      </c>
      <c r="DQ82" s="63">
        <f t="shared" si="149"/>
        <v>1.1210547798520222E-2</v>
      </c>
      <c r="EC82" s="79"/>
      <c r="ED82" s="79"/>
      <c r="EE82" s="91">
        <f t="shared" ref="EE82:EW82" si="150">EE79/EE$119</f>
        <v>0.16799065420560746</v>
      </c>
      <c r="EF82" s="91">
        <f t="shared" si="150"/>
        <v>0.1910411622276029</v>
      </c>
      <c r="EG82" s="52" t="e">
        <f t="shared" si="150"/>
        <v>#REF!</v>
      </c>
      <c r="EH82" s="52" t="e">
        <f t="shared" si="150"/>
        <v>#REF!</v>
      </c>
      <c r="EI82" s="52" t="e">
        <f t="shared" si="150"/>
        <v>#REF!</v>
      </c>
      <c r="EJ82" s="52" t="e">
        <f t="shared" si="150"/>
        <v>#REF!</v>
      </c>
      <c r="EK82" s="52">
        <f t="shared" si="150"/>
        <v>9.6449300102424029E-2</v>
      </c>
      <c r="EL82" s="52">
        <f t="shared" si="150"/>
        <v>0.11100934237039752</v>
      </c>
      <c r="EM82" s="52">
        <f t="shared" si="150"/>
        <v>7.0094937222015652E-2</v>
      </c>
      <c r="EN82" s="52">
        <f t="shared" si="150"/>
        <v>7.843501523370737E-2</v>
      </c>
      <c r="EO82" s="52">
        <f t="shared" si="150"/>
        <v>5.7240305479350488E-2</v>
      </c>
      <c r="EP82" s="52">
        <f t="shared" si="150"/>
        <v>2.5491612225468634E-2</v>
      </c>
      <c r="EQ82" s="52">
        <f t="shared" si="150"/>
        <v>1.4391135428400653E-2</v>
      </c>
      <c r="ER82" s="52">
        <f t="shared" si="150"/>
        <v>1.4777389806333299E-2</v>
      </c>
      <c r="ES82" s="53">
        <f t="shared" si="150"/>
        <v>2.0749387735582155E-2</v>
      </c>
      <c r="ET82" s="53">
        <f t="shared" si="150"/>
        <v>1.4187062271660916E-2</v>
      </c>
      <c r="EU82" s="53">
        <f t="shared" si="150"/>
        <v>1.2210387727693549E-2</v>
      </c>
      <c r="EV82" s="53">
        <f t="shared" si="150"/>
        <v>1.1690143752432505E-2</v>
      </c>
      <c r="EW82" s="53">
        <f t="shared" si="150"/>
        <v>1.1113425732277226E-2</v>
      </c>
    </row>
    <row r="83" spans="1:155" s="49" customFormat="1">
      <c r="A83" s="76" t="s">
        <v>261</v>
      </c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6"/>
      <c r="AY83" s="76"/>
      <c r="AZ83" s="76"/>
      <c r="BA83" s="76"/>
      <c r="BB83" s="76">
        <f t="shared" ref="BB83:BZ83" si="151">+BB91+BB87</f>
        <v>155.70499999999998</v>
      </c>
      <c r="BC83" s="76">
        <f t="shared" si="151"/>
        <v>185.57400000000001</v>
      </c>
      <c r="BD83" s="76">
        <f t="shared" si="151"/>
        <v>210.708</v>
      </c>
      <c r="BE83" s="76">
        <f t="shared" si="151"/>
        <v>229.11600000000001</v>
      </c>
      <c r="BF83" s="76">
        <f t="shared" si="151"/>
        <v>234.67500000000001</v>
      </c>
      <c r="BG83" s="76">
        <f t="shared" si="151"/>
        <v>236.148</v>
      </c>
      <c r="BH83" s="76">
        <f t="shared" si="151"/>
        <v>253.37700000000001</v>
      </c>
      <c r="BI83" s="76">
        <f t="shared" si="151"/>
        <v>273.94</v>
      </c>
      <c r="BJ83" s="76">
        <f t="shared" si="151"/>
        <v>339.81</v>
      </c>
      <c r="BK83" s="76">
        <f t="shared" si="151"/>
        <v>365.80099999999999</v>
      </c>
      <c r="BL83" s="76">
        <f t="shared" si="151"/>
        <v>464.21100000000001</v>
      </c>
      <c r="BM83" s="76">
        <f t="shared" si="151"/>
        <v>517.67599999999993</v>
      </c>
      <c r="BN83" s="76">
        <f t="shared" si="151"/>
        <v>597.65100000000007</v>
      </c>
      <c r="BO83" s="76">
        <f t="shared" si="151"/>
        <v>627.96199999999999</v>
      </c>
      <c r="BP83" s="76">
        <f t="shared" si="151"/>
        <v>726.69900000000007</v>
      </c>
      <c r="BQ83" s="76">
        <f t="shared" si="151"/>
        <v>843.58100000000002</v>
      </c>
      <c r="BR83" s="76">
        <f t="shared" si="151"/>
        <v>952</v>
      </c>
      <c r="BS83" s="76">
        <f t="shared" si="151"/>
        <v>1028.462</v>
      </c>
      <c r="BT83" s="76">
        <f t="shared" si="151"/>
        <v>1071.211</v>
      </c>
      <c r="BU83" s="76">
        <f t="shared" si="151"/>
        <v>969.06999999999994</v>
      </c>
      <c r="BV83" s="76">
        <f t="shared" si="151"/>
        <v>939.21699999999998</v>
      </c>
      <c r="BW83" s="76">
        <f t="shared" si="151"/>
        <v>965.32400000000007</v>
      </c>
      <c r="BX83" s="76">
        <f t="shared" si="151"/>
        <v>1061.251</v>
      </c>
      <c r="BY83" s="76">
        <f t="shared" si="151"/>
        <v>1347.7840000000001</v>
      </c>
      <c r="BZ83" s="76">
        <f t="shared" si="151"/>
        <v>1569.7460000000001</v>
      </c>
      <c r="CA83" s="76">
        <v>1752</v>
      </c>
      <c r="CB83" s="76">
        <v>1900</v>
      </c>
      <c r="CC83" s="76">
        <v>1903</v>
      </c>
      <c r="CD83" s="76">
        <v>2048</v>
      </c>
      <c r="CE83" s="76">
        <v>2366</v>
      </c>
      <c r="CF83" s="76">
        <v>2936</v>
      </c>
      <c r="CG83" s="76">
        <v>3263</v>
      </c>
      <c r="CH83" s="76">
        <v>3750</v>
      </c>
      <c r="CI83" s="76">
        <v>3806</v>
      </c>
      <c r="CJ83" s="76">
        <v>3833</v>
      </c>
      <c r="CK83" s="76">
        <v>3616</v>
      </c>
      <c r="CL83" s="76">
        <v>4284</v>
      </c>
      <c r="CM83" s="76">
        <v>10323</v>
      </c>
      <c r="CN83" s="76">
        <v>14514</v>
      </c>
      <c r="CO83" s="76">
        <v>18404</v>
      </c>
      <c r="CP83" s="76">
        <v>22563</v>
      </c>
      <c r="CQ83" s="76">
        <v>26272</v>
      </c>
      <c r="CR83" s="76">
        <v>30771</v>
      </c>
      <c r="CS83" s="76">
        <v>35580</v>
      </c>
      <c r="CT83" s="76">
        <v>39112</v>
      </c>
      <c r="CU83" s="76">
        <v>41096</v>
      </c>
      <c r="CV83" s="76">
        <v>51215</v>
      </c>
      <c r="CW83" s="76">
        <v>62314</v>
      </c>
      <c r="CX83" s="76">
        <v>75246</v>
      </c>
      <c r="CY83" s="78">
        <f>+CY91+CY87</f>
        <v>86532.9</v>
      </c>
      <c r="CZ83" s="78">
        <f>+CZ91+CZ87</f>
        <v>103839.48</v>
      </c>
      <c r="DA83" s="78">
        <f>+DA91+DA87</f>
        <v>118377.00720000001</v>
      </c>
      <c r="DB83" s="78">
        <f t="shared" ref="DB83:DQ83" si="152">+DB91+DB87</f>
        <v>130214.70792000003</v>
      </c>
      <c r="DC83" s="78">
        <f t="shared" si="152"/>
        <v>143236.17871200005</v>
      </c>
      <c r="DD83" s="78">
        <f t="shared" si="152"/>
        <v>160424.52015744007</v>
      </c>
      <c r="DE83" s="78">
        <f t="shared" si="152"/>
        <v>171338.70047374087</v>
      </c>
      <c r="DF83" s="78">
        <f t="shared" si="152"/>
        <v>176478.86148795311</v>
      </c>
      <c r="DG83" s="78">
        <f t="shared" si="152"/>
        <v>181773.22733259172</v>
      </c>
      <c r="DH83" s="78">
        <f t="shared" si="152"/>
        <v>194497.35324587318</v>
      </c>
      <c r="DI83" s="78">
        <f t="shared" si="152"/>
        <v>204222.22090816684</v>
      </c>
      <c r="DJ83" s="78">
        <f t="shared" si="152"/>
        <v>206264.44311724853</v>
      </c>
      <c r="DK83" s="78">
        <f t="shared" si="152"/>
        <v>208327.087548421</v>
      </c>
      <c r="DL83" s="78">
        <f t="shared" si="152"/>
        <v>214576.90017487365</v>
      </c>
      <c r="DM83" s="78">
        <f t="shared" si="152"/>
        <v>218868.43817837111</v>
      </c>
      <c r="DN83" s="78">
        <f t="shared" si="152"/>
        <v>223245.80694193853</v>
      </c>
      <c r="DO83" s="78">
        <f t="shared" si="152"/>
        <v>229943.1811501967</v>
      </c>
      <c r="DP83" s="78">
        <f t="shared" si="152"/>
        <v>243739.7720192085</v>
      </c>
      <c r="DQ83" s="78">
        <f t="shared" si="152"/>
        <v>253489.36289997684</v>
      </c>
      <c r="DT83" s="77"/>
      <c r="DU83" s="77"/>
      <c r="DV83" s="77"/>
      <c r="DW83" s="77"/>
      <c r="DX83" s="77"/>
      <c r="DY83" s="77"/>
      <c r="DZ83" s="77"/>
      <c r="EA83" s="77"/>
      <c r="EB83" s="77"/>
      <c r="EC83" s="76"/>
      <c r="ED83" s="76"/>
      <c r="EE83" s="76">
        <v>129</v>
      </c>
      <c r="EF83" s="76">
        <v>199</v>
      </c>
      <c r="EG83" s="76">
        <f>SUM(BB83:BE83)</f>
        <v>781.10299999999995</v>
      </c>
      <c r="EH83" s="76">
        <f>SUM(BF83:BI83)</f>
        <v>998.1400000000001</v>
      </c>
      <c r="EI83" s="76">
        <f>SUM(BJ83:BM83)</f>
        <v>1687.498</v>
      </c>
      <c r="EJ83" s="76">
        <f>SUM(BN83:BQ83)</f>
        <v>2795.893</v>
      </c>
      <c r="EK83" s="76">
        <f>SUM(BR83:BU83)</f>
        <v>4020.7429999999995</v>
      </c>
      <c r="EL83" s="76">
        <f>BV83+BW83+BX83+BY83</f>
        <v>4313.5760000000009</v>
      </c>
      <c r="EM83" s="76">
        <f>SUM(BZ83:CC83)</f>
        <v>7124.7460000000001</v>
      </c>
      <c r="EN83" s="76">
        <f>+CD83+CE83+CF83+CG83</f>
        <v>10613</v>
      </c>
      <c r="EO83" s="76">
        <f>SUM(CH83:CK83)</f>
        <v>15005</v>
      </c>
      <c r="EP83" s="76">
        <f>SUM(CL83:CO83)</f>
        <v>47525</v>
      </c>
      <c r="EQ83" s="76">
        <f>SUM(CP83:CS83)</f>
        <v>115186</v>
      </c>
      <c r="ER83" s="76">
        <f>SUM(CT83:CW83)</f>
        <v>193737</v>
      </c>
      <c r="ES83" s="78">
        <f>SUM(CX83:DA83)</f>
        <v>383995.3872</v>
      </c>
      <c r="ET83" s="78">
        <f>SUM(DB83:DE83)</f>
        <v>605214.10726318113</v>
      </c>
      <c r="EU83" s="78">
        <f>SUM(DF83:DI83)</f>
        <v>756971.66297458485</v>
      </c>
      <c r="EV83" s="78">
        <f>SUM(DJ83:DM83)</f>
        <v>848036.86901891441</v>
      </c>
      <c r="EW83" s="78">
        <f>SUM(DN83:DQ83)</f>
        <v>950418.1230113206</v>
      </c>
      <c r="EX83" s="35"/>
      <c r="EY83" s="93"/>
    </row>
    <row r="84" spans="1:155" s="52" customFormat="1">
      <c r="A84" s="51" t="s">
        <v>223</v>
      </c>
      <c r="BC84" s="62">
        <f t="shared" ref="BC84:DN84" si="153">BC83/BB83-1</f>
        <v>0.19183070550078685</v>
      </c>
      <c r="BD84" s="62">
        <f t="shared" si="153"/>
        <v>0.13543923178893591</v>
      </c>
      <c r="BE84" s="62">
        <f t="shared" si="153"/>
        <v>8.7362606070960913E-2</v>
      </c>
      <c r="BF84" s="62">
        <f t="shared" si="153"/>
        <v>2.426281883412762E-2</v>
      </c>
      <c r="BG84" s="62">
        <f t="shared" si="153"/>
        <v>6.2767657398530297E-3</v>
      </c>
      <c r="BH84" s="62">
        <f t="shared" si="153"/>
        <v>7.2958483662787899E-2</v>
      </c>
      <c r="BI84" s="62">
        <f t="shared" si="153"/>
        <v>8.1155748153936669E-2</v>
      </c>
      <c r="BJ84" s="62">
        <f t="shared" si="153"/>
        <v>0.24045411403957062</v>
      </c>
      <c r="BK84" s="62">
        <f t="shared" si="153"/>
        <v>7.648686030428764E-2</v>
      </c>
      <c r="BL84" s="62">
        <f t="shared" si="153"/>
        <v>0.26902605515020461</v>
      </c>
      <c r="BM84" s="62">
        <f t="shared" si="153"/>
        <v>0.11517391875677196</v>
      </c>
      <c r="BN84" s="62">
        <f t="shared" si="153"/>
        <v>0.15448852177810091</v>
      </c>
      <c r="BO84" s="62">
        <f t="shared" si="153"/>
        <v>5.0716889957516775E-2</v>
      </c>
      <c r="BP84" s="62">
        <f t="shared" si="153"/>
        <v>0.15723403645443534</v>
      </c>
      <c r="BQ84" s="62">
        <f t="shared" si="153"/>
        <v>0.16083963236498189</v>
      </c>
      <c r="BR84" s="62">
        <f t="shared" si="153"/>
        <v>0.12852233514031242</v>
      </c>
      <c r="BS84" s="62">
        <f t="shared" si="153"/>
        <v>8.0317226890756377E-2</v>
      </c>
      <c r="BT84" s="62">
        <f t="shared" si="153"/>
        <v>4.1565949933006774E-2</v>
      </c>
      <c r="BU84" s="62">
        <f t="shared" si="153"/>
        <v>-9.5350962602139155E-2</v>
      </c>
      <c r="BV84" s="62">
        <f t="shared" si="153"/>
        <v>-3.0805824140670901E-2</v>
      </c>
      <c r="BW84" s="62">
        <f t="shared" si="153"/>
        <v>2.7796558196881094E-2</v>
      </c>
      <c r="BX84" s="62">
        <f t="shared" si="153"/>
        <v>9.9372853052446475E-2</v>
      </c>
      <c r="BY84" s="62">
        <f t="shared" si="153"/>
        <v>0.26999550530458882</v>
      </c>
      <c r="BZ84" s="62">
        <f t="shared" si="153"/>
        <v>0.16468662634368703</v>
      </c>
      <c r="CA84" s="62">
        <f t="shared" si="153"/>
        <v>0.11610413404461606</v>
      </c>
      <c r="CB84" s="62">
        <f t="shared" si="153"/>
        <v>8.4474885844748826E-2</v>
      </c>
      <c r="CC84" s="62">
        <f t="shared" si="153"/>
        <v>1.5789473684211242E-3</v>
      </c>
      <c r="CD84" s="62">
        <f t="shared" si="153"/>
        <v>7.6195480819758243E-2</v>
      </c>
      <c r="CE84" s="62">
        <f t="shared" si="153"/>
        <v>0.1552734375</v>
      </c>
      <c r="CF84" s="62">
        <f t="shared" si="153"/>
        <v>0.24091293322062546</v>
      </c>
      <c r="CG84" s="62">
        <f t="shared" si="153"/>
        <v>0.11137602179836503</v>
      </c>
      <c r="CH84" s="62">
        <f t="shared" si="153"/>
        <v>0.14924915721728471</v>
      </c>
      <c r="CI84" s="62">
        <f t="shared" si="153"/>
        <v>1.4933333333333243E-2</v>
      </c>
      <c r="CJ84" s="62">
        <f t="shared" si="153"/>
        <v>7.0940620073567384E-3</v>
      </c>
      <c r="CK84" s="62">
        <f t="shared" si="153"/>
        <v>-5.6613618575528268E-2</v>
      </c>
      <c r="CL84" s="62">
        <f t="shared" si="153"/>
        <v>0.18473451327433632</v>
      </c>
      <c r="CM84" s="62">
        <f t="shared" si="153"/>
        <v>1.4096638655462184</v>
      </c>
      <c r="CN84" s="62">
        <f t="shared" si="153"/>
        <v>0.40598663179308336</v>
      </c>
      <c r="CO84" s="62">
        <f t="shared" si="153"/>
        <v>0.2680170869505305</v>
      </c>
      <c r="CP84" s="62">
        <f t="shared" si="153"/>
        <v>0.22598348185177142</v>
      </c>
      <c r="CQ84" s="62">
        <f t="shared" si="153"/>
        <v>0.16438416877188322</v>
      </c>
      <c r="CR84" s="62">
        <f t="shared" si="153"/>
        <v>0.17124695493300846</v>
      </c>
      <c r="CS84" s="62">
        <f t="shared" si="153"/>
        <v>0.15628351369796234</v>
      </c>
      <c r="CT84" s="62">
        <f t="shared" si="153"/>
        <v>9.9269252388982654E-2</v>
      </c>
      <c r="CU84" s="62">
        <f t="shared" si="153"/>
        <v>5.0726119860912355E-2</v>
      </c>
      <c r="CV84" s="62">
        <f t="shared" si="153"/>
        <v>0.24622834339108435</v>
      </c>
      <c r="CW84" s="62">
        <f t="shared" si="153"/>
        <v>0.21671385336327242</v>
      </c>
      <c r="CX84" s="62">
        <f t="shared" si="153"/>
        <v>0.20752960811374654</v>
      </c>
      <c r="CY84" s="63">
        <f t="shared" si="153"/>
        <v>0.14999999999999991</v>
      </c>
      <c r="CZ84" s="63">
        <f t="shared" si="153"/>
        <v>0.19999999999999996</v>
      </c>
      <c r="DA84" s="63">
        <f t="shared" si="153"/>
        <v>0.14000000000000012</v>
      </c>
      <c r="DB84" s="63">
        <f t="shared" si="153"/>
        <v>0.10000000000000009</v>
      </c>
      <c r="DC84" s="63">
        <f t="shared" si="153"/>
        <v>0.10000000000000009</v>
      </c>
      <c r="DD84" s="63">
        <f t="shared" si="153"/>
        <v>0.12000000000000011</v>
      </c>
      <c r="DE84" s="63">
        <f t="shared" si="153"/>
        <v>6.8033118039497076E-2</v>
      </c>
      <c r="DF84" s="63">
        <f t="shared" si="153"/>
        <v>3.0000000000000027E-2</v>
      </c>
      <c r="DG84" s="63">
        <f t="shared" si="153"/>
        <v>3.0000000000000027E-2</v>
      </c>
      <c r="DH84" s="63">
        <f t="shared" si="153"/>
        <v>7.0000000000000284E-2</v>
      </c>
      <c r="DI84" s="63">
        <f t="shared" si="153"/>
        <v>5.0000000000000044E-2</v>
      </c>
      <c r="DJ84" s="63">
        <f t="shared" si="153"/>
        <v>1.0000000000000231E-2</v>
      </c>
      <c r="DK84" s="63">
        <f t="shared" si="153"/>
        <v>9.9999999999997868E-3</v>
      </c>
      <c r="DL84" s="63">
        <f t="shared" si="153"/>
        <v>3.0000000000000027E-2</v>
      </c>
      <c r="DM84" s="63">
        <f t="shared" si="153"/>
        <v>2.0000000000000018E-2</v>
      </c>
      <c r="DN84" s="63">
        <f t="shared" si="153"/>
        <v>2.0000000000000018E-2</v>
      </c>
      <c r="DO84" s="63">
        <f t="shared" ref="DO84:DQ84" si="154">DO83/DN83-1</f>
        <v>3.0000000000000027E-2</v>
      </c>
      <c r="DP84" s="63">
        <f t="shared" si="154"/>
        <v>6.0000000000000053E-2</v>
      </c>
      <c r="DQ84" s="63">
        <f t="shared" si="154"/>
        <v>4.0000000000000036E-2</v>
      </c>
      <c r="DT84" s="54" t="s">
        <v>224</v>
      </c>
      <c r="DU84" s="54" t="s">
        <v>224</v>
      </c>
      <c r="DV84" s="54" t="s">
        <v>224</v>
      </c>
      <c r="DW84" s="54" t="s">
        <v>224</v>
      </c>
      <c r="DX84" s="54" t="s">
        <v>224</v>
      </c>
      <c r="DY84" s="54" t="s">
        <v>224</v>
      </c>
      <c r="DZ84" s="54" t="s">
        <v>224</v>
      </c>
      <c r="EA84" s="54" t="s">
        <v>224</v>
      </c>
      <c r="EB84" s="54" t="s">
        <v>224</v>
      </c>
      <c r="EC84" s="54" t="s">
        <v>224</v>
      </c>
      <c r="ED84" s="54" t="s">
        <v>224</v>
      </c>
      <c r="EE84" s="54" t="s">
        <v>224</v>
      </c>
      <c r="EF84" s="54" t="s">
        <v>224</v>
      </c>
      <c r="EG84" s="54" t="s">
        <v>224</v>
      </c>
      <c r="EH84" s="54" t="s">
        <v>224</v>
      </c>
      <c r="EI84" s="54" t="s">
        <v>224</v>
      </c>
      <c r="EJ84" s="54" t="s">
        <v>224</v>
      </c>
      <c r="EK84" s="54" t="s">
        <v>224</v>
      </c>
      <c r="EL84" s="54" t="s">
        <v>224</v>
      </c>
      <c r="EM84" s="54" t="s">
        <v>224</v>
      </c>
      <c r="EN84" s="54" t="s">
        <v>224</v>
      </c>
      <c r="EO84" s="54" t="s">
        <v>224</v>
      </c>
      <c r="EP84" s="54" t="s">
        <v>224</v>
      </c>
      <c r="EQ84" s="54" t="s">
        <v>224</v>
      </c>
      <c r="ER84" s="54" t="s">
        <v>224</v>
      </c>
      <c r="ES84" s="55" t="s">
        <v>224</v>
      </c>
      <c r="ET84" s="55" t="s">
        <v>224</v>
      </c>
      <c r="EU84" s="55" t="s">
        <v>224</v>
      </c>
      <c r="EV84" s="55" t="s">
        <v>224</v>
      </c>
      <c r="EW84" s="55" t="s">
        <v>224</v>
      </c>
      <c r="EX84" s="50"/>
      <c r="EY84" s="50"/>
    </row>
    <row r="85" spans="1:155" s="52" customFormat="1">
      <c r="A85" s="51" t="s">
        <v>225</v>
      </c>
      <c r="BF85" s="62">
        <f t="shared" ref="BF85:DQ85" si="155">BF83/BB83-1</f>
        <v>0.50717703349282317</v>
      </c>
      <c r="BG85" s="62">
        <f t="shared" si="155"/>
        <v>0.27252740146787802</v>
      </c>
      <c r="BH85" s="62">
        <f t="shared" si="155"/>
        <v>0.20250298991969928</v>
      </c>
      <c r="BI85" s="62">
        <f t="shared" si="155"/>
        <v>0.19563889034375581</v>
      </c>
      <c r="BJ85" s="62">
        <f t="shared" si="155"/>
        <v>0.44800255672738887</v>
      </c>
      <c r="BK85" s="62">
        <f t="shared" si="155"/>
        <v>0.54903280993275394</v>
      </c>
      <c r="BL85" s="62">
        <f t="shared" si="155"/>
        <v>0.83209604660249359</v>
      </c>
      <c r="BM85" s="62">
        <f t="shared" si="155"/>
        <v>0.88974227933124017</v>
      </c>
      <c r="BN85" s="62">
        <f t="shared" si="155"/>
        <v>0.75877990641829274</v>
      </c>
      <c r="BO85" s="62">
        <f t="shared" si="155"/>
        <v>0.71667655364528815</v>
      </c>
      <c r="BP85" s="62">
        <f t="shared" si="155"/>
        <v>0.56544976314650031</v>
      </c>
      <c r="BQ85" s="62">
        <f t="shared" si="155"/>
        <v>0.62955400675325901</v>
      </c>
      <c r="BR85" s="62">
        <f t="shared" si="155"/>
        <v>0.59290288144753367</v>
      </c>
      <c r="BS85" s="62">
        <f t="shared" si="155"/>
        <v>0.63777744513203039</v>
      </c>
      <c r="BT85" s="62">
        <f t="shared" si="155"/>
        <v>0.47407798827299863</v>
      </c>
      <c r="BU85" s="62">
        <f t="shared" si="155"/>
        <v>0.14875749927985571</v>
      </c>
      <c r="BV85" s="62">
        <f t="shared" si="155"/>
        <v>-1.3427521008403387E-2</v>
      </c>
      <c r="BW85" s="62">
        <f t="shared" si="155"/>
        <v>-6.1390697954810114E-2</v>
      </c>
      <c r="BX85" s="62">
        <f t="shared" si="155"/>
        <v>-9.2978880911417372E-3</v>
      </c>
      <c r="BY85" s="62">
        <f t="shared" si="155"/>
        <v>0.39080149008843557</v>
      </c>
      <c r="BZ85" s="62">
        <f t="shared" si="155"/>
        <v>0.67133473946915379</v>
      </c>
      <c r="CA85" s="62">
        <f t="shared" si="155"/>
        <v>0.81493467478276704</v>
      </c>
      <c r="CB85" s="62">
        <f t="shared" si="155"/>
        <v>0.79033989131694571</v>
      </c>
      <c r="CC85" s="62">
        <f t="shared" si="155"/>
        <v>0.41194731500002946</v>
      </c>
      <c r="CD85" s="62">
        <f t="shared" si="155"/>
        <v>0.30466967267315859</v>
      </c>
      <c r="CE85" s="62">
        <f t="shared" si="155"/>
        <v>0.35045662100456632</v>
      </c>
      <c r="CF85" s="62">
        <f t="shared" si="155"/>
        <v>0.54526315789473689</v>
      </c>
      <c r="CG85" s="62">
        <f t="shared" si="155"/>
        <v>0.7146610614818707</v>
      </c>
      <c r="CH85" s="62">
        <f t="shared" si="155"/>
        <v>0.8310546875</v>
      </c>
      <c r="CI85" s="62">
        <f t="shared" si="155"/>
        <v>0.60862214708368545</v>
      </c>
      <c r="CJ85" s="62">
        <f t="shared" si="155"/>
        <v>0.30551771117166204</v>
      </c>
      <c r="CK85" s="62">
        <f t="shared" si="155"/>
        <v>0.10818265399938709</v>
      </c>
      <c r="CL85" s="62">
        <f t="shared" si="155"/>
        <v>0.14240000000000008</v>
      </c>
      <c r="CM85" s="62">
        <f t="shared" si="155"/>
        <v>1.712296374146085</v>
      </c>
      <c r="CN85" s="62">
        <f t="shared" si="155"/>
        <v>2.7865901382728935</v>
      </c>
      <c r="CO85" s="62">
        <f t="shared" si="155"/>
        <v>4.0896017699115044</v>
      </c>
      <c r="CP85" s="62">
        <f t="shared" si="155"/>
        <v>4.2668067226890756</v>
      </c>
      <c r="CQ85" s="62">
        <f t="shared" si="155"/>
        <v>1.5449966095127388</v>
      </c>
      <c r="CR85" s="62">
        <f t="shared" si="155"/>
        <v>1.1200909466721787</v>
      </c>
      <c r="CS85" s="62">
        <f t="shared" si="155"/>
        <v>0.93327537491849588</v>
      </c>
      <c r="CT85" s="62">
        <f t="shared" si="155"/>
        <v>0.73345743030625354</v>
      </c>
      <c r="CU85" s="62">
        <f t="shared" si="155"/>
        <v>0.56425091352009749</v>
      </c>
      <c r="CV85" s="62">
        <f t="shared" si="155"/>
        <v>0.66439179747164534</v>
      </c>
      <c r="CW85" s="62">
        <f t="shared" si="155"/>
        <v>0.75137717818999428</v>
      </c>
      <c r="CX85" s="62">
        <f t="shared" si="155"/>
        <v>0.92385968500715898</v>
      </c>
      <c r="CY85" s="63">
        <f t="shared" si="155"/>
        <v>1.1056282849912398</v>
      </c>
      <c r="CZ85" s="63">
        <f t="shared" si="155"/>
        <v>1.02752084350288</v>
      </c>
      <c r="DA85" s="63">
        <f t="shared" si="155"/>
        <v>0.89968557948454619</v>
      </c>
      <c r="DB85" s="63">
        <f t="shared" si="155"/>
        <v>0.7305200000000005</v>
      </c>
      <c r="DC85" s="63">
        <f t="shared" si="155"/>
        <v>0.65528000000000075</v>
      </c>
      <c r="DD85" s="63">
        <f t="shared" si="155"/>
        <v>0.54492800000000075</v>
      </c>
      <c r="DE85" s="63">
        <f t="shared" si="155"/>
        <v>0.44739848156712703</v>
      </c>
      <c r="DF85" s="63">
        <f t="shared" si="155"/>
        <v>0.35529130546740051</v>
      </c>
      <c r="DG85" s="63">
        <f t="shared" si="155"/>
        <v>0.26904549511947495</v>
      </c>
      <c r="DH85" s="63">
        <f t="shared" si="155"/>
        <v>0.21239167837307016</v>
      </c>
      <c r="DI85" s="63">
        <f t="shared" si="155"/>
        <v>0.19192115000000043</v>
      </c>
      <c r="DJ85" s="63">
        <f t="shared" si="155"/>
        <v>0.16877705000000054</v>
      </c>
      <c r="DK85" s="63">
        <f t="shared" si="155"/>
        <v>0.14608235000000036</v>
      </c>
      <c r="DL85" s="63">
        <f t="shared" si="155"/>
        <v>0.10323815000000014</v>
      </c>
      <c r="DM85" s="63">
        <f t="shared" si="155"/>
        <v>7.171706000000011E-2</v>
      </c>
      <c r="DN85" s="63">
        <f t="shared" si="155"/>
        <v>8.2328119999999894E-2</v>
      </c>
      <c r="DO85" s="63">
        <f t="shared" si="155"/>
        <v>0.10376036000000011</v>
      </c>
      <c r="DP85" s="63">
        <f t="shared" si="155"/>
        <v>0.13590871999999998</v>
      </c>
      <c r="DQ85" s="63">
        <f t="shared" si="155"/>
        <v>0.15818144000000012</v>
      </c>
      <c r="EC85" s="79"/>
      <c r="ED85" s="79"/>
      <c r="EE85" s="91"/>
      <c r="EF85" s="91">
        <f t="shared" ref="EF85:ET85" si="156">EF83/EE83-1</f>
        <v>0.54263565891472876</v>
      </c>
      <c r="EG85" s="52">
        <f t="shared" si="156"/>
        <v>2.9251407035175876</v>
      </c>
      <c r="EH85" s="52">
        <f t="shared" si="156"/>
        <v>0.27785964207025216</v>
      </c>
      <c r="EI85" s="52">
        <f t="shared" si="156"/>
        <v>0.69064259522712224</v>
      </c>
      <c r="EJ85" s="52">
        <f t="shared" si="156"/>
        <v>0.65682744512882385</v>
      </c>
      <c r="EK85" s="52">
        <f t="shared" si="156"/>
        <v>0.43808901127475175</v>
      </c>
      <c r="EL85" s="52">
        <f t="shared" si="156"/>
        <v>7.2830568877444213E-2</v>
      </c>
      <c r="EM85" s="52">
        <f t="shared" si="156"/>
        <v>0.65170290264968056</v>
      </c>
      <c r="EN85" s="52">
        <f t="shared" si="156"/>
        <v>0.48959696247417095</v>
      </c>
      <c r="EO85" s="52">
        <f t="shared" si="156"/>
        <v>0.4138320927164798</v>
      </c>
      <c r="EP85" s="52">
        <f t="shared" si="156"/>
        <v>2.1672775741419525</v>
      </c>
      <c r="EQ85" s="52">
        <f t="shared" si="156"/>
        <v>1.4236927932667016</v>
      </c>
      <c r="ER85" s="52">
        <f t="shared" si="156"/>
        <v>0.68194919521469632</v>
      </c>
      <c r="ES85" s="65">
        <f t="shared" si="156"/>
        <v>0.98204466467427487</v>
      </c>
      <c r="ET85" s="65">
        <f t="shared" si="156"/>
        <v>0.57609733720046408</v>
      </c>
      <c r="EU85" s="65">
        <f>EU83/ET83-1</f>
        <v>0.25075019549306532</v>
      </c>
      <c r="EV85" s="65">
        <f>EV83/EU83-1</f>
        <v>0.12030200138071367</v>
      </c>
      <c r="EW85" s="65">
        <f>EW83/EV83-1</f>
        <v>0.12072736190214228</v>
      </c>
    </row>
    <row r="86" spans="1:155" s="52" customFormat="1">
      <c r="A86" s="51" t="s">
        <v>258</v>
      </c>
      <c r="BB86" s="62" t="e">
        <f t="shared" ref="BB86:CR86" si="157">BB83/BB$119</f>
        <v>#REF!</v>
      </c>
      <c r="BC86" s="62" t="e">
        <f t="shared" si="157"/>
        <v>#REF!</v>
      </c>
      <c r="BD86" s="62" t="e">
        <f t="shared" si="157"/>
        <v>#REF!</v>
      </c>
      <c r="BE86" s="62" t="e">
        <f t="shared" si="157"/>
        <v>#REF!</v>
      </c>
      <c r="BF86" s="62" t="e">
        <f t="shared" si="157"/>
        <v>#REF!</v>
      </c>
      <c r="BG86" s="62" t="e">
        <f t="shared" si="157"/>
        <v>#REF!</v>
      </c>
      <c r="BH86" s="62" t="e">
        <f t="shared" si="157"/>
        <v>#REF!</v>
      </c>
      <c r="BI86" s="62" t="e">
        <f t="shared" si="157"/>
        <v>#REF!</v>
      </c>
      <c r="BJ86" s="62" t="e">
        <f t="shared" si="157"/>
        <v>#REF!</v>
      </c>
      <c r="BK86" s="62" t="e">
        <f t="shared" si="157"/>
        <v>#REF!</v>
      </c>
      <c r="BL86" s="62" t="e">
        <f t="shared" si="157"/>
        <v>#REF!</v>
      </c>
      <c r="BM86" s="62" t="e">
        <f t="shared" si="157"/>
        <v>#REF!</v>
      </c>
      <c r="BN86" s="62" t="e">
        <f t="shared" si="157"/>
        <v>#REF!</v>
      </c>
      <c r="BO86" s="62">
        <f t="shared" si="157"/>
        <v>0.28159730941704036</v>
      </c>
      <c r="BP86" s="62">
        <f t="shared" si="157"/>
        <v>0.27568247344461305</v>
      </c>
      <c r="BQ86" s="62">
        <f t="shared" si="157"/>
        <v>0.28979079354173826</v>
      </c>
      <c r="BR86" s="62">
        <f t="shared" si="157"/>
        <v>0.29685063922669164</v>
      </c>
      <c r="BS86" s="62">
        <f t="shared" si="157"/>
        <v>0.32931860390650014</v>
      </c>
      <c r="BT86" s="62">
        <f t="shared" si="157"/>
        <v>0.33675290789060042</v>
      </c>
      <c r="BU86" s="62">
        <f t="shared" si="157"/>
        <v>0.4394875283446712</v>
      </c>
      <c r="BV86" s="62">
        <f t="shared" si="157"/>
        <v>0.42307072072072072</v>
      </c>
      <c r="BW86" s="62">
        <f t="shared" si="157"/>
        <v>0.37430166731291203</v>
      </c>
      <c r="BX86" s="62">
        <f t="shared" si="157"/>
        <v>0.35210716655607166</v>
      </c>
      <c r="BY86" s="62">
        <f t="shared" si="157"/>
        <v>0.43406892109500811</v>
      </c>
      <c r="BZ86" s="62">
        <f t="shared" si="157"/>
        <v>0.50965779220779228</v>
      </c>
      <c r="CA86" s="62">
        <f t="shared" si="157"/>
        <v>0.45318158303155714</v>
      </c>
      <c r="CB86" s="62">
        <f t="shared" si="157"/>
        <v>0.40203131612357174</v>
      </c>
      <c r="CC86" s="62">
        <f t="shared" si="157"/>
        <v>0.38037177693383972</v>
      </c>
      <c r="CD86" s="62">
        <f t="shared" si="157"/>
        <v>0.3617735382441265</v>
      </c>
      <c r="CE86" s="62">
        <f t="shared" si="157"/>
        <v>0.36360842169970803</v>
      </c>
      <c r="CF86" s="62">
        <f t="shared" si="157"/>
        <v>0.41334647332113189</v>
      </c>
      <c r="CG86" s="62">
        <f t="shared" si="157"/>
        <v>0.42692659950281303</v>
      </c>
      <c r="CH86" s="62">
        <f t="shared" si="157"/>
        <v>0.45246138996138996</v>
      </c>
      <c r="CI86" s="62">
        <f t="shared" si="157"/>
        <v>0.56772076372315039</v>
      </c>
      <c r="CJ86" s="62">
        <f t="shared" si="157"/>
        <v>0.64626538526386779</v>
      </c>
      <c r="CK86" s="62">
        <f t="shared" si="157"/>
        <v>0.59758717567344244</v>
      </c>
      <c r="CL86" s="62">
        <f t="shared" si="157"/>
        <v>0.59566184649610676</v>
      </c>
      <c r="CM86" s="62">
        <f t="shared" si="157"/>
        <v>0.76427037832235134</v>
      </c>
      <c r="CN86" s="62">
        <f>CN83/CN$119</f>
        <v>0.80099337748344368</v>
      </c>
      <c r="CO86" s="62">
        <f>CO83/CO$119</f>
        <v>0.8326471519703208</v>
      </c>
      <c r="CP86" s="62">
        <f>CP83/CP$119</f>
        <v>0.86634157579480875</v>
      </c>
      <c r="CQ86" s="62">
        <f>CQ83/CQ$119</f>
        <v>0.87456724367509986</v>
      </c>
      <c r="CR86" s="62">
        <f t="shared" si="157"/>
        <v>0.87711646998460746</v>
      </c>
      <c r="CS86" s="62">
        <f>CS83/CS$119</f>
        <v>0.90462993567415018</v>
      </c>
      <c r="CT86" s="62">
        <f>CT83/CT$119</f>
        <v>0.88765829966864873</v>
      </c>
      <c r="CU86" s="62">
        <f t="shared" ref="CU86:DQ86" si="158">CU83/CU$119</f>
        <v>0.87919046702180004</v>
      </c>
      <c r="CV86" s="62">
        <f>CV83/CV$119</f>
        <v>0.89841420201382316</v>
      </c>
      <c r="CW86" s="62">
        <f>CW83/CW$119</f>
        <v>0.91467406461461687</v>
      </c>
      <c r="CX86" s="62">
        <f t="shared" si="158"/>
        <v>0.92196287447160452</v>
      </c>
      <c r="CY86" s="63">
        <f t="shared" si="158"/>
        <v>0.92996435446808567</v>
      </c>
      <c r="CZ86" s="63">
        <f t="shared" si="158"/>
        <v>0.93838720667749143</v>
      </c>
      <c r="DA86" s="63">
        <f t="shared" si="158"/>
        <v>0.94300293121499734</v>
      </c>
      <c r="DB86" s="63">
        <f t="shared" si="158"/>
        <v>0.95011371103795961</v>
      </c>
      <c r="DC86" s="63">
        <f t="shared" si="158"/>
        <v>0.95199689286717171</v>
      </c>
      <c r="DD86" s="63">
        <f t="shared" si="158"/>
        <v>0.95381117643579505</v>
      </c>
      <c r="DE86" s="63">
        <f t="shared" si="158"/>
        <v>0.95497842584144055</v>
      </c>
      <c r="DF86" s="63">
        <f t="shared" si="158"/>
        <v>0.95876889784923891</v>
      </c>
      <c r="DG86" s="63">
        <f t="shared" si="158"/>
        <v>0.95799426505458773</v>
      </c>
      <c r="DH86" s="63">
        <f t="shared" si="158"/>
        <v>0.95793786061261132</v>
      </c>
      <c r="DI86" s="63">
        <f t="shared" si="158"/>
        <v>0.95800889347386631</v>
      </c>
      <c r="DJ86" s="63">
        <f t="shared" si="158"/>
        <v>0.96073798015186551</v>
      </c>
      <c r="DK86" s="63">
        <f t="shared" si="158"/>
        <v>0.95934569304786455</v>
      </c>
      <c r="DL86" s="63">
        <f t="shared" si="158"/>
        <v>0.95789991576448852</v>
      </c>
      <c r="DM86" s="63">
        <f t="shared" si="158"/>
        <v>0.95677233167220532</v>
      </c>
      <c r="DN86" s="63">
        <f t="shared" si="158"/>
        <v>0.95986067202741698</v>
      </c>
      <c r="DO86" s="63">
        <f t="shared" si="158"/>
        <v>0.95920901523737945</v>
      </c>
      <c r="DP86" s="63">
        <f t="shared" si="158"/>
        <v>0.95891796113217975</v>
      </c>
      <c r="DQ86" s="63">
        <f t="shared" si="158"/>
        <v>0.95858035855993695</v>
      </c>
      <c r="EC86" s="79"/>
      <c r="ED86" s="79"/>
      <c r="EE86" s="91">
        <f t="shared" ref="EE86:EW86" si="159">EE83/EE$119</f>
        <v>3.0140186915887851E-2</v>
      </c>
      <c r="EF86" s="91">
        <f t="shared" si="159"/>
        <v>4.8184019370460046E-2</v>
      </c>
      <c r="EG86" s="52" t="e">
        <f t="shared" si="159"/>
        <v>#REF!</v>
      </c>
      <c r="EH86" s="52" t="e">
        <f t="shared" si="159"/>
        <v>#REF!</v>
      </c>
      <c r="EI86" s="52" t="e">
        <f t="shared" si="159"/>
        <v>#REF!</v>
      </c>
      <c r="EJ86" s="52" t="e">
        <f t="shared" si="159"/>
        <v>#REF!</v>
      </c>
      <c r="EK86" s="52">
        <f t="shared" si="159"/>
        <v>0.34318393649709794</v>
      </c>
      <c r="EL86" s="52">
        <f t="shared" si="159"/>
        <v>0.39508847774317651</v>
      </c>
      <c r="EM86" s="52">
        <f t="shared" si="159"/>
        <v>0.47427219714416635</v>
      </c>
      <c r="EN86" s="52">
        <f t="shared" si="159"/>
        <v>0.39433008842981349</v>
      </c>
      <c r="EO86" s="52">
        <f t="shared" si="159"/>
        <v>0.55627641432490549</v>
      </c>
      <c r="EP86" s="52">
        <f t="shared" si="159"/>
        <v>0.78009586028035849</v>
      </c>
      <c r="EQ86" s="52">
        <f t="shared" si="159"/>
        <v>0.88267163229806045</v>
      </c>
      <c r="ER86" s="52">
        <f t="shared" si="159"/>
        <v>0.89718808176421005</v>
      </c>
      <c r="ES86" s="53">
        <f t="shared" si="159"/>
        <v>0.93462724675242836</v>
      </c>
      <c r="ET86" s="53">
        <f t="shared" si="159"/>
        <v>0.95291324344979422</v>
      </c>
      <c r="EU86" s="53">
        <f t="shared" si="159"/>
        <v>0.95816419865263058</v>
      </c>
      <c r="EV86" s="53">
        <f t="shared" si="159"/>
        <v>0.95865202945049999</v>
      </c>
      <c r="EW86" s="53">
        <f t="shared" si="159"/>
        <v>0.95911954254014209</v>
      </c>
    </row>
    <row r="87" spans="1:155" s="49" customFormat="1">
      <c r="A87" s="94" t="s">
        <v>262</v>
      </c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6"/>
      <c r="AY87" s="76"/>
      <c r="AZ87" s="76"/>
      <c r="BA87" s="76"/>
      <c r="BB87" s="76">
        <v>57</v>
      </c>
      <c r="BC87" s="76">
        <v>83</v>
      </c>
      <c r="BD87" s="76">
        <v>90</v>
      </c>
      <c r="BE87" s="76">
        <v>88</v>
      </c>
      <c r="BF87" s="76">
        <v>88</v>
      </c>
      <c r="BG87" s="76">
        <v>73</v>
      </c>
      <c r="BH87" s="76">
        <v>82</v>
      </c>
      <c r="BI87" s="76">
        <v>97</v>
      </c>
      <c r="BJ87" s="76">
        <v>143</v>
      </c>
      <c r="BK87" s="76">
        <v>151</v>
      </c>
      <c r="BL87" s="76">
        <v>240</v>
      </c>
      <c r="BM87" s="76">
        <v>296</v>
      </c>
      <c r="BN87" s="76">
        <v>409</v>
      </c>
      <c r="BO87" s="76">
        <v>416</v>
      </c>
      <c r="BP87" s="76">
        <v>501</v>
      </c>
      <c r="BQ87" s="76">
        <v>606</v>
      </c>
      <c r="BR87" s="76">
        <v>701</v>
      </c>
      <c r="BS87" s="76">
        <v>760</v>
      </c>
      <c r="BT87" s="76">
        <v>792</v>
      </c>
      <c r="BU87" s="76">
        <v>679</v>
      </c>
      <c r="BV87" s="76">
        <v>634</v>
      </c>
      <c r="BW87" s="76">
        <v>655</v>
      </c>
      <c r="BX87" s="76">
        <v>726</v>
      </c>
      <c r="BY87" s="76">
        <v>968</v>
      </c>
      <c r="BZ87" s="76">
        <v>1141</v>
      </c>
      <c r="CA87" s="76">
        <f t="shared" ref="CA87:CS87" si="160">CA83-CA91</f>
        <v>1212</v>
      </c>
      <c r="CB87" s="76">
        <f t="shared" si="160"/>
        <v>1285</v>
      </c>
      <c r="CC87" s="76">
        <f t="shared" si="160"/>
        <v>1405.48296</v>
      </c>
      <c r="CD87" s="76">
        <f t="shared" si="160"/>
        <v>1512.0675000000001</v>
      </c>
      <c r="CE87" s="76">
        <f t="shared" si="160"/>
        <v>1718</v>
      </c>
      <c r="CF87" s="76">
        <f t="shared" si="160"/>
        <v>2288</v>
      </c>
      <c r="CG87" s="76">
        <f t="shared" si="160"/>
        <v>2550.1999999999998</v>
      </c>
      <c r="CH87" s="76">
        <f t="shared" si="160"/>
        <v>3001.56</v>
      </c>
      <c r="CI87" s="76">
        <f t="shared" si="160"/>
        <v>3005.1691999999998</v>
      </c>
      <c r="CJ87" s="76">
        <f t="shared" si="160"/>
        <v>2831.9614999999999</v>
      </c>
      <c r="CK87" s="76">
        <f>CK83-CK91</f>
        <v>2564.9095749999997</v>
      </c>
      <c r="CL87" s="76">
        <f t="shared" si="160"/>
        <v>3357</v>
      </c>
      <c r="CM87" s="76">
        <f t="shared" si="160"/>
        <v>8612</v>
      </c>
      <c r="CN87" s="76">
        <f t="shared" si="160"/>
        <v>11911.65625</v>
      </c>
      <c r="CO87" s="76">
        <f t="shared" si="160"/>
        <v>15073</v>
      </c>
      <c r="CP87" s="76">
        <f t="shared" si="160"/>
        <v>19392</v>
      </c>
      <c r="CQ87" s="76">
        <f t="shared" si="160"/>
        <v>22604</v>
      </c>
      <c r="CR87" s="76">
        <f t="shared" si="160"/>
        <v>27644</v>
      </c>
      <c r="CS87" s="76">
        <f t="shared" si="160"/>
        <v>32556</v>
      </c>
      <c r="CT87" s="76">
        <f>CT83-CT91</f>
        <v>34155</v>
      </c>
      <c r="CU87" s="76">
        <f>CU83-CU91</f>
        <v>33844</v>
      </c>
      <c r="CV87" s="76">
        <f>CV83-CV91</f>
        <v>43028</v>
      </c>
      <c r="CW87" s="76">
        <f>CW83-CW91</f>
        <v>51334</v>
      </c>
      <c r="CX87" s="76">
        <f>CX83-CX91</f>
        <v>60446</v>
      </c>
      <c r="CY87" s="78">
        <f>Datacenter!BW15</f>
        <v>69512.899999999994</v>
      </c>
      <c r="CZ87" s="78">
        <f>Datacenter!BX15</f>
        <v>83415.48</v>
      </c>
      <c r="DA87" s="78">
        <f>Datacenter!BY15</f>
        <v>95093.647200000007</v>
      </c>
      <c r="DB87" s="78">
        <f>Datacenter!BZ15</f>
        <v>104603.01192000002</v>
      </c>
      <c r="DC87" s="78">
        <f>Datacenter!CA15</f>
        <v>115063.31311200003</v>
      </c>
      <c r="DD87" s="78">
        <f>Datacenter!CB15</f>
        <v>128870.91068544005</v>
      </c>
      <c r="DE87" s="78">
        <f>Datacenter!CC15</f>
        <v>137891.87443342086</v>
      </c>
      <c r="DF87" s="78">
        <f>Datacenter!CD15</f>
        <v>142028.6306664235</v>
      </c>
      <c r="DG87" s="78">
        <f>Datacenter!CE15</f>
        <v>146289.48958641622</v>
      </c>
      <c r="DH87" s="78">
        <f>Datacenter!CF15</f>
        <v>156529.75385746537</v>
      </c>
      <c r="DI87" s="78">
        <f>Datacenter!CG15</f>
        <v>164356.24155033866</v>
      </c>
      <c r="DJ87" s="78">
        <f>Datacenter!CH15</f>
        <v>165999.80396584206</v>
      </c>
      <c r="DK87" s="78">
        <f>Datacenter!CI15</f>
        <v>167659.80200550047</v>
      </c>
      <c r="DL87" s="78">
        <f>Datacenter!CJ15</f>
        <v>172689.59606566548</v>
      </c>
      <c r="DM87" s="78">
        <f>Datacenter!CK15</f>
        <v>176143.38798697878</v>
      </c>
      <c r="DN87" s="78">
        <f>Datacenter!CL15</f>
        <v>179666.25574671835</v>
      </c>
      <c r="DO87" s="78">
        <f>Datacenter!CM15</f>
        <v>185056.24341911991</v>
      </c>
      <c r="DP87" s="78">
        <f>Datacenter!CN15</f>
        <v>196159.61802426711</v>
      </c>
      <c r="DQ87" s="78">
        <f>Datacenter!CO15</f>
        <v>204006.00274523781</v>
      </c>
      <c r="DT87" s="77"/>
      <c r="DU87" s="77"/>
      <c r="DV87" s="77"/>
      <c r="DW87" s="77"/>
      <c r="DX87" s="77"/>
      <c r="DY87" s="77"/>
      <c r="DZ87" s="77"/>
      <c r="EA87" s="77"/>
      <c r="EB87" s="77"/>
      <c r="EC87" s="76"/>
      <c r="ED87" s="76"/>
      <c r="EE87" s="76">
        <v>129</v>
      </c>
      <c r="EF87" s="76">
        <v>199</v>
      </c>
      <c r="EG87" s="76">
        <f>SUM(BB87:BE87)</f>
        <v>318</v>
      </c>
      <c r="EH87" s="76">
        <f>SUM(BF87:BI87)</f>
        <v>340</v>
      </c>
      <c r="EI87" s="76">
        <f>SUM(BJ87:BM87)</f>
        <v>830</v>
      </c>
      <c r="EJ87" s="76">
        <f>SUM(BN87:BQ87)</f>
        <v>1932</v>
      </c>
      <c r="EK87" s="76">
        <f>SUM(BR87:BU87)</f>
        <v>2932</v>
      </c>
      <c r="EL87" s="76">
        <f>BV87+BW87+BX87+BY87</f>
        <v>2983</v>
      </c>
      <c r="EM87" s="76">
        <f>SUM(BZ87:CC87)</f>
        <v>5043.4829600000003</v>
      </c>
      <c r="EN87" s="76">
        <f>+CD87+CE87+CF87+CG87</f>
        <v>8068.2674999999999</v>
      </c>
      <c r="EO87" s="76">
        <f>SUM(CH87:CK87)</f>
        <v>11403.600274999999</v>
      </c>
      <c r="EP87" s="76">
        <f>SUM(CL87:CO87)</f>
        <v>38953.65625</v>
      </c>
      <c r="EQ87" s="76">
        <f>SUM(CP87:CS87)</f>
        <v>102196</v>
      </c>
      <c r="ER87" s="76">
        <f>SUM(CT87:CW87)</f>
        <v>162361</v>
      </c>
      <c r="ES87" s="78">
        <f>SUM(CX87:DA87)</f>
        <v>308468.02720000001</v>
      </c>
      <c r="ET87" s="78">
        <f>SUM(DB87:DE87)</f>
        <v>486429.11015086097</v>
      </c>
      <c r="EU87" s="78">
        <f>SUM(DF87:DI87)</f>
        <v>609204.11566064379</v>
      </c>
      <c r="EV87" s="78">
        <f>SUM(DJ87:DM87)</f>
        <v>682492.59002398676</v>
      </c>
      <c r="EW87" s="78">
        <f>SUM(DN87:DQ87)</f>
        <v>764888.11993534316</v>
      </c>
      <c r="EX87" s="35"/>
      <c r="EY87" s="93"/>
    </row>
    <row r="88" spans="1:155" s="52" customFormat="1">
      <c r="A88" s="58" t="s">
        <v>223</v>
      </c>
      <c r="BC88" s="62">
        <f t="shared" ref="BC88:BP88" si="161">BC87/BB87-1</f>
        <v>0.45614035087719307</v>
      </c>
      <c r="BD88" s="62">
        <f t="shared" si="161"/>
        <v>8.43373493975903E-2</v>
      </c>
      <c r="BE88" s="62">
        <f t="shared" si="161"/>
        <v>-2.2222222222222254E-2</v>
      </c>
      <c r="BF88" s="62">
        <f t="shared" si="161"/>
        <v>0</v>
      </c>
      <c r="BG88" s="62">
        <f t="shared" si="161"/>
        <v>-0.17045454545454541</v>
      </c>
      <c r="BH88" s="62">
        <f t="shared" si="161"/>
        <v>0.12328767123287676</v>
      </c>
      <c r="BI88" s="62">
        <f t="shared" si="161"/>
        <v>0.18292682926829262</v>
      </c>
      <c r="BJ88" s="62">
        <f t="shared" si="161"/>
        <v>0.47422680412371143</v>
      </c>
      <c r="BK88" s="62">
        <f t="shared" si="161"/>
        <v>5.5944055944056048E-2</v>
      </c>
      <c r="BL88" s="62">
        <f t="shared" si="161"/>
        <v>0.58940397350993368</v>
      </c>
      <c r="BM88" s="62">
        <f t="shared" si="161"/>
        <v>0.23333333333333339</v>
      </c>
      <c r="BN88" s="62">
        <f t="shared" si="161"/>
        <v>0.3817567567567568</v>
      </c>
      <c r="BO88" s="62">
        <f t="shared" si="161"/>
        <v>1.7114914425427896E-2</v>
      </c>
      <c r="BP88" s="62">
        <f t="shared" si="161"/>
        <v>0.20432692307692313</v>
      </c>
      <c r="BQ88" s="62">
        <f>BQ87/BP87-1</f>
        <v>0.20958083832335328</v>
      </c>
      <c r="BR88" s="62">
        <f>BR87/BQ87-1</f>
        <v>0.15676567656765683</v>
      </c>
      <c r="BS88" s="62">
        <f>BS87/BR87-1</f>
        <v>8.4165477888730411E-2</v>
      </c>
      <c r="BT88" s="62">
        <f>BT87/BS87-1</f>
        <v>4.2105263157894646E-2</v>
      </c>
      <c r="BU88" s="62">
        <f>BU87/BT87-1</f>
        <v>-0.14267676767676762</v>
      </c>
      <c r="BV88" s="62">
        <f t="shared" ref="BV88:DQ88" si="162">BV87/BU87-1</f>
        <v>-6.6273932253313683E-2</v>
      </c>
      <c r="BW88" s="62">
        <f t="shared" si="162"/>
        <v>3.3123028391167209E-2</v>
      </c>
      <c r="BX88" s="62">
        <f>BX87/BW87-1</f>
        <v>0.10839694656488552</v>
      </c>
      <c r="BY88" s="62">
        <f t="shared" si="162"/>
        <v>0.33333333333333326</v>
      </c>
      <c r="BZ88" s="62">
        <f t="shared" si="162"/>
        <v>0.17871900826446274</v>
      </c>
      <c r="CA88" s="62">
        <f t="shared" si="162"/>
        <v>6.2226117440841389E-2</v>
      </c>
      <c r="CB88" s="62">
        <f t="shared" si="162"/>
        <v>6.0231023102310211E-2</v>
      </c>
      <c r="CC88" s="62">
        <f t="shared" si="162"/>
        <v>9.3761058365758876E-2</v>
      </c>
      <c r="CD88" s="62">
        <f t="shared" si="162"/>
        <v>7.583481481696519E-2</v>
      </c>
      <c r="CE88" s="62">
        <f t="shared" si="162"/>
        <v>0.13619266335662927</v>
      </c>
      <c r="CF88" s="62">
        <f t="shared" si="162"/>
        <v>0.33178114086146682</v>
      </c>
      <c r="CG88" s="62">
        <f t="shared" si="162"/>
        <v>0.11459790209790199</v>
      </c>
      <c r="CH88" s="62">
        <f t="shared" si="162"/>
        <v>0.17699003999686314</v>
      </c>
      <c r="CI88" s="62">
        <f t="shared" si="162"/>
        <v>1.2024413971400971E-3</v>
      </c>
      <c r="CJ88" s="62">
        <f t="shared" si="162"/>
        <v>-5.7636588315892467E-2</v>
      </c>
      <c r="CK88" s="62">
        <f t="shared" si="162"/>
        <v>-9.4299278079875148E-2</v>
      </c>
      <c r="CL88" s="62">
        <f t="shared" si="162"/>
        <v>0.30881807012631257</v>
      </c>
      <c r="CM88" s="62">
        <f t="shared" si="162"/>
        <v>1.5653857610962167</v>
      </c>
      <c r="CN88" s="62">
        <f t="shared" si="162"/>
        <v>0.3831463365071992</v>
      </c>
      <c r="CO88" s="62">
        <f t="shared" si="162"/>
        <v>0.26539917570237126</v>
      </c>
      <c r="CP88" s="62">
        <f t="shared" si="162"/>
        <v>0.28653884429111653</v>
      </c>
      <c r="CQ88" s="62">
        <f t="shared" si="162"/>
        <v>0.16563531353135308</v>
      </c>
      <c r="CR88" s="62">
        <f t="shared" si="162"/>
        <v>0.22296938594938953</v>
      </c>
      <c r="CS88" s="62">
        <f t="shared" si="162"/>
        <v>0.17768774417595146</v>
      </c>
      <c r="CT88" s="62">
        <f t="shared" si="162"/>
        <v>4.9115370438628903E-2</v>
      </c>
      <c r="CU88" s="62">
        <f t="shared" si="162"/>
        <v>-9.1055482359829742E-3</v>
      </c>
      <c r="CV88" s="62">
        <f t="shared" si="162"/>
        <v>0.27136272308237808</v>
      </c>
      <c r="CW88" s="62">
        <f t="shared" si="162"/>
        <v>0.19303709212605735</v>
      </c>
      <c r="CX88" s="62">
        <f t="shared" si="162"/>
        <v>0.17750418825729541</v>
      </c>
      <c r="CY88" s="63">
        <f t="shared" si="162"/>
        <v>0.14999999999999991</v>
      </c>
      <c r="CZ88" s="63">
        <f t="shared" si="162"/>
        <v>0.19999999999999996</v>
      </c>
      <c r="DA88" s="63">
        <f t="shared" si="162"/>
        <v>0.14000000000000012</v>
      </c>
      <c r="DB88" s="63">
        <f t="shared" si="162"/>
        <v>0.10000000000000009</v>
      </c>
      <c r="DC88" s="63">
        <f t="shared" si="162"/>
        <v>0.10000000000000009</v>
      </c>
      <c r="DD88" s="63">
        <f t="shared" si="162"/>
        <v>0.12000000000000011</v>
      </c>
      <c r="DE88" s="63">
        <f t="shared" si="162"/>
        <v>7.0000000000000062E-2</v>
      </c>
      <c r="DF88" s="63">
        <f t="shared" si="162"/>
        <v>3.0000000000000027E-2</v>
      </c>
      <c r="DG88" s="63">
        <f t="shared" si="162"/>
        <v>3.0000000000000027E-2</v>
      </c>
      <c r="DH88" s="63">
        <f t="shared" si="162"/>
        <v>7.0000000000000062E-2</v>
      </c>
      <c r="DI88" s="63">
        <f t="shared" si="162"/>
        <v>5.0000000000000044E-2</v>
      </c>
      <c r="DJ88" s="63">
        <f t="shared" si="162"/>
        <v>1.0000000000000009E-2</v>
      </c>
      <c r="DK88" s="63">
        <f t="shared" si="162"/>
        <v>1.0000000000000009E-2</v>
      </c>
      <c r="DL88" s="63">
        <f t="shared" si="162"/>
        <v>3.0000000000000027E-2</v>
      </c>
      <c r="DM88" s="63">
        <f t="shared" si="162"/>
        <v>2.0000000000000018E-2</v>
      </c>
      <c r="DN88" s="63">
        <f t="shared" si="162"/>
        <v>2.0000000000000018E-2</v>
      </c>
      <c r="DO88" s="63">
        <f t="shared" si="162"/>
        <v>3.0000000000000027E-2</v>
      </c>
      <c r="DP88" s="63">
        <f t="shared" si="162"/>
        <v>6.0000000000000053E-2</v>
      </c>
      <c r="DQ88" s="63">
        <f t="shared" si="162"/>
        <v>4.0000000000000036E-2</v>
      </c>
      <c r="DT88" s="54" t="s">
        <v>224</v>
      </c>
      <c r="DU88" s="54" t="s">
        <v>224</v>
      </c>
      <c r="DV88" s="54" t="s">
        <v>224</v>
      </c>
      <c r="DW88" s="54" t="s">
        <v>224</v>
      </c>
      <c r="DX88" s="54" t="s">
        <v>224</v>
      </c>
      <c r="DY88" s="54" t="s">
        <v>224</v>
      </c>
      <c r="DZ88" s="54" t="s">
        <v>224</v>
      </c>
      <c r="EA88" s="54" t="s">
        <v>224</v>
      </c>
      <c r="EB88" s="54" t="s">
        <v>224</v>
      </c>
      <c r="EC88" s="54" t="s">
        <v>224</v>
      </c>
      <c r="ED88" s="54" t="s">
        <v>224</v>
      </c>
      <c r="EE88" s="54" t="s">
        <v>224</v>
      </c>
      <c r="EF88" s="54" t="s">
        <v>224</v>
      </c>
      <c r="EG88" s="54" t="s">
        <v>224</v>
      </c>
      <c r="EH88" s="54" t="s">
        <v>224</v>
      </c>
      <c r="EI88" s="54" t="s">
        <v>224</v>
      </c>
      <c r="EJ88" s="54" t="s">
        <v>224</v>
      </c>
      <c r="EK88" s="54" t="s">
        <v>224</v>
      </c>
      <c r="EL88" s="54" t="s">
        <v>224</v>
      </c>
      <c r="EM88" s="54" t="s">
        <v>224</v>
      </c>
      <c r="EN88" s="54" t="s">
        <v>224</v>
      </c>
      <c r="EO88" s="54" t="s">
        <v>224</v>
      </c>
      <c r="EP88" s="54" t="s">
        <v>224</v>
      </c>
      <c r="EQ88" s="54" t="s">
        <v>224</v>
      </c>
      <c r="ER88" s="54" t="s">
        <v>224</v>
      </c>
      <c r="ES88" s="55" t="s">
        <v>224</v>
      </c>
      <c r="ET88" s="55" t="s">
        <v>224</v>
      </c>
      <c r="EU88" s="55" t="s">
        <v>224</v>
      </c>
      <c r="EV88" s="55" t="s">
        <v>224</v>
      </c>
      <c r="EW88" s="55" t="s">
        <v>224</v>
      </c>
      <c r="EX88" s="50"/>
      <c r="EY88" s="50"/>
    </row>
    <row r="89" spans="1:155" s="52" customFormat="1">
      <c r="A89" s="58" t="s">
        <v>225</v>
      </c>
      <c r="BF89" s="62">
        <f t="shared" ref="BF89:DQ89" si="163">BF87/BB87-1</f>
        <v>0.54385964912280693</v>
      </c>
      <c r="BG89" s="62">
        <f t="shared" si="163"/>
        <v>-0.12048192771084343</v>
      </c>
      <c r="BH89" s="62">
        <f t="shared" si="163"/>
        <v>-8.8888888888888906E-2</v>
      </c>
      <c r="BI89" s="62">
        <f t="shared" si="163"/>
        <v>0.10227272727272729</v>
      </c>
      <c r="BJ89" s="62">
        <f t="shared" si="163"/>
        <v>0.625</v>
      </c>
      <c r="BK89" s="62">
        <f t="shared" si="163"/>
        <v>1.0684931506849313</v>
      </c>
      <c r="BL89" s="62">
        <f t="shared" si="163"/>
        <v>1.9268292682926829</v>
      </c>
      <c r="BM89" s="62">
        <f t="shared" si="163"/>
        <v>2.0515463917525771</v>
      </c>
      <c r="BN89" s="62">
        <f t="shared" si="163"/>
        <v>1.86013986013986</v>
      </c>
      <c r="BO89" s="62">
        <f t="shared" si="163"/>
        <v>1.7549668874172184</v>
      </c>
      <c r="BP89" s="62">
        <f t="shared" si="163"/>
        <v>1.0874999999999999</v>
      </c>
      <c r="BQ89" s="62">
        <f t="shared" si="163"/>
        <v>1.0472972972972974</v>
      </c>
      <c r="BR89" s="62">
        <f t="shared" si="163"/>
        <v>0.71393643031784837</v>
      </c>
      <c r="BS89" s="62">
        <f t="shared" si="163"/>
        <v>0.82692307692307687</v>
      </c>
      <c r="BT89" s="62">
        <f t="shared" si="163"/>
        <v>0.58083832335329344</v>
      </c>
      <c r="BU89" s="62">
        <f t="shared" si="163"/>
        <v>0.12046204620462042</v>
      </c>
      <c r="BV89" s="62">
        <f t="shared" si="163"/>
        <v>-9.5577746077032844E-2</v>
      </c>
      <c r="BW89" s="62">
        <f t="shared" si="163"/>
        <v>-0.13815789473684215</v>
      </c>
      <c r="BX89" s="62">
        <f t="shared" si="163"/>
        <v>-8.333333333333337E-2</v>
      </c>
      <c r="BY89" s="62">
        <f t="shared" si="163"/>
        <v>0.42562592047128134</v>
      </c>
      <c r="BZ89" s="62">
        <f t="shared" si="163"/>
        <v>0.7996845425867507</v>
      </c>
      <c r="CA89" s="62">
        <f t="shared" si="163"/>
        <v>0.85038167938931308</v>
      </c>
      <c r="CB89" s="62">
        <f t="shared" si="163"/>
        <v>0.76997245179063367</v>
      </c>
      <c r="CC89" s="62">
        <f t="shared" si="163"/>
        <v>0.45194520661157034</v>
      </c>
      <c r="CD89" s="62">
        <f t="shared" si="163"/>
        <v>0.32521253286590723</v>
      </c>
      <c r="CE89" s="62">
        <f t="shared" si="163"/>
        <v>0.41749174917491749</v>
      </c>
      <c r="CF89" s="62">
        <f t="shared" si="163"/>
        <v>0.78054474708171195</v>
      </c>
      <c r="CG89" s="62">
        <f t="shared" si="163"/>
        <v>0.81446525683954207</v>
      </c>
      <c r="CH89" s="62">
        <f t="shared" si="163"/>
        <v>0.98507011095734787</v>
      </c>
      <c r="CI89" s="62">
        <f t="shared" si="163"/>
        <v>0.74922537834691494</v>
      </c>
      <c r="CJ89" s="62">
        <f t="shared" si="163"/>
        <v>0.23774541083916079</v>
      </c>
      <c r="CK89" s="62">
        <f t="shared" si="163"/>
        <v>5.7680083914986024E-3</v>
      </c>
      <c r="CL89" s="62">
        <f t="shared" si="163"/>
        <v>0.11841842242034151</v>
      </c>
      <c r="CM89" s="62">
        <f t="shared" si="163"/>
        <v>1.865728824852857</v>
      </c>
      <c r="CN89" s="62">
        <f t="shared" si="163"/>
        <v>3.2061504896870954</v>
      </c>
      <c r="CO89" s="62">
        <f t="shared" si="163"/>
        <v>4.8766204262776016</v>
      </c>
      <c r="CP89" s="62">
        <f t="shared" si="163"/>
        <v>4.7765862377122428</v>
      </c>
      <c r="CQ89" s="62">
        <f t="shared" si="163"/>
        <v>1.6247097073850441</v>
      </c>
      <c r="CR89" s="62">
        <f t="shared" si="163"/>
        <v>1.3207519945011845</v>
      </c>
      <c r="CS89" s="62">
        <f t="shared" si="163"/>
        <v>1.1598885424268559</v>
      </c>
      <c r="CT89" s="62">
        <f t="shared" si="163"/>
        <v>0.76129331683168311</v>
      </c>
      <c r="CU89" s="62">
        <f t="shared" si="163"/>
        <v>0.49725712263316235</v>
      </c>
      <c r="CV89" s="62">
        <f t="shared" si="163"/>
        <v>0.55650412386051218</v>
      </c>
      <c r="CW89" s="62">
        <f t="shared" si="163"/>
        <v>0.57679076053569234</v>
      </c>
      <c r="CX89" s="62">
        <f t="shared" si="163"/>
        <v>0.76975552627726551</v>
      </c>
      <c r="CY89" s="63">
        <f t="shared" si="163"/>
        <v>1.0539209313319935</v>
      </c>
      <c r="CZ89" s="63">
        <f t="shared" si="163"/>
        <v>0.93863251836013739</v>
      </c>
      <c r="DA89" s="63">
        <f t="shared" si="163"/>
        <v>0.85244958896637724</v>
      </c>
      <c r="DB89" s="63">
        <f t="shared" si="163"/>
        <v>0.73052000000000028</v>
      </c>
      <c r="DC89" s="63">
        <f t="shared" si="163"/>
        <v>0.65528000000000053</v>
      </c>
      <c r="DD89" s="63">
        <f t="shared" si="163"/>
        <v>0.54492800000000052</v>
      </c>
      <c r="DE89" s="63">
        <f t="shared" si="163"/>
        <v>0.45006400000000046</v>
      </c>
      <c r="DF89" s="63">
        <f t="shared" si="163"/>
        <v>0.35778720000000042</v>
      </c>
      <c r="DG89" s="63">
        <f t="shared" si="163"/>
        <v>0.27138256000000038</v>
      </c>
      <c r="DH89" s="63">
        <f t="shared" si="163"/>
        <v>0.21462441000000054</v>
      </c>
      <c r="DI89" s="63">
        <f t="shared" si="163"/>
        <v>0.19192115000000043</v>
      </c>
      <c r="DJ89" s="63">
        <f t="shared" si="163"/>
        <v>0.16877705000000054</v>
      </c>
      <c r="DK89" s="63">
        <f t="shared" si="163"/>
        <v>0.14608235000000036</v>
      </c>
      <c r="DL89" s="63">
        <f t="shared" si="163"/>
        <v>0.10323815000000014</v>
      </c>
      <c r="DM89" s="63">
        <f t="shared" si="163"/>
        <v>7.1717059999999888E-2</v>
      </c>
      <c r="DN89" s="63">
        <f t="shared" si="163"/>
        <v>8.2328119999999894E-2</v>
      </c>
      <c r="DO89" s="63">
        <f t="shared" si="163"/>
        <v>0.10376035999999988</v>
      </c>
      <c r="DP89" s="63">
        <f t="shared" si="163"/>
        <v>0.13590871999999998</v>
      </c>
      <c r="DQ89" s="63">
        <f t="shared" si="163"/>
        <v>0.15818144000000012</v>
      </c>
      <c r="EC89" s="79"/>
      <c r="ED89" s="79"/>
      <c r="EE89" s="91"/>
      <c r="EF89" s="91">
        <f t="shared" ref="EF89:ET89" si="164">EF87/EE87-1</f>
        <v>0.54263565891472876</v>
      </c>
      <c r="EG89" s="52">
        <f t="shared" si="164"/>
        <v>0.59798994974874375</v>
      </c>
      <c r="EH89" s="52">
        <f t="shared" si="164"/>
        <v>6.9182389937106903E-2</v>
      </c>
      <c r="EI89" s="52">
        <f t="shared" si="164"/>
        <v>1.4411764705882355</v>
      </c>
      <c r="EJ89" s="52">
        <f t="shared" si="164"/>
        <v>1.3277108433734939</v>
      </c>
      <c r="EK89" s="52">
        <f t="shared" si="164"/>
        <v>0.51759834368530022</v>
      </c>
      <c r="EL89" s="52">
        <f>EL87/EK87-1</f>
        <v>1.7394270122783162E-2</v>
      </c>
      <c r="EM89" s="52">
        <f>EM87/EL87-1</f>
        <v>0.69074185719074777</v>
      </c>
      <c r="EN89" s="52">
        <f t="shared" si="164"/>
        <v>0.5997412034480234</v>
      </c>
      <c r="EO89" s="52">
        <f t="shared" si="164"/>
        <v>0.41338896795377678</v>
      </c>
      <c r="EP89" s="52">
        <f t="shared" si="164"/>
        <v>2.4159085999706353</v>
      </c>
      <c r="EQ89" s="52">
        <f t="shared" si="164"/>
        <v>1.6235277978559459</v>
      </c>
      <c r="ER89" s="52">
        <f t="shared" si="164"/>
        <v>0.58872167208109905</v>
      </c>
      <c r="ES89" s="65">
        <f t="shared" si="164"/>
        <v>0.89988991937719032</v>
      </c>
      <c r="ET89" s="65">
        <f t="shared" si="164"/>
        <v>0.57691905565135659</v>
      </c>
      <c r="EU89" s="65">
        <f>EU87/ET87-1</f>
        <v>0.25240061284922977</v>
      </c>
      <c r="EV89" s="65">
        <f>EV87/EU87-1</f>
        <v>0.12030200138071323</v>
      </c>
      <c r="EW89" s="65">
        <f>EW87/EV87-1</f>
        <v>0.1207273619021425</v>
      </c>
    </row>
    <row r="90" spans="1:155" s="52" customFormat="1">
      <c r="A90" s="58" t="s">
        <v>258</v>
      </c>
      <c r="BB90" s="62" t="e">
        <f t="shared" ref="BB90:CR90" si="165">BB87/BB$119</f>
        <v>#REF!</v>
      </c>
      <c r="BC90" s="62" t="e">
        <f t="shared" si="165"/>
        <v>#REF!</v>
      </c>
      <c r="BD90" s="62" t="e">
        <f t="shared" si="165"/>
        <v>#REF!</v>
      </c>
      <c r="BE90" s="62" t="e">
        <f t="shared" si="165"/>
        <v>#REF!</v>
      </c>
      <c r="BF90" s="62" t="e">
        <f t="shared" si="165"/>
        <v>#REF!</v>
      </c>
      <c r="BG90" s="62" t="e">
        <f t="shared" si="165"/>
        <v>#REF!</v>
      </c>
      <c r="BH90" s="62" t="e">
        <f t="shared" si="165"/>
        <v>#REF!</v>
      </c>
      <c r="BI90" s="62" t="e">
        <f t="shared" si="165"/>
        <v>#REF!</v>
      </c>
      <c r="BJ90" s="62" t="e">
        <f t="shared" si="165"/>
        <v>#REF!</v>
      </c>
      <c r="BK90" s="62" t="e">
        <f t="shared" si="165"/>
        <v>#REF!</v>
      </c>
      <c r="BL90" s="62" t="e">
        <f t="shared" si="165"/>
        <v>#REF!</v>
      </c>
      <c r="BM90" s="62" t="e">
        <f t="shared" si="165"/>
        <v>#REF!</v>
      </c>
      <c r="BN90" s="62" t="e">
        <f t="shared" si="165"/>
        <v>#REF!</v>
      </c>
      <c r="BO90" s="62">
        <f t="shared" si="165"/>
        <v>0.18654708520179372</v>
      </c>
      <c r="BP90" s="62">
        <f t="shared" si="165"/>
        <v>0.19006069802731412</v>
      </c>
      <c r="BQ90" s="62">
        <f t="shared" si="165"/>
        <v>0.20817588457574718</v>
      </c>
      <c r="BR90" s="62">
        <f t="shared" si="165"/>
        <v>0.21858434674150296</v>
      </c>
      <c r="BS90" s="62">
        <f t="shared" si="165"/>
        <v>0.24335574767851426</v>
      </c>
      <c r="BT90" s="62">
        <f t="shared" si="165"/>
        <v>0.24897830870795348</v>
      </c>
      <c r="BU90" s="62">
        <f t="shared" si="165"/>
        <v>0.30793650793650795</v>
      </c>
      <c r="BV90" s="62">
        <f t="shared" si="165"/>
        <v>0.28558558558558561</v>
      </c>
      <c r="BW90" s="62">
        <f t="shared" si="165"/>
        <v>0.25397440868553706</v>
      </c>
      <c r="BX90" s="62">
        <f t="shared" si="165"/>
        <v>0.24087591240875914</v>
      </c>
      <c r="BY90" s="62">
        <f t="shared" si="165"/>
        <v>0.3117552334943639</v>
      </c>
      <c r="BZ90" s="62">
        <f t="shared" si="165"/>
        <v>0.37045454545454548</v>
      </c>
      <c r="CA90" s="62">
        <f t="shared" si="165"/>
        <v>0.31350232798758404</v>
      </c>
      <c r="CB90" s="62">
        <f t="shared" si="165"/>
        <v>0.27190012695725774</v>
      </c>
      <c r="CC90" s="62">
        <f t="shared" si="165"/>
        <v>0.2809280351788927</v>
      </c>
      <c r="CD90" s="62">
        <f t="shared" si="165"/>
        <v>0.26710254372019082</v>
      </c>
      <c r="CE90" s="62">
        <f t="shared" si="165"/>
        <v>0.26402335945904409</v>
      </c>
      <c r="CF90" s="62">
        <f t="shared" si="165"/>
        <v>0.32211741517668591</v>
      </c>
      <c r="CG90" s="62">
        <f t="shared" si="165"/>
        <v>0.33366479131231191</v>
      </c>
      <c r="CH90" s="62">
        <f t="shared" si="165"/>
        <v>0.3621573359073359</v>
      </c>
      <c r="CI90" s="62">
        <f t="shared" si="165"/>
        <v>0.44826509546539378</v>
      </c>
      <c r="CJ90" s="62">
        <f t="shared" si="165"/>
        <v>0.47748465688754005</v>
      </c>
      <c r="CK90" s="62">
        <f t="shared" si="165"/>
        <v>0.42388193273839031</v>
      </c>
      <c r="CL90" s="62">
        <f t="shared" si="165"/>
        <v>0.46676863181312572</v>
      </c>
      <c r="CM90" s="62">
        <f t="shared" si="165"/>
        <v>0.6375953209446954</v>
      </c>
      <c r="CN90" s="62">
        <f>CN87/CN$119</f>
        <v>0.65737617273730686</v>
      </c>
      <c r="CO90" s="62">
        <f>CO87/CO$119</f>
        <v>0.68194362756186944</v>
      </c>
      <c r="CP90" s="62">
        <f>CP87/CP$119</f>
        <v>0.74458608508677626</v>
      </c>
      <c r="CQ90" s="62">
        <f>CQ87/CQ$119</f>
        <v>0.75246338215712383</v>
      </c>
      <c r="CR90" s="62">
        <f t="shared" si="165"/>
        <v>0.7879824411379055</v>
      </c>
      <c r="CS90" s="62">
        <f>CS87/CS$119</f>
        <v>0.82774401871297454</v>
      </c>
      <c r="CT90" s="62">
        <f>CT87/CT$119</f>
        <v>0.77515773228632379</v>
      </c>
      <c r="CU90" s="62">
        <f t="shared" ref="CU90:DQ90" si="166">CU87/CU$119</f>
        <v>0.72404424191857608</v>
      </c>
      <c r="CV90" s="62">
        <f>CV87/CV$119</f>
        <v>0.75479774058870996</v>
      </c>
      <c r="CW90" s="62">
        <f>CW87/CW$119</f>
        <v>0.75350448427202132</v>
      </c>
      <c r="CX90" s="62">
        <f t="shared" si="166"/>
        <v>0.74062365986644607</v>
      </c>
      <c r="CY90" s="63">
        <f t="shared" si="166"/>
        <v>0.74705134319668698</v>
      </c>
      <c r="CZ90" s="63">
        <f t="shared" si="166"/>
        <v>0.75381751979942646</v>
      </c>
      <c r="DA90" s="63">
        <f t="shared" si="166"/>
        <v>0.75752538580418538</v>
      </c>
      <c r="DB90" s="63">
        <f t="shared" si="166"/>
        <v>0.76323755917125835</v>
      </c>
      <c r="DC90" s="63">
        <f t="shared" si="166"/>
        <v>0.76475034136364806</v>
      </c>
      <c r="DD90" s="63">
        <f t="shared" si="166"/>
        <v>0.76620777677003515</v>
      </c>
      <c r="DE90" s="63">
        <f t="shared" si="166"/>
        <v>0.76855821141783143</v>
      </c>
      <c r="DF90" s="63">
        <f t="shared" si="166"/>
        <v>0.77160874984667194</v>
      </c>
      <c r="DG90" s="63">
        <f t="shared" si="166"/>
        <v>0.77098533220806076</v>
      </c>
      <c r="DH90" s="63">
        <f t="shared" si="166"/>
        <v>0.77093993841080999</v>
      </c>
      <c r="DI90" s="63">
        <f t="shared" si="166"/>
        <v>0.77099710503083074</v>
      </c>
      <c r="DJ90" s="63">
        <f t="shared" si="166"/>
        <v>0.77319344991076788</v>
      </c>
      <c r="DK90" s="63">
        <f t="shared" si="166"/>
        <v>0.77207294953350725</v>
      </c>
      <c r="DL90" s="63">
        <f t="shared" si="166"/>
        <v>0.77090940073182512</v>
      </c>
      <c r="DM90" s="63">
        <f t="shared" si="166"/>
        <v>0.77000193100294112</v>
      </c>
      <c r="DN90" s="63">
        <f t="shared" si="166"/>
        <v>0.77248740007263206</v>
      </c>
      <c r="DO90" s="63">
        <f t="shared" si="166"/>
        <v>0.77196295243752633</v>
      </c>
      <c r="DP90" s="63">
        <f t="shared" si="166"/>
        <v>0.77172871466160908</v>
      </c>
      <c r="DQ90" s="63">
        <f t="shared" si="166"/>
        <v>0.771457015090109</v>
      </c>
      <c r="EC90" s="79"/>
      <c r="ED90" s="79"/>
      <c r="EE90" s="91">
        <f t="shared" ref="EE90:EW90" si="167">EE87/EE$119</f>
        <v>3.0140186915887851E-2</v>
      </c>
      <c r="EF90" s="91">
        <f t="shared" si="167"/>
        <v>4.8184019370460046E-2</v>
      </c>
      <c r="EG90" s="52" t="e">
        <f t="shared" si="167"/>
        <v>#REF!</v>
      </c>
      <c r="EH90" s="52" t="e">
        <f t="shared" si="167"/>
        <v>#REF!</v>
      </c>
      <c r="EI90" s="52" t="e">
        <f t="shared" si="167"/>
        <v>#REF!</v>
      </c>
      <c r="EJ90" s="52" t="e">
        <f t="shared" si="167"/>
        <v>#REF!</v>
      </c>
      <c r="EK90" s="52">
        <f t="shared" si="167"/>
        <v>0.2502560600887675</v>
      </c>
      <c r="EL90" s="52">
        <f t="shared" si="167"/>
        <v>0.27321853819380837</v>
      </c>
      <c r="EM90" s="52">
        <f t="shared" si="167"/>
        <v>0.33572898524359518</v>
      </c>
      <c r="EN90" s="52">
        <f t="shared" si="167"/>
        <v>0.29977957568551683</v>
      </c>
      <c r="EO90" s="52">
        <f t="shared" si="167"/>
        <v>0.42276267053458882</v>
      </c>
      <c r="EP90" s="52">
        <f t="shared" si="167"/>
        <v>0.6394021248481665</v>
      </c>
      <c r="EQ90" s="52">
        <f t="shared" si="167"/>
        <v>0.7831291140792509</v>
      </c>
      <c r="ER90" s="52">
        <f t="shared" si="167"/>
        <v>0.75188711574618639</v>
      </c>
      <c r="ES90" s="53">
        <f t="shared" si="167"/>
        <v>0.75079709960924546</v>
      </c>
      <c r="ET90" s="53">
        <f t="shared" si="167"/>
        <v>0.76588555273165093</v>
      </c>
      <c r="EU90" s="53">
        <f t="shared" si="167"/>
        <v>0.77112209326845493</v>
      </c>
      <c r="EV90" s="53">
        <f t="shared" si="167"/>
        <v>0.77151469519048732</v>
      </c>
      <c r="EW90" s="53">
        <f t="shared" si="167"/>
        <v>0.77189094560020022</v>
      </c>
    </row>
    <row r="91" spans="1:155" s="49" customFormat="1">
      <c r="A91" s="94" t="s">
        <v>263</v>
      </c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6">
        <v>7.6820000000000004</v>
      </c>
      <c r="S91" s="76">
        <v>10.039999999999999</v>
      </c>
      <c r="T91" s="76">
        <v>12.151999999999999</v>
      </c>
      <c r="U91" s="76">
        <v>12.194000000000001</v>
      </c>
      <c r="V91" s="76">
        <v>8.5060000000000002</v>
      </c>
      <c r="W91" s="76">
        <v>10.813000000000001</v>
      </c>
      <c r="X91" s="76">
        <v>13.422000000000001</v>
      </c>
      <c r="Y91" s="76">
        <v>15.798</v>
      </c>
      <c r="Z91" s="76">
        <v>16.855</v>
      </c>
      <c r="AA91" s="76">
        <v>19.779</v>
      </c>
      <c r="AB91" s="76">
        <v>22.664000000000001</v>
      </c>
      <c r="AC91" s="76">
        <v>24.78</v>
      </c>
      <c r="AD91" s="76">
        <v>25.155000000000001</v>
      </c>
      <c r="AE91" s="76">
        <v>28.201000000000001</v>
      </c>
      <c r="AF91" s="76">
        <v>29.138000000000002</v>
      </c>
      <c r="AG91" s="76">
        <v>25.207000000000001</v>
      </c>
      <c r="AH91" s="76">
        <v>22.558</v>
      </c>
      <c r="AI91" s="76">
        <v>25.286000000000001</v>
      </c>
      <c r="AJ91" s="76">
        <v>32.670999999999999</v>
      </c>
      <c r="AK91" s="76">
        <v>35.529000000000003</v>
      </c>
      <c r="AL91" s="76">
        <v>36.21</v>
      </c>
      <c r="AM91" s="76">
        <v>39.957999999999998</v>
      </c>
      <c r="AN91" s="76">
        <v>37.779000000000003</v>
      </c>
      <c r="AO91" s="76">
        <v>40.692999999999998</v>
      </c>
      <c r="AP91" s="76">
        <v>55.057000000000002</v>
      </c>
      <c r="AQ91" s="76">
        <v>63.344999999999999</v>
      </c>
      <c r="AR91" s="76">
        <v>68.16</v>
      </c>
      <c r="AS91" s="76">
        <v>72.688999999999993</v>
      </c>
      <c r="AT91" s="76">
        <v>86.837999999999994</v>
      </c>
      <c r="AU91" s="76">
        <v>133.47200000000001</v>
      </c>
      <c r="AV91" s="76">
        <v>156.471</v>
      </c>
      <c r="AW91" s="76">
        <v>122.11799999999999</v>
      </c>
      <c r="AX91" s="76">
        <v>83.08</v>
      </c>
      <c r="AY91" s="76">
        <v>98.168000000000006</v>
      </c>
      <c r="AZ91" s="76">
        <v>104.06699999999999</v>
      </c>
      <c r="BA91" s="76">
        <v>105.56</v>
      </c>
      <c r="BB91" s="76">
        <v>98.704999999999998</v>
      </c>
      <c r="BC91" s="76">
        <v>102.574</v>
      </c>
      <c r="BD91" s="76">
        <v>120.708</v>
      </c>
      <c r="BE91" s="76">
        <v>141.11600000000001</v>
      </c>
      <c r="BF91" s="76">
        <v>146.67500000000001</v>
      </c>
      <c r="BG91" s="76">
        <v>163.148</v>
      </c>
      <c r="BH91" s="76">
        <v>171.37700000000001</v>
      </c>
      <c r="BI91" s="76">
        <v>176.94</v>
      </c>
      <c r="BJ91" s="76">
        <v>196.81</v>
      </c>
      <c r="BK91" s="76">
        <v>214.80099999999999</v>
      </c>
      <c r="BL91" s="76">
        <v>224.21100000000001</v>
      </c>
      <c r="BM91" s="76">
        <v>221.67599999999999</v>
      </c>
      <c r="BN91" s="76">
        <v>188.65100000000001</v>
      </c>
      <c r="BO91" s="76">
        <v>211.96199999999999</v>
      </c>
      <c r="BP91" s="76">
        <v>225.69900000000001</v>
      </c>
      <c r="BQ91" s="76">
        <v>237.58099999999999</v>
      </c>
      <c r="BR91" s="76">
        <v>251</v>
      </c>
      <c r="BS91" s="76">
        <v>268.46199999999999</v>
      </c>
      <c r="BT91" s="76">
        <v>279.21100000000001</v>
      </c>
      <c r="BU91" s="76">
        <v>290.07</v>
      </c>
      <c r="BV91" s="76">
        <v>305.21699999999998</v>
      </c>
      <c r="BW91" s="76">
        <v>310.32400000000001</v>
      </c>
      <c r="BX91" s="76">
        <v>335.25099999999998</v>
      </c>
      <c r="BY91" s="76">
        <v>379.78399999999999</v>
      </c>
      <c r="BZ91" s="76">
        <v>428.74599999999998</v>
      </c>
      <c r="CA91" s="76">
        <v>540</v>
      </c>
      <c r="CB91" s="76">
        <v>615</v>
      </c>
      <c r="CC91" s="76">
        <f>BY91*1.31</f>
        <v>497.51704000000001</v>
      </c>
      <c r="CD91" s="76">
        <f>BZ91*1.25</f>
        <v>535.9325</v>
      </c>
      <c r="CE91" s="76">
        <f>CA91*1.2</f>
        <v>648</v>
      </c>
      <c r="CF91" s="76">
        <f t="shared" ref="CF91:CK91" si="168">+CE91*(1+CF92)</f>
        <v>648</v>
      </c>
      <c r="CG91" s="76">
        <f t="shared" si="168"/>
        <v>712.80000000000007</v>
      </c>
      <c r="CH91" s="76">
        <f t="shared" si="168"/>
        <v>748.44</v>
      </c>
      <c r="CI91" s="76">
        <f t="shared" si="168"/>
        <v>800.83080000000007</v>
      </c>
      <c r="CJ91" s="76">
        <f t="shared" si="168"/>
        <v>1001.0385000000001</v>
      </c>
      <c r="CK91" s="76">
        <f t="shared" si="168"/>
        <v>1051.0904250000001</v>
      </c>
      <c r="CL91" s="76">
        <v>927</v>
      </c>
      <c r="CM91" s="76">
        <v>1711</v>
      </c>
      <c r="CN91" s="76">
        <f>CO91/1.28</f>
        <v>2602.34375</v>
      </c>
      <c r="CO91" s="76">
        <v>3331</v>
      </c>
      <c r="CP91" s="76">
        <v>3171</v>
      </c>
      <c r="CQ91" s="76">
        <v>3668</v>
      </c>
      <c r="CR91" s="76">
        <v>3127</v>
      </c>
      <c r="CS91" s="76">
        <v>3024</v>
      </c>
      <c r="CT91" s="76">
        <v>4957</v>
      </c>
      <c r="CU91" s="76">
        <v>7252</v>
      </c>
      <c r="CV91" s="76">
        <v>8187</v>
      </c>
      <c r="CW91" s="76">
        <v>10980</v>
      </c>
      <c r="CX91" s="76">
        <v>14800</v>
      </c>
      <c r="CY91" s="78">
        <f t="shared" ref="CY91:DQ91" si="169">+CX91*(1+CY92)</f>
        <v>17020</v>
      </c>
      <c r="CZ91" s="78">
        <f t="shared" si="169"/>
        <v>20424</v>
      </c>
      <c r="DA91" s="78">
        <f t="shared" si="169"/>
        <v>23283.360000000004</v>
      </c>
      <c r="DB91" s="78">
        <f t="shared" si="169"/>
        <v>25611.696000000007</v>
      </c>
      <c r="DC91" s="78">
        <f t="shared" si="169"/>
        <v>28172.865600000012</v>
      </c>
      <c r="DD91" s="78">
        <f t="shared" si="169"/>
        <v>31553.609472000015</v>
      </c>
      <c r="DE91" s="78">
        <f t="shared" si="169"/>
        <v>33446.826040320018</v>
      </c>
      <c r="DF91" s="78">
        <f t="shared" si="169"/>
        <v>34450.230821529622</v>
      </c>
      <c r="DG91" s="78">
        <f t="shared" si="169"/>
        <v>35483.73774617551</v>
      </c>
      <c r="DH91" s="78">
        <f t="shared" si="169"/>
        <v>37967.599388407798</v>
      </c>
      <c r="DI91" s="78">
        <f t="shared" si="169"/>
        <v>39865.97935782819</v>
      </c>
      <c r="DJ91" s="78">
        <f t="shared" si="169"/>
        <v>40264.639151406474</v>
      </c>
      <c r="DK91" s="78">
        <f t="shared" si="169"/>
        <v>40667.285542920537</v>
      </c>
      <c r="DL91" s="78">
        <f t="shared" si="169"/>
        <v>41887.304109208155</v>
      </c>
      <c r="DM91" s="78">
        <f t="shared" si="169"/>
        <v>42725.050191392322</v>
      </c>
      <c r="DN91" s="78">
        <f t="shared" si="169"/>
        <v>43579.55119522017</v>
      </c>
      <c r="DO91" s="78">
        <f t="shared" si="169"/>
        <v>44886.937731076774</v>
      </c>
      <c r="DP91" s="78">
        <f t="shared" si="169"/>
        <v>47580.153994941385</v>
      </c>
      <c r="DQ91" s="78">
        <f t="shared" si="169"/>
        <v>49483.360154739043</v>
      </c>
      <c r="DT91" s="77"/>
      <c r="DU91" s="77"/>
      <c r="DV91" s="77"/>
      <c r="DW91" s="77"/>
      <c r="DX91" s="77"/>
      <c r="DY91" s="77"/>
      <c r="DZ91" s="77"/>
      <c r="EA91" s="77"/>
      <c r="EB91" s="77"/>
      <c r="EC91" s="76"/>
      <c r="ED91" s="76"/>
      <c r="EE91" s="76">
        <v>56</v>
      </c>
      <c r="EF91" s="76">
        <v>99</v>
      </c>
      <c r="EG91" s="76">
        <f>SUM(BB91:BE91)</f>
        <v>463.10299999999995</v>
      </c>
      <c r="EH91" s="76">
        <f>SUM(BF91:BI91)</f>
        <v>658.14</v>
      </c>
      <c r="EI91" s="76">
        <f>SUM(BJ91:BM91)</f>
        <v>857.49800000000005</v>
      </c>
      <c r="EJ91" s="76">
        <f>SUM(BN91:BQ91)</f>
        <v>863.89300000000003</v>
      </c>
      <c r="EK91" s="76">
        <f>SUM(BR91:BU91)</f>
        <v>1088.7429999999999</v>
      </c>
      <c r="EL91" s="76">
        <f>BV91+BW91+BX91+BY91</f>
        <v>1330.576</v>
      </c>
      <c r="EM91" s="76">
        <f>SUM(BZ91:CC91)</f>
        <v>2081.2630400000003</v>
      </c>
      <c r="EN91" s="76">
        <f>+CD91+CE91+CF91+CG91</f>
        <v>2544.7325000000001</v>
      </c>
      <c r="EO91" s="76">
        <f>SUM(CH91:CK91)</f>
        <v>3601.3997250000002</v>
      </c>
      <c r="EP91" s="76">
        <f>SUM(CL91:CO91)</f>
        <v>8571.34375</v>
      </c>
      <c r="EQ91" s="76">
        <f>SUM(CP91:CS91)</f>
        <v>12990</v>
      </c>
      <c r="ER91" s="76">
        <f>SUM(CT91:CW91)</f>
        <v>31376</v>
      </c>
      <c r="ES91" s="78">
        <f>SUM(CX91:DA91)</f>
        <v>75527.360000000001</v>
      </c>
      <c r="ET91" s="78">
        <f>SUM(DB91:DE91)</f>
        <v>118784.99711232004</v>
      </c>
      <c r="EU91" s="78">
        <f>SUM(DF91:DI91)</f>
        <v>147767.54731394112</v>
      </c>
      <c r="EV91" s="78">
        <f>SUM(DJ91:DM91)</f>
        <v>165544.27899492747</v>
      </c>
      <c r="EW91" s="78">
        <f>SUM(DN91:DQ91)</f>
        <v>185530.00307597738</v>
      </c>
      <c r="EX91" s="35"/>
      <c r="EY91" s="27"/>
    </row>
    <row r="92" spans="1:155" s="52" customFormat="1">
      <c r="A92" s="58" t="s">
        <v>223</v>
      </c>
      <c r="BC92" s="52">
        <f t="shared" ref="BC92:CA92" si="170">BC91/BB91-1</f>
        <v>3.9197609037029624E-2</v>
      </c>
      <c r="BD92" s="52">
        <f t="shared" si="170"/>
        <v>0.17678943981905748</v>
      </c>
      <c r="BE92" s="52">
        <f t="shared" si="170"/>
        <v>0.16906915863074534</v>
      </c>
      <c r="BF92" s="52">
        <f t="shared" si="170"/>
        <v>3.9393123387851059E-2</v>
      </c>
      <c r="BG92" s="52">
        <f t="shared" si="170"/>
        <v>0.11230952786773463</v>
      </c>
      <c r="BH92" s="52">
        <f t="shared" si="170"/>
        <v>5.0438865324735849E-2</v>
      </c>
      <c r="BI92" s="52">
        <f t="shared" si="170"/>
        <v>3.2460598563401E-2</v>
      </c>
      <c r="BJ92" s="52">
        <f t="shared" si="170"/>
        <v>0.11229795410873744</v>
      </c>
      <c r="BK92" s="52">
        <f t="shared" si="170"/>
        <v>9.1413037955388354E-2</v>
      </c>
      <c r="BL92" s="52">
        <f t="shared" si="170"/>
        <v>4.3807989720718421E-2</v>
      </c>
      <c r="BM92" s="52">
        <f t="shared" si="170"/>
        <v>-1.1306314141590001E-2</v>
      </c>
      <c r="BN92" s="52">
        <f t="shared" si="170"/>
        <v>-0.14897868961908356</v>
      </c>
      <c r="BO92" s="52">
        <f t="shared" si="170"/>
        <v>0.12356679794965286</v>
      </c>
      <c r="BP92" s="52">
        <f t="shared" si="170"/>
        <v>6.4808786480595737E-2</v>
      </c>
      <c r="BQ92" s="52">
        <f t="shared" si="170"/>
        <v>5.2645337374113144E-2</v>
      </c>
      <c r="BR92" s="52">
        <f t="shared" si="170"/>
        <v>5.6481789368678426E-2</v>
      </c>
      <c r="BS92" s="52">
        <f t="shared" si="170"/>
        <v>6.9569721115537719E-2</v>
      </c>
      <c r="BT92" s="52">
        <f t="shared" si="170"/>
        <v>4.0039186179049668E-2</v>
      </c>
      <c r="BU92" s="52">
        <f t="shared" si="170"/>
        <v>3.8891734208179374E-2</v>
      </c>
      <c r="BV92" s="52">
        <f t="shared" si="170"/>
        <v>5.2218430034129737E-2</v>
      </c>
      <c r="BW92" s="52">
        <f t="shared" si="170"/>
        <v>1.6732357634076767E-2</v>
      </c>
      <c r="BX92" s="52">
        <f t="shared" si="170"/>
        <v>8.0325724081927063E-2</v>
      </c>
      <c r="BY92" s="52">
        <f t="shared" si="170"/>
        <v>0.13283480138761705</v>
      </c>
      <c r="BZ92" s="52">
        <f t="shared" si="170"/>
        <v>0.12892064963242267</v>
      </c>
      <c r="CA92" s="52">
        <f t="shared" si="170"/>
        <v>0.25948696897463774</v>
      </c>
      <c r="CB92" s="52">
        <f>CB91/CA91-1</f>
        <v>0.13888888888888884</v>
      </c>
      <c r="CC92" s="52">
        <f>CC91/CB91-1</f>
        <v>-0.19102920325203254</v>
      </c>
      <c r="CD92" s="52">
        <f>CD91/CC91-1</f>
        <v>7.7214360336281151E-2</v>
      </c>
      <c r="CE92" s="52">
        <f>CE91/CD91-1</f>
        <v>0.20910749021565223</v>
      </c>
      <c r="CF92" s="52">
        <v>0</v>
      </c>
      <c r="CG92" s="52">
        <v>0.1</v>
      </c>
      <c r="CH92" s="52">
        <v>0.05</v>
      </c>
      <c r="CI92" s="52">
        <v>7.0000000000000007E-2</v>
      </c>
      <c r="CJ92" s="52">
        <v>0.25</v>
      </c>
      <c r="CK92" s="52">
        <v>0.05</v>
      </c>
      <c r="CL92" s="52">
        <f>CL91/CK91-1</f>
        <v>-0.11805875312773406</v>
      </c>
      <c r="CM92" s="52">
        <f>CM91/CL91-1</f>
        <v>0.84573894282632156</v>
      </c>
      <c r="CN92" s="52">
        <v>0.56999999999999995</v>
      </c>
      <c r="CO92" s="52">
        <f t="shared" ref="CO92:CW92" si="171">CO91/CN91-1</f>
        <v>0.28000000000000003</v>
      </c>
      <c r="CP92" s="52">
        <f t="shared" si="171"/>
        <v>-4.8033623536475556E-2</v>
      </c>
      <c r="CQ92" s="52">
        <f t="shared" si="171"/>
        <v>0.15673289183222949</v>
      </c>
      <c r="CR92" s="52">
        <f t="shared" si="171"/>
        <v>-0.14749182115594328</v>
      </c>
      <c r="CS92" s="52">
        <f t="shared" si="171"/>
        <v>-3.293891909178126E-2</v>
      </c>
      <c r="CT92" s="52">
        <f t="shared" si="171"/>
        <v>0.63921957671957674</v>
      </c>
      <c r="CU92" s="52">
        <f t="shared" si="171"/>
        <v>0.46298164212225146</v>
      </c>
      <c r="CV92" s="52">
        <f t="shared" si="171"/>
        <v>0.12892995035852173</v>
      </c>
      <c r="CW92" s="52">
        <f t="shared" si="171"/>
        <v>0.3411506046170758</v>
      </c>
      <c r="CX92" s="52">
        <f>CX91/CW91-1</f>
        <v>0.34790528233151186</v>
      </c>
      <c r="CY92" s="53">
        <v>0.15</v>
      </c>
      <c r="CZ92" s="53">
        <v>0.2</v>
      </c>
      <c r="DA92" s="53">
        <v>0.14000000000000001</v>
      </c>
      <c r="DB92" s="53">
        <v>0.1</v>
      </c>
      <c r="DC92" s="53">
        <v>0.1</v>
      </c>
      <c r="DD92" s="53">
        <v>0.12</v>
      </c>
      <c r="DE92" s="53">
        <v>0.06</v>
      </c>
      <c r="DF92" s="53">
        <v>0.03</v>
      </c>
      <c r="DG92" s="53">
        <v>0.03</v>
      </c>
      <c r="DH92" s="53">
        <v>7.0000000000000007E-2</v>
      </c>
      <c r="DI92" s="53">
        <v>0.05</v>
      </c>
      <c r="DJ92" s="53">
        <v>0.01</v>
      </c>
      <c r="DK92" s="53">
        <v>0.01</v>
      </c>
      <c r="DL92" s="53">
        <v>0.03</v>
      </c>
      <c r="DM92" s="53">
        <v>0.02</v>
      </c>
      <c r="DN92" s="53">
        <v>0.02</v>
      </c>
      <c r="DO92" s="53">
        <v>0.03</v>
      </c>
      <c r="DP92" s="53">
        <v>0.06</v>
      </c>
      <c r="DQ92" s="53">
        <v>0.04</v>
      </c>
      <c r="DR92" s="53"/>
      <c r="DT92" s="54" t="s">
        <v>224</v>
      </c>
      <c r="DU92" s="54" t="s">
        <v>224</v>
      </c>
      <c r="DV92" s="54" t="s">
        <v>224</v>
      </c>
      <c r="DW92" s="54" t="s">
        <v>224</v>
      </c>
      <c r="DX92" s="54" t="s">
        <v>224</v>
      </c>
      <c r="DY92" s="54" t="s">
        <v>224</v>
      </c>
      <c r="DZ92" s="54" t="s">
        <v>224</v>
      </c>
      <c r="EA92" s="54" t="s">
        <v>224</v>
      </c>
      <c r="EB92" s="54" t="s">
        <v>224</v>
      </c>
      <c r="EC92" s="54" t="s">
        <v>224</v>
      </c>
      <c r="ED92" s="54" t="s">
        <v>224</v>
      </c>
      <c r="EE92" s="54" t="s">
        <v>224</v>
      </c>
      <c r="EF92" s="54" t="s">
        <v>224</v>
      </c>
      <c r="EG92" s="54" t="s">
        <v>224</v>
      </c>
      <c r="EH92" s="54" t="s">
        <v>224</v>
      </c>
      <c r="EI92" s="54" t="s">
        <v>224</v>
      </c>
      <c r="EJ92" s="54" t="s">
        <v>224</v>
      </c>
      <c r="EK92" s="54" t="s">
        <v>224</v>
      </c>
      <c r="EL92" s="54" t="s">
        <v>224</v>
      </c>
      <c r="EM92" s="54" t="s">
        <v>224</v>
      </c>
      <c r="EN92" s="54" t="s">
        <v>224</v>
      </c>
      <c r="EO92" s="54" t="s">
        <v>224</v>
      </c>
      <c r="EP92" s="54" t="s">
        <v>224</v>
      </c>
      <c r="EQ92" s="54" t="s">
        <v>224</v>
      </c>
      <c r="ER92" s="54" t="s">
        <v>224</v>
      </c>
      <c r="ES92" s="55" t="s">
        <v>224</v>
      </c>
      <c r="ET92" s="55" t="s">
        <v>224</v>
      </c>
      <c r="EU92" s="55" t="s">
        <v>224</v>
      </c>
      <c r="EV92" s="55" t="s">
        <v>224</v>
      </c>
      <c r="EW92" s="55" t="s">
        <v>224</v>
      </c>
      <c r="EY92" s="50"/>
    </row>
    <row r="93" spans="1:155" s="52" customFormat="1">
      <c r="A93" s="58" t="s">
        <v>225</v>
      </c>
      <c r="BF93" s="62">
        <f t="shared" ref="BF93:DQ93" si="172">BF91/BB91-1</f>
        <v>0.48599361734461288</v>
      </c>
      <c r="BG93" s="62">
        <f t="shared" si="172"/>
        <v>0.59053951293700147</v>
      </c>
      <c r="BH93" s="62">
        <f t="shared" si="172"/>
        <v>0.41976505285482335</v>
      </c>
      <c r="BI93" s="62">
        <f t="shared" si="172"/>
        <v>0.25386207092037738</v>
      </c>
      <c r="BJ93" s="62">
        <f t="shared" si="172"/>
        <v>0.34181012442474845</v>
      </c>
      <c r="BK93" s="62">
        <f t="shared" si="172"/>
        <v>0.31660210361144481</v>
      </c>
      <c r="BL93" s="62">
        <f t="shared" si="172"/>
        <v>0.30829107756583429</v>
      </c>
      <c r="BM93" s="62">
        <f t="shared" si="172"/>
        <v>0.25283146829433711</v>
      </c>
      <c r="BN93" s="62">
        <f t="shared" si="172"/>
        <v>-4.1456226817742969E-2</v>
      </c>
      <c r="BO93" s="62">
        <f t="shared" si="172"/>
        <v>-1.321688446515612E-2</v>
      </c>
      <c r="BP93" s="62">
        <f t="shared" si="172"/>
        <v>6.636605697311948E-3</v>
      </c>
      <c r="BQ93" s="62">
        <f t="shared" si="172"/>
        <v>7.1748858694671513E-2</v>
      </c>
      <c r="BR93" s="62">
        <f t="shared" si="172"/>
        <v>0.33049917572660625</v>
      </c>
      <c r="BS93" s="62">
        <f t="shared" si="172"/>
        <v>0.2665572130853644</v>
      </c>
      <c r="BT93" s="62">
        <f t="shared" si="172"/>
        <v>0.23709453741487563</v>
      </c>
      <c r="BU93" s="62">
        <f t="shared" si="172"/>
        <v>0.22093096670188284</v>
      </c>
      <c r="BV93" s="62">
        <f t="shared" si="172"/>
        <v>0.21600398406374488</v>
      </c>
      <c r="BW93" s="62">
        <f t="shared" si="172"/>
        <v>0.15593268321028675</v>
      </c>
      <c r="BX93" s="62">
        <f t="shared" si="172"/>
        <v>0.20070842481134332</v>
      </c>
      <c r="BY93" s="62">
        <f t="shared" si="172"/>
        <v>0.30928396593925611</v>
      </c>
      <c r="BZ93" s="62">
        <f t="shared" si="172"/>
        <v>0.4047251627530577</v>
      </c>
      <c r="CA93" s="62">
        <f t="shared" si="172"/>
        <v>0.74011678117064728</v>
      </c>
      <c r="CB93" s="62">
        <f t="shared" si="172"/>
        <v>0.83444642968999361</v>
      </c>
      <c r="CC93" s="62">
        <f t="shared" si="172"/>
        <v>0.31000000000000005</v>
      </c>
      <c r="CD93" s="62">
        <f t="shared" si="172"/>
        <v>0.25</v>
      </c>
      <c r="CE93" s="62">
        <f t="shared" si="172"/>
        <v>0.19999999999999996</v>
      </c>
      <c r="CF93" s="62">
        <f t="shared" si="172"/>
        <v>5.3658536585365901E-2</v>
      </c>
      <c r="CG93" s="62">
        <f t="shared" si="172"/>
        <v>0.43271474681550615</v>
      </c>
      <c r="CH93" s="62">
        <f t="shared" si="172"/>
        <v>0.39651915119907843</v>
      </c>
      <c r="CI93" s="62">
        <f t="shared" si="172"/>
        <v>0.23585000000000012</v>
      </c>
      <c r="CJ93" s="62">
        <f t="shared" si="172"/>
        <v>0.54481250000000014</v>
      </c>
      <c r="CK93" s="62">
        <f t="shared" si="172"/>
        <v>0.47459374999999993</v>
      </c>
      <c r="CL93" s="62">
        <f t="shared" si="172"/>
        <v>0.23857623857623844</v>
      </c>
      <c r="CM93" s="62">
        <f t="shared" si="172"/>
        <v>1.136531212335989</v>
      </c>
      <c r="CN93" s="62">
        <f t="shared" si="172"/>
        <v>1.5996440196855564</v>
      </c>
      <c r="CO93" s="62">
        <f t="shared" si="172"/>
        <v>2.169089852569059</v>
      </c>
      <c r="CP93" s="62">
        <f t="shared" si="172"/>
        <v>2.4207119741100325</v>
      </c>
      <c r="CQ93" s="62">
        <f t="shared" si="172"/>
        <v>1.1437755698421976</v>
      </c>
      <c r="CR93" s="62">
        <f t="shared" si="172"/>
        <v>0.20160912638847184</v>
      </c>
      <c r="CS93" s="62">
        <f t="shared" si="172"/>
        <v>-9.2164515160612415E-2</v>
      </c>
      <c r="CT93" s="62">
        <f t="shared" si="172"/>
        <v>0.56322926521602024</v>
      </c>
      <c r="CU93" s="62">
        <f t="shared" si="172"/>
        <v>0.97709923664122145</v>
      </c>
      <c r="CV93" s="62">
        <f t="shared" si="172"/>
        <v>1.618164374800128</v>
      </c>
      <c r="CW93" s="62">
        <f t="shared" si="172"/>
        <v>2.6309523809523809</v>
      </c>
      <c r="CX93" s="62">
        <f t="shared" si="172"/>
        <v>1.9856768206576558</v>
      </c>
      <c r="CY93" s="63">
        <f t="shared" si="172"/>
        <v>1.3469387755102042</v>
      </c>
      <c r="CZ93" s="63">
        <f t="shared" si="172"/>
        <v>1.4946866984243314</v>
      </c>
      <c r="DA93" s="63">
        <f t="shared" si="172"/>
        <v>1.1205245901639347</v>
      </c>
      <c r="DB93" s="63">
        <f t="shared" si="172"/>
        <v>0.7305200000000005</v>
      </c>
      <c r="DC93" s="63">
        <f t="shared" si="172"/>
        <v>0.65528000000000075</v>
      </c>
      <c r="DD93" s="63">
        <f t="shared" si="172"/>
        <v>0.54492800000000075</v>
      </c>
      <c r="DE93" s="63">
        <f t="shared" si="172"/>
        <v>0.43651200000000046</v>
      </c>
      <c r="DF93" s="63">
        <f t="shared" si="172"/>
        <v>0.34509760000000056</v>
      </c>
      <c r="DG93" s="63">
        <f t="shared" si="172"/>
        <v>0.25950048000000026</v>
      </c>
      <c r="DH93" s="63">
        <f t="shared" si="172"/>
        <v>0.20327278000000026</v>
      </c>
      <c r="DI93" s="63">
        <f t="shared" si="172"/>
        <v>0.19192115000000021</v>
      </c>
      <c r="DJ93" s="63">
        <f t="shared" si="172"/>
        <v>0.1687770500000001</v>
      </c>
      <c r="DK93" s="63">
        <f t="shared" si="172"/>
        <v>0.14608235000000014</v>
      </c>
      <c r="DL93" s="63">
        <f t="shared" si="172"/>
        <v>0.10323815000000014</v>
      </c>
      <c r="DM93" s="63">
        <f t="shared" si="172"/>
        <v>7.171706000000011E-2</v>
      </c>
      <c r="DN93" s="63">
        <f t="shared" si="172"/>
        <v>8.2328120000000116E-2</v>
      </c>
      <c r="DO93" s="63">
        <f t="shared" si="172"/>
        <v>0.10376036000000011</v>
      </c>
      <c r="DP93" s="63">
        <f t="shared" si="172"/>
        <v>0.1359087200000002</v>
      </c>
      <c r="DQ93" s="63">
        <f t="shared" si="172"/>
        <v>0.15818144000000012</v>
      </c>
      <c r="EC93" s="79"/>
      <c r="ED93" s="79"/>
      <c r="EE93" s="91"/>
      <c r="EF93" s="91">
        <f t="shared" ref="EF93:ET93" si="173">EF91/EE91-1</f>
        <v>0.76785714285714279</v>
      </c>
      <c r="EG93" s="52">
        <f t="shared" si="173"/>
        <v>3.67780808080808</v>
      </c>
      <c r="EH93" s="52">
        <f t="shared" si="173"/>
        <v>0.42115252978279138</v>
      </c>
      <c r="EI93" s="52">
        <f t="shared" si="173"/>
        <v>0.30291123469170711</v>
      </c>
      <c r="EJ93" s="52">
        <f t="shared" si="173"/>
        <v>7.4577433416753713E-3</v>
      </c>
      <c r="EK93" s="52">
        <f t="shared" si="173"/>
        <v>0.26027528872209849</v>
      </c>
      <c r="EL93" s="52">
        <f t="shared" si="173"/>
        <v>0.22212129033206196</v>
      </c>
      <c r="EM93" s="52">
        <f t="shared" si="173"/>
        <v>0.56418200839335775</v>
      </c>
      <c r="EN93" s="52">
        <f t="shared" si="173"/>
        <v>0.22268663359341634</v>
      </c>
      <c r="EO93" s="52">
        <f t="shared" si="173"/>
        <v>0.41523705340345218</v>
      </c>
      <c r="EP93" s="52">
        <f t="shared" si="173"/>
        <v>1.380003444355236</v>
      </c>
      <c r="EQ93" s="52">
        <f t="shared" si="173"/>
        <v>0.51551499728382733</v>
      </c>
      <c r="ER93" s="52">
        <f t="shared" si="173"/>
        <v>1.4153964588144725</v>
      </c>
      <c r="ES93" s="65">
        <f t="shared" si="173"/>
        <v>1.4071698113207547</v>
      </c>
      <c r="ET93" s="65">
        <f t="shared" si="173"/>
        <v>0.57274128358676957</v>
      </c>
      <c r="EU93" s="65">
        <f>EU91/ET91-1</f>
        <v>0.24399167324317839</v>
      </c>
      <c r="EV93" s="65">
        <f>EV91/EU91-1</f>
        <v>0.12030200138071323</v>
      </c>
      <c r="EW93" s="65">
        <f>EW91/EV91-1</f>
        <v>0.12072736190214273</v>
      </c>
    </row>
    <row r="94" spans="1:155" s="52" customFormat="1">
      <c r="A94" s="58" t="s">
        <v>258</v>
      </c>
      <c r="BB94" s="52" t="e">
        <f t="shared" ref="BB94:BZ94" si="174">BB91/BB$119</f>
        <v>#REF!</v>
      </c>
      <c r="BC94" s="52" t="e">
        <f t="shared" si="174"/>
        <v>#REF!</v>
      </c>
      <c r="BD94" s="52" t="e">
        <f t="shared" si="174"/>
        <v>#REF!</v>
      </c>
      <c r="BE94" s="52" t="e">
        <f t="shared" si="174"/>
        <v>#REF!</v>
      </c>
      <c r="BF94" s="52" t="e">
        <f t="shared" si="174"/>
        <v>#REF!</v>
      </c>
      <c r="BG94" s="52" t="e">
        <f t="shared" si="174"/>
        <v>#REF!</v>
      </c>
      <c r="BH94" s="52" t="e">
        <f t="shared" si="174"/>
        <v>#REF!</v>
      </c>
      <c r="BI94" s="52" t="e">
        <f t="shared" si="174"/>
        <v>#REF!</v>
      </c>
      <c r="BJ94" s="52" t="e">
        <f t="shared" si="174"/>
        <v>#REF!</v>
      </c>
      <c r="BK94" s="52" t="e">
        <f t="shared" si="174"/>
        <v>#REF!</v>
      </c>
      <c r="BL94" s="52" t="e">
        <f t="shared" si="174"/>
        <v>#REF!</v>
      </c>
      <c r="BM94" s="52" t="e">
        <f t="shared" si="174"/>
        <v>#REF!</v>
      </c>
      <c r="BN94" s="52" t="e">
        <f t="shared" si="174"/>
        <v>#REF!</v>
      </c>
      <c r="BO94" s="52">
        <f t="shared" si="174"/>
        <v>9.5050224215246629E-2</v>
      </c>
      <c r="BP94" s="52">
        <f t="shared" si="174"/>
        <v>8.5621775417298943E-2</v>
      </c>
      <c r="BQ94" s="52">
        <f t="shared" si="174"/>
        <v>8.1614908965991065E-2</v>
      </c>
      <c r="BR94" s="52">
        <f t="shared" si="174"/>
        <v>7.8266292485188654E-2</v>
      </c>
      <c r="BS94" s="52">
        <f t="shared" si="174"/>
        <v>8.5962856227985912E-2</v>
      </c>
      <c r="BT94" s="52">
        <f t="shared" si="174"/>
        <v>8.7774599182646976E-2</v>
      </c>
      <c r="BU94" s="52">
        <f t="shared" si="174"/>
        <v>0.13155102040816327</v>
      </c>
      <c r="BV94" s="52">
        <f t="shared" si="174"/>
        <v>0.13748513513513513</v>
      </c>
      <c r="BW94" s="52">
        <f t="shared" si="174"/>
        <v>0.12032725862737495</v>
      </c>
      <c r="BX94" s="52">
        <f t="shared" si="174"/>
        <v>0.11123125414731254</v>
      </c>
      <c r="BY94" s="52">
        <f t="shared" si="174"/>
        <v>0.12231368760064412</v>
      </c>
      <c r="BZ94" s="52">
        <f t="shared" si="174"/>
        <v>0.13920324675324675</v>
      </c>
      <c r="CA94" s="52">
        <f>CA91/CA5</f>
        <v>0.13967925504397311</v>
      </c>
      <c r="CB94" s="52">
        <f t="shared" ref="CB94:CS94" si="175">CB91/CB$119</f>
        <v>0.130131189166314</v>
      </c>
      <c r="CC94" s="52">
        <f t="shared" si="175"/>
        <v>9.9443741754947038E-2</v>
      </c>
      <c r="CD94" s="52">
        <f t="shared" si="175"/>
        <v>9.4670994523935695E-2</v>
      </c>
      <c r="CE94" s="52">
        <f t="shared" si="175"/>
        <v>9.9585062240663894E-2</v>
      </c>
      <c r="CF94" s="52">
        <f t="shared" si="175"/>
        <v>9.1229058144446012E-2</v>
      </c>
      <c r="CG94" s="52">
        <f t="shared" si="175"/>
        <v>9.3261808190501116E-2</v>
      </c>
      <c r="CH94" s="52">
        <f t="shared" si="175"/>
        <v>9.0304054054054061E-2</v>
      </c>
      <c r="CI94" s="52">
        <f t="shared" si="175"/>
        <v>0.11945566825775657</v>
      </c>
      <c r="CJ94" s="52">
        <f t="shared" si="175"/>
        <v>0.16878072837632779</v>
      </c>
      <c r="CK94" s="52">
        <f t="shared" si="175"/>
        <v>0.17370524293505207</v>
      </c>
      <c r="CL94" s="52">
        <f t="shared" si="175"/>
        <v>0.12889321468298109</v>
      </c>
      <c r="CM94" s="52">
        <f t="shared" si="175"/>
        <v>0.12667505737765603</v>
      </c>
      <c r="CN94" s="52">
        <f t="shared" si="175"/>
        <v>0.14361720474613687</v>
      </c>
      <c r="CO94" s="52">
        <f t="shared" si="175"/>
        <v>0.15070352440845133</v>
      </c>
      <c r="CP94" s="52">
        <f t="shared" si="175"/>
        <v>0.12175549070803256</v>
      </c>
      <c r="CQ94" s="52">
        <f t="shared" si="175"/>
        <v>0.12210386151797603</v>
      </c>
      <c r="CR94" s="52">
        <f t="shared" si="175"/>
        <v>8.9134028846702018E-2</v>
      </c>
      <c r="CS94" s="52">
        <f t="shared" si="175"/>
        <v>7.6885916961175665E-2</v>
      </c>
      <c r="CT94" s="52">
        <f>CT91/CT$119</f>
        <v>0.1125005673823249</v>
      </c>
      <c r="CU94" s="52">
        <f t="shared" ref="CU94:DQ94" si="176">CU91/CU$119</f>
        <v>0.15514622510322401</v>
      </c>
      <c r="CV94" s="52">
        <f>CV91/CV$119</f>
        <v>0.14361646142511314</v>
      </c>
      <c r="CW94" s="52">
        <f>CW91/CW$119</f>
        <v>0.16116958034259546</v>
      </c>
      <c r="CX94" s="52">
        <f t="shared" si="176"/>
        <v>0.18133921460515837</v>
      </c>
      <c r="CY94" s="53">
        <f t="shared" si="176"/>
        <v>0.18291301127139872</v>
      </c>
      <c r="CZ94" s="53">
        <f t="shared" si="176"/>
        <v>0.18456968687806494</v>
      </c>
      <c r="DA94" s="53">
        <f t="shared" si="176"/>
        <v>0.18547754541081204</v>
      </c>
      <c r="DB94" s="53">
        <f t="shared" si="176"/>
        <v>0.18687615186670126</v>
      </c>
      <c r="DC94" s="53">
        <f t="shared" si="176"/>
        <v>0.18724655150352368</v>
      </c>
      <c r="DD94" s="53">
        <f t="shared" si="176"/>
        <v>0.18760339966575987</v>
      </c>
      <c r="DE94" s="53">
        <f t="shared" si="176"/>
        <v>0.18642021442360912</v>
      </c>
      <c r="DF94" s="53">
        <f t="shared" si="176"/>
        <v>0.18716014800256706</v>
      </c>
      <c r="DG94" s="53">
        <f t="shared" si="176"/>
        <v>0.18700893284652706</v>
      </c>
      <c r="DH94" s="53">
        <f t="shared" si="176"/>
        <v>0.18699792220180128</v>
      </c>
      <c r="DI94" s="53">
        <f t="shared" si="176"/>
        <v>0.18701178844303559</v>
      </c>
      <c r="DJ94" s="53">
        <f t="shared" si="176"/>
        <v>0.18754453024109763</v>
      </c>
      <c r="DK94" s="53">
        <f t="shared" si="176"/>
        <v>0.1872727435143573</v>
      </c>
      <c r="DL94" s="53">
        <f t="shared" si="176"/>
        <v>0.18699051503266331</v>
      </c>
      <c r="DM94" s="53">
        <f t="shared" si="176"/>
        <v>0.18677040066926409</v>
      </c>
      <c r="DN94" s="53">
        <f t="shared" si="176"/>
        <v>0.1873732719547849</v>
      </c>
      <c r="DO94" s="53">
        <f t="shared" si="176"/>
        <v>0.18724606279985309</v>
      </c>
      <c r="DP94" s="53">
        <f t="shared" si="176"/>
        <v>0.1871892464705707</v>
      </c>
      <c r="DQ94" s="53">
        <f t="shared" si="176"/>
        <v>0.18712334346982804</v>
      </c>
      <c r="EC94" s="79"/>
      <c r="ED94" s="79"/>
      <c r="EE94" s="91">
        <f t="shared" ref="EE94:EW94" si="177">EE91/EE$119</f>
        <v>1.3084112149532711E-2</v>
      </c>
      <c r="EF94" s="91">
        <f t="shared" si="177"/>
        <v>2.3970944309927359E-2</v>
      </c>
      <c r="EG94" s="52" t="e">
        <f t="shared" si="177"/>
        <v>#REF!</v>
      </c>
      <c r="EH94" s="52" t="e">
        <f t="shared" si="177"/>
        <v>#REF!</v>
      </c>
      <c r="EI94" s="52" t="e">
        <f t="shared" si="177"/>
        <v>#REF!</v>
      </c>
      <c r="EJ94" s="52" t="e">
        <f t="shared" si="177"/>
        <v>#REF!</v>
      </c>
      <c r="EK94" s="52">
        <f t="shared" si="177"/>
        <v>9.2927876408330487E-2</v>
      </c>
      <c r="EL94" s="52">
        <f t="shared" si="177"/>
        <v>0.12186993954936802</v>
      </c>
      <c r="EM94" s="52">
        <f t="shared" si="177"/>
        <v>0.1385432119005712</v>
      </c>
      <c r="EN94" s="52">
        <f t="shared" si="177"/>
        <v>9.4550512744296655E-2</v>
      </c>
      <c r="EO94" s="52">
        <f t="shared" si="177"/>
        <v>0.13351374379031661</v>
      </c>
      <c r="EP94" s="52">
        <f t="shared" si="177"/>
        <v>0.14069373543219199</v>
      </c>
      <c r="EQ94" s="52">
        <f t="shared" si="177"/>
        <v>9.9542518218809634E-2</v>
      </c>
      <c r="ER94" s="52">
        <f t="shared" si="177"/>
        <v>0.1453009660180237</v>
      </c>
      <c r="ES94" s="53">
        <f t="shared" si="177"/>
        <v>0.18383014714318288</v>
      </c>
      <c r="ET94" s="53">
        <f t="shared" si="177"/>
        <v>0.1870276907181431</v>
      </c>
      <c r="EU94" s="53">
        <f t="shared" si="177"/>
        <v>0.18704210538417576</v>
      </c>
      <c r="EV94" s="53">
        <f t="shared" si="177"/>
        <v>0.18713733426001247</v>
      </c>
      <c r="EW94" s="53">
        <f t="shared" si="177"/>
        <v>0.18722859693994182</v>
      </c>
    </row>
    <row r="95" spans="1:155" s="49" customFormat="1">
      <c r="A95" s="76" t="s">
        <v>264</v>
      </c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6"/>
      <c r="AY95" s="76"/>
      <c r="AZ95" s="76"/>
      <c r="BA95" s="76"/>
      <c r="BB95" s="76">
        <v>35</v>
      </c>
      <c r="BC95" s="76">
        <v>40</v>
      </c>
      <c r="BD95" s="76">
        <v>52</v>
      </c>
      <c r="BE95" s="76">
        <v>56</v>
      </c>
      <c r="BF95" s="76">
        <v>77</v>
      </c>
      <c r="BG95" s="76">
        <v>71</v>
      </c>
      <c r="BH95" s="76">
        <v>79</v>
      </c>
      <c r="BI95" s="76">
        <v>93</v>
      </c>
      <c r="BJ95" s="76">
        <v>113</v>
      </c>
      <c r="BK95" s="76">
        <v>119</v>
      </c>
      <c r="BL95" s="76">
        <v>127</v>
      </c>
      <c r="BM95" s="76">
        <v>128</v>
      </c>
      <c r="BN95" s="76">
        <v>140</v>
      </c>
      <c r="BO95" s="76">
        <v>142</v>
      </c>
      <c r="BP95" s="76">
        <v>144</v>
      </c>
      <c r="BQ95" s="76">
        <v>132</v>
      </c>
      <c r="BR95" s="76">
        <v>145</v>
      </c>
      <c r="BS95" s="76">
        <v>161</v>
      </c>
      <c r="BT95" s="76">
        <v>172</v>
      </c>
      <c r="BU95" s="76">
        <v>163</v>
      </c>
      <c r="BV95" s="76">
        <v>166</v>
      </c>
      <c r="BW95" s="76">
        <v>209</v>
      </c>
      <c r="BX95" s="76">
        <v>162</v>
      </c>
      <c r="BY95" s="76">
        <v>163</v>
      </c>
      <c r="BZ95" s="76">
        <v>155</v>
      </c>
      <c r="CA95" s="76">
        <v>111</v>
      </c>
      <c r="CB95" s="76">
        <v>125</v>
      </c>
      <c r="CC95" s="76">
        <v>145</v>
      </c>
      <c r="CD95" s="76">
        <v>154</v>
      </c>
      <c r="CE95" s="76">
        <v>152</v>
      </c>
      <c r="CF95" s="76">
        <v>135</v>
      </c>
      <c r="CG95" s="76">
        <v>125</v>
      </c>
      <c r="CH95" s="76">
        <v>138</v>
      </c>
      <c r="CI95" s="76">
        <v>220</v>
      </c>
      <c r="CJ95" s="76">
        <v>251</v>
      </c>
      <c r="CK95" s="76">
        <v>294</v>
      </c>
      <c r="CL95" s="76">
        <v>296</v>
      </c>
      <c r="CM95" s="76">
        <v>253</v>
      </c>
      <c r="CN95" s="76">
        <v>261</v>
      </c>
      <c r="CO95" s="76">
        <v>281</v>
      </c>
      <c r="CP95" s="76">
        <v>329</v>
      </c>
      <c r="CQ95" s="76">
        <v>346</v>
      </c>
      <c r="CR95" s="76">
        <v>449</v>
      </c>
      <c r="CS95" s="76">
        <v>570</v>
      </c>
      <c r="CT95" s="76">
        <v>567</v>
      </c>
      <c r="CU95" s="76">
        <v>586</v>
      </c>
      <c r="CV95" s="76">
        <v>592</v>
      </c>
      <c r="CW95" s="76">
        <v>604</v>
      </c>
      <c r="CX95" s="76">
        <f>CW95*(1+CX96)</f>
        <v>706.68</v>
      </c>
      <c r="CY95" s="78">
        <f>Automotive!AY17</f>
        <v>759.90048313706143</v>
      </c>
      <c r="CZ95" s="78">
        <f>Automotive!AZ17</f>
        <v>841.93603042400014</v>
      </c>
      <c r="DA95" s="78">
        <f>Automotive!BA17</f>
        <v>924.72430816703832</v>
      </c>
      <c r="DB95" s="78">
        <f>Automotive!BB17</f>
        <v>1061.3671262020318</v>
      </c>
      <c r="DC95" s="78">
        <f>Automotive!BC17</f>
        <v>1176.5589574830865</v>
      </c>
      <c r="DD95" s="78">
        <f>Automotive!BD17</f>
        <v>1304.5766322133161</v>
      </c>
      <c r="DE95" s="78">
        <f>Automotive!BE17</f>
        <v>1369.0646837726465</v>
      </c>
      <c r="DF95" s="78">
        <f>Automotive!BF17</f>
        <v>1436.79195351097</v>
      </c>
      <c r="DG95" s="78">
        <f>Automotive!BG17</f>
        <v>1507.9201060252158</v>
      </c>
      <c r="DH95" s="78">
        <f>Automotive!BH17</f>
        <v>1582.6188950683998</v>
      </c>
      <c r="DI95" s="78">
        <f>Automotive!BI17</f>
        <v>1661.0665678889047</v>
      </c>
      <c r="DJ95" s="78">
        <f>Automotive!BJ17</f>
        <v>1743.4502897890932</v>
      </c>
      <c r="DK95" s="78">
        <f>Automotive!BK17</f>
        <v>1829.9665899141762</v>
      </c>
      <c r="DL95" s="78">
        <f>Automotive!BL17</f>
        <v>1920.8218293328009</v>
      </c>
      <c r="DM95" s="78">
        <f>Automotive!BM17</f>
        <v>2016.2326925238983</v>
      </c>
      <c r="DN95" s="78">
        <f>Automotive!BN17</f>
        <v>2116.4267034400618</v>
      </c>
      <c r="DO95" s="78">
        <f>Automotive!BO17</f>
        <v>2221.6427673762337</v>
      </c>
      <c r="DP95" s="78">
        <f>Automotive!BP17</f>
        <v>2332.1317399339314</v>
      </c>
      <c r="DQ95" s="78">
        <f>Automotive!BQ17</f>
        <v>2448.1570244357358</v>
      </c>
      <c r="DT95" s="77"/>
      <c r="DU95" s="77"/>
      <c r="DV95" s="77"/>
      <c r="DW95" s="77"/>
      <c r="DX95" s="77"/>
      <c r="DY95" s="77"/>
      <c r="DZ95" s="77"/>
      <c r="EA95" s="77"/>
      <c r="EB95" s="77"/>
      <c r="EC95" s="76"/>
      <c r="ED95" s="76"/>
      <c r="EE95" s="76">
        <v>56</v>
      </c>
      <c r="EF95" s="76">
        <v>99</v>
      </c>
      <c r="EG95" s="76">
        <f>SUM(BB95:BE95)</f>
        <v>183</v>
      </c>
      <c r="EH95" s="76">
        <f>SUM(BF95:BI95)</f>
        <v>320</v>
      </c>
      <c r="EI95" s="76">
        <f>SUM(BJ95:BM95)</f>
        <v>487</v>
      </c>
      <c r="EJ95" s="76">
        <f>SUM(BN95:BQ95)</f>
        <v>558</v>
      </c>
      <c r="EK95" s="76">
        <f>SUM(BR95:BU95)</f>
        <v>641</v>
      </c>
      <c r="EL95" s="76">
        <f>BV95+BW95+BX95+BY95</f>
        <v>700</v>
      </c>
      <c r="EM95" s="76">
        <f>SUM(BZ95:CC95)</f>
        <v>536</v>
      </c>
      <c r="EN95" s="76">
        <f>+CD95+CE95+CF95+CG95</f>
        <v>566</v>
      </c>
      <c r="EO95" s="76">
        <f>SUM(CH95:CK95)</f>
        <v>903</v>
      </c>
      <c r="EP95" s="76">
        <f>SUM(CL95:CO95)</f>
        <v>1091</v>
      </c>
      <c r="EQ95" s="76">
        <f>SUM(CP95:CS95)</f>
        <v>1694</v>
      </c>
      <c r="ER95" s="76">
        <f>SUM(CT95:CW95)</f>
        <v>2349</v>
      </c>
      <c r="ES95" s="78">
        <f>SUM(CX95:DA95)</f>
        <v>3233.2408217280999</v>
      </c>
      <c r="ET95" s="78">
        <f>SUM(DB95:DE95)</f>
        <v>4911.5673996710802</v>
      </c>
      <c r="EU95" s="78">
        <f>SUM(DF95:DI95)</f>
        <v>6188.3975224934902</v>
      </c>
      <c r="EV95" s="78">
        <f>SUM(DJ95:DM95)</f>
        <v>7510.4714015599684</v>
      </c>
      <c r="EW95" s="78">
        <f>SUM(DN95:DQ95)</f>
        <v>9118.3582351859623</v>
      </c>
      <c r="EX95" s="35"/>
      <c r="EY95" s="27"/>
    </row>
    <row r="96" spans="1:155" s="52" customFormat="1">
      <c r="A96" s="51" t="s">
        <v>223</v>
      </c>
      <c r="BC96" s="52">
        <f t="shared" ref="BC96:CW96" si="178">BC95/BB95-1</f>
        <v>0.14285714285714279</v>
      </c>
      <c r="BD96" s="52">
        <f t="shared" si="178"/>
        <v>0.30000000000000004</v>
      </c>
      <c r="BE96" s="52">
        <f t="shared" si="178"/>
        <v>7.6923076923076872E-2</v>
      </c>
      <c r="BF96" s="52">
        <f t="shared" si="178"/>
        <v>0.375</v>
      </c>
      <c r="BG96" s="52">
        <f t="shared" si="178"/>
        <v>-7.7922077922077948E-2</v>
      </c>
      <c r="BH96" s="52">
        <f t="shared" si="178"/>
        <v>0.11267605633802824</v>
      </c>
      <c r="BI96" s="52">
        <f t="shared" si="178"/>
        <v>0.17721518987341778</v>
      </c>
      <c r="BJ96" s="52">
        <f t="shared" si="178"/>
        <v>0.21505376344086025</v>
      </c>
      <c r="BK96" s="52">
        <f t="shared" si="178"/>
        <v>5.3097345132743445E-2</v>
      </c>
      <c r="BL96" s="52">
        <f t="shared" si="178"/>
        <v>6.7226890756302504E-2</v>
      </c>
      <c r="BM96" s="52">
        <f t="shared" si="178"/>
        <v>7.8740157480314821E-3</v>
      </c>
      <c r="BN96" s="52">
        <f t="shared" si="178"/>
        <v>9.375E-2</v>
      </c>
      <c r="BO96" s="52">
        <f t="shared" si="178"/>
        <v>1.4285714285714235E-2</v>
      </c>
      <c r="BP96" s="52">
        <f t="shared" si="178"/>
        <v>1.4084507042253502E-2</v>
      </c>
      <c r="BQ96" s="52">
        <f t="shared" si="178"/>
        <v>-8.333333333333337E-2</v>
      </c>
      <c r="BR96" s="52">
        <f t="shared" si="178"/>
        <v>9.8484848484848397E-2</v>
      </c>
      <c r="BS96" s="52">
        <f t="shared" si="178"/>
        <v>0.1103448275862069</v>
      </c>
      <c r="BT96" s="52">
        <f t="shared" si="178"/>
        <v>6.8322981366459645E-2</v>
      </c>
      <c r="BU96" s="52">
        <f t="shared" si="178"/>
        <v>-5.2325581395348819E-2</v>
      </c>
      <c r="BV96" s="52">
        <f t="shared" si="178"/>
        <v>1.8404907975460016E-2</v>
      </c>
      <c r="BW96" s="52">
        <f t="shared" si="178"/>
        <v>0.25903614457831314</v>
      </c>
      <c r="BX96" s="52">
        <f t="shared" si="178"/>
        <v>-0.22488038277511957</v>
      </c>
      <c r="BY96" s="52">
        <f t="shared" si="178"/>
        <v>6.1728395061728669E-3</v>
      </c>
      <c r="BZ96" s="52">
        <f t="shared" si="178"/>
        <v>-4.9079754601227044E-2</v>
      </c>
      <c r="CA96" s="52">
        <f t="shared" si="178"/>
        <v>-0.28387096774193543</v>
      </c>
      <c r="CB96" s="52">
        <f t="shared" si="178"/>
        <v>0.12612612612612617</v>
      </c>
      <c r="CC96" s="52">
        <f t="shared" si="178"/>
        <v>0.15999999999999992</v>
      </c>
      <c r="CD96" s="52">
        <f t="shared" si="178"/>
        <v>6.2068965517241281E-2</v>
      </c>
      <c r="CE96" s="52">
        <f t="shared" si="178"/>
        <v>-1.2987012987012991E-2</v>
      </c>
      <c r="CF96" s="52">
        <f t="shared" si="178"/>
        <v>-0.11184210526315785</v>
      </c>
      <c r="CG96" s="52">
        <f t="shared" si="178"/>
        <v>-7.407407407407407E-2</v>
      </c>
      <c r="CH96" s="52">
        <f t="shared" si="178"/>
        <v>0.10400000000000009</v>
      </c>
      <c r="CI96" s="52">
        <f t="shared" si="178"/>
        <v>0.59420289855072461</v>
      </c>
      <c r="CJ96" s="52">
        <f t="shared" si="178"/>
        <v>0.14090909090909087</v>
      </c>
      <c r="CK96" s="52">
        <f t="shared" si="178"/>
        <v>0.17131474103585664</v>
      </c>
      <c r="CL96" s="52">
        <f t="shared" si="178"/>
        <v>6.8027210884353817E-3</v>
      </c>
      <c r="CM96" s="52">
        <f t="shared" si="178"/>
        <v>-0.14527027027027029</v>
      </c>
      <c r="CN96" s="52">
        <f t="shared" si="178"/>
        <v>3.1620553359683834E-2</v>
      </c>
      <c r="CO96" s="52">
        <f t="shared" si="178"/>
        <v>7.6628352490421436E-2</v>
      </c>
      <c r="CP96" s="52">
        <f t="shared" si="178"/>
        <v>0.17081850533807819</v>
      </c>
      <c r="CQ96" s="52">
        <f t="shared" si="178"/>
        <v>5.1671732522796443E-2</v>
      </c>
      <c r="CR96" s="52">
        <f t="shared" si="178"/>
        <v>0.29768786127167624</v>
      </c>
      <c r="CS96" s="52">
        <f t="shared" si="178"/>
        <v>0.26948775055679297</v>
      </c>
      <c r="CT96" s="52">
        <f t="shared" si="178"/>
        <v>-5.2631578947368585E-3</v>
      </c>
      <c r="CU96" s="52">
        <f t="shared" si="178"/>
        <v>3.3509700176366897E-2</v>
      </c>
      <c r="CV96" s="52">
        <f t="shared" si="178"/>
        <v>1.0238907849829282E-2</v>
      </c>
      <c r="CW96" s="52">
        <f t="shared" si="178"/>
        <v>2.0270270270270174E-2</v>
      </c>
      <c r="CX96" s="52">
        <v>0.17</v>
      </c>
      <c r="CY96" s="53">
        <f t="shared" ref="CY96:DQ96" si="179">CY95/CX95-1</f>
        <v>7.5310583484832661E-2</v>
      </c>
      <c r="CZ96" s="53">
        <f t="shared" si="179"/>
        <v>0.10795564565017157</v>
      </c>
      <c r="DA96" s="53">
        <f t="shared" si="179"/>
        <v>9.833084076630616E-2</v>
      </c>
      <c r="DB96" s="53">
        <f t="shared" si="179"/>
        <v>0.1477660063958337</v>
      </c>
      <c r="DC96" s="53">
        <f t="shared" si="179"/>
        <v>0.10853156126405961</v>
      </c>
      <c r="DD96" s="53">
        <f t="shared" si="179"/>
        <v>0.10880685061808304</v>
      </c>
      <c r="DE96" s="53">
        <f t="shared" si="179"/>
        <v>4.9432168235239216E-2</v>
      </c>
      <c r="DF96" s="53">
        <f t="shared" si="179"/>
        <v>4.9469736924110608E-2</v>
      </c>
      <c r="DG96" s="53">
        <f t="shared" si="179"/>
        <v>4.9504837732725182E-2</v>
      </c>
      <c r="DH96" s="53">
        <f t="shared" si="179"/>
        <v>4.9537630504898233E-2</v>
      </c>
      <c r="DI96" s="53">
        <f t="shared" si="179"/>
        <v>4.9568265022587488E-2</v>
      </c>
      <c r="DJ96" s="53">
        <f t="shared" si="179"/>
        <v>4.9596881601736253E-2</v>
      </c>
      <c r="DK96" s="53">
        <f t="shared" si="179"/>
        <v>4.9623611657748423E-2</v>
      </c>
      <c r="DL96" s="53">
        <f t="shared" si="179"/>
        <v>4.9648578241467067E-2</v>
      </c>
      <c r="DM96" s="53">
        <f t="shared" si="179"/>
        <v>4.9671896546614303E-2</v>
      </c>
      <c r="DN96" s="53">
        <f t="shared" si="179"/>
        <v>4.9693674389706288E-2</v>
      </c>
      <c r="DO96" s="53">
        <f t="shared" si="179"/>
        <v>4.9714012663492069E-2</v>
      </c>
      <c r="DP96" s="53">
        <f t="shared" si="179"/>
        <v>4.9733005765002281E-2</v>
      </c>
      <c r="DQ96" s="53">
        <f t="shared" si="179"/>
        <v>4.9750741999288417E-2</v>
      </c>
      <c r="DT96" s="54" t="s">
        <v>224</v>
      </c>
      <c r="DU96" s="54" t="s">
        <v>224</v>
      </c>
      <c r="DV96" s="54" t="s">
        <v>224</v>
      </c>
      <c r="DW96" s="54" t="s">
        <v>224</v>
      </c>
      <c r="DX96" s="54" t="s">
        <v>224</v>
      </c>
      <c r="DY96" s="54" t="s">
        <v>224</v>
      </c>
      <c r="DZ96" s="54" t="s">
        <v>224</v>
      </c>
      <c r="EA96" s="54" t="s">
        <v>224</v>
      </c>
      <c r="EB96" s="54" t="s">
        <v>224</v>
      </c>
      <c r="EC96" s="54" t="s">
        <v>224</v>
      </c>
      <c r="ED96" s="54" t="s">
        <v>224</v>
      </c>
      <c r="EE96" s="54" t="s">
        <v>224</v>
      </c>
      <c r="EF96" s="54" t="s">
        <v>224</v>
      </c>
      <c r="EG96" s="54" t="s">
        <v>224</v>
      </c>
      <c r="EH96" s="54" t="s">
        <v>224</v>
      </c>
      <c r="EI96" s="54" t="s">
        <v>224</v>
      </c>
      <c r="EJ96" s="54" t="s">
        <v>224</v>
      </c>
      <c r="EK96" s="54" t="s">
        <v>224</v>
      </c>
      <c r="EL96" s="54" t="s">
        <v>224</v>
      </c>
      <c r="EM96" s="54" t="s">
        <v>224</v>
      </c>
      <c r="EN96" s="54" t="s">
        <v>224</v>
      </c>
      <c r="EO96" s="54" t="s">
        <v>224</v>
      </c>
      <c r="EP96" s="54" t="s">
        <v>224</v>
      </c>
      <c r="EQ96" s="54" t="s">
        <v>224</v>
      </c>
      <c r="ER96" s="54" t="s">
        <v>224</v>
      </c>
      <c r="ES96" s="55" t="s">
        <v>224</v>
      </c>
      <c r="ET96" s="55" t="s">
        <v>224</v>
      </c>
      <c r="EU96" s="55" t="s">
        <v>224</v>
      </c>
      <c r="EV96" s="55" t="s">
        <v>224</v>
      </c>
      <c r="EW96" s="55" t="s">
        <v>224</v>
      </c>
      <c r="EY96" s="50"/>
    </row>
    <row r="97" spans="1:153" s="52" customFormat="1">
      <c r="A97" s="51" t="s">
        <v>225</v>
      </c>
      <c r="BF97" s="62">
        <f t="shared" ref="BF97:DQ97" si="180">BF95/BB95-1</f>
        <v>1.2000000000000002</v>
      </c>
      <c r="BG97" s="62">
        <f t="shared" si="180"/>
        <v>0.77499999999999991</v>
      </c>
      <c r="BH97" s="62">
        <f t="shared" si="180"/>
        <v>0.51923076923076916</v>
      </c>
      <c r="BI97" s="62">
        <f t="shared" si="180"/>
        <v>0.66071428571428581</v>
      </c>
      <c r="BJ97" s="62">
        <f t="shared" si="180"/>
        <v>0.46753246753246747</v>
      </c>
      <c r="BK97" s="62">
        <f t="shared" si="180"/>
        <v>0.676056338028169</v>
      </c>
      <c r="BL97" s="62">
        <f t="shared" si="180"/>
        <v>0.60759493670886067</v>
      </c>
      <c r="BM97" s="62">
        <f t="shared" si="180"/>
        <v>0.37634408602150549</v>
      </c>
      <c r="BN97" s="62">
        <f t="shared" si="180"/>
        <v>0.23893805309734506</v>
      </c>
      <c r="BO97" s="62">
        <f t="shared" si="180"/>
        <v>0.19327731092436973</v>
      </c>
      <c r="BP97" s="62">
        <f t="shared" si="180"/>
        <v>0.13385826771653542</v>
      </c>
      <c r="BQ97" s="62">
        <f>BQ95/BM95-1</f>
        <v>3.125E-2</v>
      </c>
      <c r="BR97" s="62">
        <f>BR95/BN95-1</f>
        <v>3.5714285714285809E-2</v>
      </c>
      <c r="BS97" s="62">
        <f>BS95/BO95-1</f>
        <v>0.13380281690140849</v>
      </c>
      <c r="BT97" s="62">
        <f>BT95/BP95-1</f>
        <v>0.19444444444444442</v>
      </c>
      <c r="BU97" s="62">
        <f t="shared" si="180"/>
        <v>0.23484848484848486</v>
      </c>
      <c r="BV97" s="62">
        <f t="shared" si="180"/>
        <v>0.14482758620689662</v>
      </c>
      <c r="BW97" s="62">
        <f t="shared" si="180"/>
        <v>0.29813664596273282</v>
      </c>
      <c r="BX97" s="62">
        <f t="shared" si="180"/>
        <v>-5.8139534883720922E-2</v>
      </c>
      <c r="BY97" s="62">
        <f t="shared" si="180"/>
        <v>0</v>
      </c>
      <c r="BZ97" s="62">
        <f t="shared" si="180"/>
        <v>-6.6265060240963902E-2</v>
      </c>
      <c r="CA97" s="62">
        <f t="shared" si="180"/>
        <v>-0.46889952153110048</v>
      </c>
      <c r="CB97" s="62">
        <f t="shared" si="180"/>
        <v>-0.22839506172839508</v>
      </c>
      <c r="CC97" s="62">
        <f t="shared" si="180"/>
        <v>-0.11042944785276076</v>
      </c>
      <c r="CD97" s="62">
        <f t="shared" si="180"/>
        <v>-6.4516129032258229E-3</v>
      </c>
      <c r="CE97" s="62">
        <f t="shared" si="180"/>
        <v>0.36936936936936937</v>
      </c>
      <c r="CF97" s="62">
        <f t="shared" si="180"/>
        <v>8.0000000000000071E-2</v>
      </c>
      <c r="CG97" s="62">
        <f t="shared" si="180"/>
        <v>-0.13793103448275867</v>
      </c>
      <c r="CH97" s="62">
        <f t="shared" si="180"/>
        <v>-0.10389610389610393</v>
      </c>
      <c r="CI97" s="62">
        <f t="shared" si="180"/>
        <v>0.44736842105263164</v>
      </c>
      <c r="CJ97" s="62">
        <f t="shared" si="180"/>
        <v>0.85925925925925917</v>
      </c>
      <c r="CK97" s="62">
        <f t="shared" si="180"/>
        <v>1.3519999999999999</v>
      </c>
      <c r="CL97" s="62">
        <f t="shared" si="180"/>
        <v>1.1449275362318843</v>
      </c>
      <c r="CM97" s="62">
        <f t="shared" si="180"/>
        <v>0.14999999999999991</v>
      </c>
      <c r="CN97" s="62">
        <f t="shared" si="180"/>
        <v>3.9840637450199168E-2</v>
      </c>
      <c r="CO97" s="62">
        <f t="shared" si="180"/>
        <v>-4.4217687074829981E-2</v>
      </c>
      <c r="CP97" s="62">
        <f t="shared" si="180"/>
        <v>0.1114864864864864</v>
      </c>
      <c r="CQ97" s="62">
        <f t="shared" si="180"/>
        <v>0.36758893280632421</v>
      </c>
      <c r="CR97" s="62">
        <f t="shared" si="180"/>
        <v>0.72030651340996177</v>
      </c>
      <c r="CS97" s="62">
        <f t="shared" si="180"/>
        <v>1.0284697508896796</v>
      </c>
      <c r="CT97" s="62">
        <f t="shared" si="180"/>
        <v>0.72340425531914887</v>
      </c>
      <c r="CU97" s="62">
        <f t="shared" si="180"/>
        <v>0.69364161849710992</v>
      </c>
      <c r="CV97" s="62">
        <f t="shared" si="180"/>
        <v>0.31848552338530056</v>
      </c>
      <c r="CW97" s="62">
        <f t="shared" si="180"/>
        <v>5.9649122807017507E-2</v>
      </c>
      <c r="CX97" s="62">
        <f t="shared" si="180"/>
        <v>0.24634920634920632</v>
      </c>
      <c r="CY97" s="63">
        <f t="shared" si="180"/>
        <v>0.29675850364686251</v>
      </c>
      <c r="CZ97" s="63">
        <f t="shared" si="180"/>
        <v>0.4221892405810812</v>
      </c>
      <c r="DA97" s="63">
        <f t="shared" si="180"/>
        <v>0.53100051021032835</v>
      </c>
      <c r="DB97" s="63">
        <f t="shared" si="180"/>
        <v>0.50190627469580562</v>
      </c>
      <c r="DC97" s="63">
        <f t="shared" si="180"/>
        <v>0.54830663171308092</v>
      </c>
      <c r="DD97" s="63">
        <f t="shared" si="180"/>
        <v>0.54949614349718412</v>
      </c>
      <c r="DE97" s="63">
        <f t="shared" si="180"/>
        <v>0.48051118769265067</v>
      </c>
      <c r="DF97" s="63">
        <f t="shared" si="180"/>
        <v>0.35371816032436243</v>
      </c>
      <c r="DG97" s="63">
        <f t="shared" si="180"/>
        <v>0.28163582150696653</v>
      </c>
      <c r="DH97" s="63">
        <f t="shared" si="180"/>
        <v>0.21312834830052352</v>
      </c>
      <c r="DI97" s="63">
        <f t="shared" si="180"/>
        <v>0.21328567421051781</v>
      </c>
      <c r="DJ97" s="63">
        <f t="shared" si="180"/>
        <v>0.21343266541044281</v>
      </c>
      <c r="DK97" s="63">
        <f t="shared" si="180"/>
        <v>0.21356999127616594</v>
      </c>
      <c r="DL97" s="63">
        <f t="shared" si="180"/>
        <v>0.21369827904764427</v>
      </c>
      <c r="DM97" s="63">
        <f t="shared" si="180"/>
        <v>0.21381811632413017</v>
      </c>
      <c r="DN97" s="63">
        <f t="shared" si="180"/>
        <v>0.21393005343220195</v>
      </c>
      <c r="DO97" s="63">
        <f t="shared" si="180"/>
        <v>0.21403460567027444</v>
      </c>
      <c r="DP97" s="63">
        <f t="shared" si="180"/>
        <v>0.21413225543360226</v>
      </c>
      <c r="DQ97" s="63">
        <f t="shared" si="180"/>
        <v>0.21422345422400579</v>
      </c>
      <c r="EC97" s="79"/>
      <c r="ED97" s="79"/>
      <c r="EE97" s="91"/>
      <c r="EF97" s="91">
        <f t="shared" ref="EF97:ET97" si="181">EF95/EE95-1</f>
        <v>0.76785714285714279</v>
      </c>
      <c r="EG97" s="52">
        <f t="shared" si="181"/>
        <v>0.8484848484848484</v>
      </c>
      <c r="EH97" s="52">
        <f t="shared" si="181"/>
        <v>0.74863387978142071</v>
      </c>
      <c r="EI97" s="52">
        <f t="shared" si="181"/>
        <v>0.52187500000000009</v>
      </c>
      <c r="EJ97" s="52">
        <f t="shared" si="181"/>
        <v>0.14579055441478439</v>
      </c>
      <c r="EK97" s="52">
        <f t="shared" si="181"/>
        <v>0.14874551971326166</v>
      </c>
      <c r="EL97" s="52">
        <f t="shared" si="181"/>
        <v>9.2043681747269845E-2</v>
      </c>
      <c r="EM97" s="52">
        <f t="shared" si="181"/>
        <v>-0.23428571428571432</v>
      </c>
      <c r="EN97" s="52">
        <f t="shared" si="181"/>
        <v>5.5970149253731449E-2</v>
      </c>
      <c r="EO97" s="52">
        <f t="shared" si="181"/>
        <v>0.59540636042402828</v>
      </c>
      <c r="EP97" s="52">
        <f t="shared" si="181"/>
        <v>0.20819490586932443</v>
      </c>
      <c r="EQ97" s="52">
        <f t="shared" si="181"/>
        <v>0.55270394133822176</v>
      </c>
      <c r="ER97" s="52">
        <f t="shared" si="181"/>
        <v>0.38665879574970474</v>
      </c>
      <c r="ES97" s="65">
        <f t="shared" si="181"/>
        <v>0.37643287429889316</v>
      </c>
      <c r="ET97" s="65">
        <f t="shared" si="181"/>
        <v>0.5190849276256353</v>
      </c>
      <c r="EU97" s="65">
        <f>EU95/ET95-1</f>
        <v>0.25996388096148637</v>
      </c>
      <c r="EV97" s="65">
        <f>EV95/EU95-1</f>
        <v>0.21363751670137954</v>
      </c>
      <c r="EW97" s="65">
        <f>EW95/EV95-1</f>
        <v>0.21408600707700276</v>
      </c>
    </row>
    <row r="98" spans="1:153" s="52" customFormat="1">
      <c r="A98" s="51" t="s">
        <v>258</v>
      </c>
      <c r="BB98" s="52" t="e">
        <f t="shared" ref="BB98:CO98" si="182">BB95/BB$119</f>
        <v>#REF!</v>
      </c>
      <c r="BC98" s="52" t="e">
        <f t="shared" si="182"/>
        <v>#REF!</v>
      </c>
      <c r="BD98" s="52" t="e">
        <f t="shared" si="182"/>
        <v>#REF!</v>
      </c>
      <c r="BE98" s="52" t="e">
        <f t="shared" si="182"/>
        <v>#REF!</v>
      </c>
      <c r="BF98" s="52" t="e">
        <f t="shared" si="182"/>
        <v>#REF!</v>
      </c>
      <c r="BG98" s="52" t="e">
        <f t="shared" si="182"/>
        <v>#REF!</v>
      </c>
      <c r="BH98" s="52" t="e">
        <f t="shared" si="182"/>
        <v>#REF!</v>
      </c>
      <c r="BI98" s="52" t="e">
        <f t="shared" si="182"/>
        <v>#REF!</v>
      </c>
      <c r="BJ98" s="52" t="e">
        <f t="shared" si="182"/>
        <v>#REF!</v>
      </c>
      <c r="BK98" s="52" t="e">
        <f t="shared" si="182"/>
        <v>#REF!</v>
      </c>
      <c r="BL98" s="52" t="e">
        <f t="shared" si="182"/>
        <v>#REF!</v>
      </c>
      <c r="BM98" s="52" t="e">
        <f t="shared" si="182"/>
        <v>#REF!</v>
      </c>
      <c r="BN98" s="52" t="e">
        <f t="shared" si="182"/>
        <v>#REF!</v>
      </c>
      <c r="BO98" s="52">
        <f t="shared" si="182"/>
        <v>6.3677130044843044E-2</v>
      </c>
      <c r="BP98" s="52">
        <f t="shared" si="182"/>
        <v>5.4628224582701064E-2</v>
      </c>
      <c r="BQ98" s="52">
        <f t="shared" si="182"/>
        <v>4.5345242184816212E-2</v>
      </c>
      <c r="BR98" s="52">
        <f t="shared" si="182"/>
        <v>4.5213595260367945E-2</v>
      </c>
      <c r="BS98" s="52">
        <f t="shared" si="182"/>
        <v>5.1552993916106307E-2</v>
      </c>
      <c r="BT98" s="52">
        <f t="shared" si="182"/>
        <v>5.4071046840616158E-2</v>
      </c>
      <c r="BU98" s="52">
        <f t="shared" si="182"/>
        <v>7.3922902494331061E-2</v>
      </c>
      <c r="BV98" s="52">
        <f t="shared" si="182"/>
        <v>7.4774774774774774E-2</v>
      </c>
      <c r="BW98" s="52">
        <f t="shared" si="182"/>
        <v>8.1039162466072123E-2</v>
      </c>
      <c r="BX98" s="52">
        <f t="shared" si="182"/>
        <v>5.3749170537491703E-2</v>
      </c>
      <c r="BY98" s="52">
        <f t="shared" si="182"/>
        <v>5.2495974235104673E-2</v>
      </c>
      <c r="BZ98" s="52">
        <f t="shared" si="182"/>
        <v>5.0324675324675328E-2</v>
      </c>
      <c r="CA98" s="52">
        <f>CA95/CA$119</f>
        <v>2.8711846870150024E-2</v>
      </c>
      <c r="CB98" s="52">
        <f t="shared" si="182"/>
        <v>2.6449428692340245E-2</v>
      </c>
      <c r="CC98" s="52">
        <f t="shared" si="182"/>
        <v>2.8982610433739755E-2</v>
      </c>
      <c r="CD98" s="52">
        <f t="shared" si="182"/>
        <v>2.7203674262497791E-2</v>
      </c>
      <c r="CE98" s="52">
        <f t="shared" si="182"/>
        <v>2.3359459044106346E-2</v>
      </c>
      <c r="CF98" s="52">
        <f t="shared" si="182"/>
        <v>1.9006053780092919E-2</v>
      </c>
      <c r="CG98" s="52">
        <f t="shared" si="182"/>
        <v>1.635483448907497E-2</v>
      </c>
      <c r="CH98" s="52">
        <f t="shared" si="182"/>
        <v>1.6650579150579152E-2</v>
      </c>
      <c r="CI98" s="52">
        <f t="shared" si="182"/>
        <v>3.2816229116945109E-2</v>
      </c>
      <c r="CJ98" s="52">
        <f t="shared" si="182"/>
        <v>4.2320013488450513E-2</v>
      </c>
      <c r="CK98" s="52">
        <f t="shared" si="182"/>
        <v>4.8587010411502228E-2</v>
      </c>
      <c r="CL98" s="52">
        <f t="shared" si="182"/>
        <v>4.1156840934371525E-2</v>
      </c>
      <c r="CM98" s="52">
        <f t="shared" si="182"/>
        <v>1.8731028355667433E-2</v>
      </c>
      <c r="CN98" s="52">
        <f t="shared" si="182"/>
        <v>1.4403973509933774E-2</v>
      </c>
      <c r="CO98" s="52">
        <f t="shared" si="182"/>
        <v>1.2713206352078904E-2</v>
      </c>
      <c r="CP98" s="52">
        <f>CP95/CP$119</f>
        <v>1.2632468130855475E-2</v>
      </c>
      <c r="CQ98" s="52">
        <f>CQ95/CQ$119</f>
        <v>1.1517976031957391E-2</v>
      </c>
      <c r="CR98" s="52">
        <f>CR95/CR$119</f>
        <v>1.2798586169545635E-2</v>
      </c>
      <c r="CS98" s="52">
        <f>CS95/CS$119</f>
        <v>1.4492385141491444E-2</v>
      </c>
      <c r="CT98" s="52">
        <f>CT95/CT$119</f>
        <v>1.2868231128863874E-2</v>
      </c>
      <c r="CU98" s="52">
        <f t="shared" ref="CU98:DQ98" si="183">CU95/CU$119</f>
        <v>1.2536636501722183E-2</v>
      </c>
      <c r="CV98" s="52">
        <f>CV95/CV$119</f>
        <v>1.0384871767884083E-2</v>
      </c>
      <c r="CW98" s="52">
        <f>CW95/CW$119</f>
        <v>8.8657947656582553E-3</v>
      </c>
      <c r="CX98" s="52">
        <f t="shared" si="183"/>
        <v>8.6587024444036015E-3</v>
      </c>
      <c r="CY98" s="53">
        <f t="shared" si="183"/>
        <v>8.1666090268619658E-3</v>
      </c>
      <c r="CZ98" s="53">
        <f t="shared" si="183"/>
        <v>7.608493414939221E-3</v>
      </c>
      <c r="DA98" s="53">
        <f t="shared" si="183"/>
        <v>7.3664451720255823E-3</v>
      </c>
      <c r="DB98" s="53">
        <f t="shared" si="183"/>
        <v>7.7442823100217616E-3</v>
      </c>
      <c r="DC98" s="53">
        <f t="shared" si="183"/>
        <v>7.8198153697680226E-3</v>
      </c>
      <c r="DD98" s="53">
        <f t="shared" si="183"/>
        <v>7.7564188510637865E-3</v>
      </c>
      <c r="DE98" s="53">
        <f t="shared" si="183"/>
        <v>7.6306592320903354E-3</v>
      </c>
      <c r="DF98" s="53">
        <f t="shared" si="183"/>
        <v>7.80575886591609E-3</v>
      </c>
      <c r="DG98" s="53">
        <f t="shared" si="183"/>
        <v>7.9471484053562341E-3</v>
      </c>
      <c r="DH98" s="53">
        <f t="shared" si="183"/>
        <v>7.7947104842625153E-3</v>
      </c>
      <c r="DI98" s="53">
        <f t="shared" si="183"/>
        <v>7.792083239586617E-3</v>
      </c>
      <c r="DJ98" s="53">
        <f t="shared" si="183"/>
        <v>8.1206381700748339E-3</v>
      </c>
      <c r="DK98" s="53">
        <f t="shared" si="183"/>
        <v>8.4269913582294444E-3</v>
      </c>
      <c r="DL98" s="53">
        <f t="shared" si="183"/>
        <v>8.5748049627754584E-3</v>
      </c>
      <c r="DM98" s="53">
        <f t="shared" si="183"/>
        <v>8.8138594603927346E-3</v>
      </c>
      <c r="DN98" s="53">
        <f t="shared" si="183"/>
        <v>9.0997218970795355E-3</v>
      </c>
      <c r="DO98" s="53">
        <f t="shared" si="183"/>
        <v>9.2675928046426475E-3</v>
      </c>
      <c r="DP98" s="53">
        <f t="shared" si="183"/>
        <v>9.1750435089963476E-3</v>
      </c>
      <c r="DQ98" s="53">
        <f t="shared" si="183"/>
        <v>9.2578055798760717E-3</v>
      </c>
      <c r="EC98" s="79"/>
      <c r="ED98" s="79"/>
      <c r="EE98" s="91">
        <f t="shared" ref="EE98:EW98" si="184">EE95/EE$119</f>
        <v>1.3084112149532711E-2</v>
      </c>
      <c r="EF98" s="91">
        <f t="shared" si="184"/>
        <v>2.3970944309927359E-2</v>
      </c>
      <c r="EG98" s="52" t="e">
        <f t="shared" si="184"/>
        <v>#REF!</v>
      </c>
      <c r="EH98" s="52" t="e">
        <f t="shared" si="184"/>
        <v>#REF!</v>
      </c>
      <c r="EI98" s="52" t="e">
        <f t="shared" si="184"/>
        <v>#REF!</v>
      </c>
      <c r="EJ98" s="52" t="e">
        <f t="shared" si="184"/>
        <v>#REF!</v>
      </c>
      <c r="EK98" s="52">
        <f t="shared" si="184"/>
        <v>5.4711505633321951E-2</v>
      </c>
      <c r="EL98" s="52">
        <f t="shared" si="184"/>
        <v>6.4114306649569519E-2</v>
      </c>
      <c r="EM98" s="52">
        <f>EM95/EM$119</f>
        <v>3.567985408452079E-2</v>
      </c>
      <c r="EN98" s="52">
        <f t="shared" si="184"/>
        <v>2.1029947239354984E-2</v>
      </c>
      <c r="EO98" s="52">
        <f t="shared" si="184"/>
        <v>3.3476681248609773E-2</v>
      </c>
      <c r="EP98" s="52">
        <f t="shared" si="184"/>
        <v>1.7908144840944159E-2</v>
      </c>
      <c r="EQ98" s="52">
        <f t="shared" si="184"/>
        <v>1.2981141328919438E-2</v>
      </c>
      <c r="ER98" s="52">
        <f t="shared" si="184"/>
        <v>1.087812242402912E-2</v>
      </c>
      <c r="ES98" s="53">
        <f t="shared" si="184"/>
        <v>7.8695605937718748E-3</v>
      </c>
      <c r="ET98" s="53">
        <f t="shared" si="184"/>
        <v>7.7332923424529229E-3</v>
      </c>
      <c r="EU98" s="53">
        <f t="shared" si="184"/>
        <v>7.8331874799426691E-3</v>
      </c>
      <c r="EV98" s="53">
        <f t="shared" si="184"/>
        <v>8.4901127701734625E-3</v>
      </c>
      <c r="EW98" s="53">
        <f t="shared" si="184"/>
        <v>9.2018400822776892E-3</v>
      </c>
    </row>
    <row r="99" spans="1:153" s="49" customFormat="1">
      <c r="A99" s="76" t="s">
        <v>265</v>
      </c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6"/>
      <c r="AY99" s="76"/>
      <c r="AZ99" s="76"/>
      <c r="BA99" s="76"/>
      <c r="BB99" s="76" t="e">
        <f>#REF!-BB115</f>
        <v>#REF!</v>
      </c>
      <c r="BC99" s="76" t="e">
        <f>#REF!-BC115</f>
        <v>#REF!</v>
      </c>
      <c r="BD99" s="76" t="e">
        <f>#REF!-BD115</f>
        <v>#REF!</v>
      </c>
      <c r="BE99" s="76" t="e">
        <f>#REF!-BE115</f>
        <v>#REF!</v>
      </c>
      <c r="BF99" s="76" t="e">
        <f>#REF!-BF115</f>
        <v>#REF!</v>
      </c>
      <c r="BG99" s="76" t="e">
        <f>#REF!-BG115</f>
        <v>#REF!</v>
      </c>
      <c r="BH99" s="76" t="e">
        <f>#REF!-BH115</f>
        <v>#REF!</v>
      </c>
      <c r="BI99" s="76" t="e">
        <f>#REF!-BI115</f>
        <v>#REF!</v>
      </c>
      <c r="BJ99" s="76" t="e">
        <f>#REF!-BJ115</f>
        <v>#REF!</v>
      </c>
      <c r="BK99" s="76" t="e">
        <f>#REF!-BK115</f>
        <v>#REF!</v>
      </c>
      <c r="BL99" s="76" t="e">
        <f>#REF!-BL115</f>
        <v>#REF!</v>
      </c>
      <c r="BM99" s="76" t="e">
        <f>#REF!-BM115</f>
        <v>#REF!</v>
      </c>
      <c r="BN99" s="76" t="e">
        <f>#REF!-BN115</f>
        <v>#REF!</v>
      </c>
      <c r="BO99" s="76">
        <v>251</v>
      </c>
      <c r="BP99" s="76">
        <v>191</v>
      </c>
      <c r="BQ99" s="76">
        <v>180</v>
      </c>
      <c r="BR99" s="76">
        <v>387</v>
      </c>
      <c r="BS99" s="76">
        <v>116</v>
      </c>
      <c r="BT99" s="76">
        <v>148</v>
      </c>
      <c r="BU99" s="76">
        <v>116</v>
      </c>
      <c r="BV99" s="76">
        <v>99</v>
      </c>
      <c r="BW99" s="76">
        <v>111</v>
      </c>
      <c r="BX99" s="76">
        <v>143</v>
      </c>
      <c r="BY99" s="76">
        <v>152</v>
      </c>
      <c r="BZ99" s="76">
        <v>138</v>
      </c>
      <c r="CA99" s="76">
        <v>146</v>
      </c>
      <c r="CB99" s="76">
        <v>194</v>
      </c>
      <c r="CC99" s="76">
        <v>153</v>
      </c>
      <c r="CD99" s="76">
        <v>327</v>
      </c>
      <c r="CE99" s="76">
        <v>409</v>
      </c>
      <c r="CF99" s="76">
        <v>234</v>
      </c>
      <c r="CG99" s="76">
        <v>192</v>
      </c>
      <c r="CH99" s="76">
        <v>158</v>
      </c>
      <c r="CI99" s="76">
        <v>140</v>
      </c>
      <c r="CJ99" s="76">
        <v>73</v>
      </c>
      <c r="CK99" s="76">
        <v>84</v>
      </c>
      <c r="CL99" s="76">
        <v>77</v>
      </c>
      <c r="CM99" s="76">
        <v>66</v>
      </c>
      <c r="CN99" s="76">
        <v>73</v>
      </c>
      <c r="CO99" s="76">
        <v>90</v>
      </c>
      <c r="CP99" s="76">
        <v>78</v>
      </c>
      <c r="CQ99" s="76">
        <v>88</v>
      </c>
      <c r="CR99" s="76">
        <v>97</v>
      </c>
      <c r="CS99" s="76">
        <v>126</v>
      </c>
      <c r="CT99" s="76">
        <v>111</v>
      </c>
      <c r="CU99" s="76">
        <v>173</v>
      </c>
      <c r="CV99" s="76">
        <v>174</v>
      </c>
      <c r="CW99" s="76">
        <v>161</v>
      </c>
      <c r="CX99" s="76">
        <f>CX5-SUM(CX75,CX79,CX83,CX95)</f>
        <v>166.59000000001106</v>
      </c>
      <c r="CY99" s="78">
        <f t="shared" ref="CY99:DQ99" si="185">CX99*(1+CY100)</f>
        <v>166.59000000001106</v>
      </c>
      <c r="CZ99" s="78">
        <f t="shared" si="185"/>
        <v>166.59000000001106</v>
      </c>
      <c r="DA99" s="78">
        <f t="shared" si="185"/>
        <v>166.59000000001106</v>
      </c>
      <c r="DB99" s="78">
        <f t="shared" si="185"/>
        <v>166.59000000001106</v>
      </c>
      <c r="DC99" s="78">
        <f t="shared" si="185"/>
        <v>166.59000000001106</v>
      </c>
      <c r="DD99" s="78">
        <f t="shared" si="185"/>
        <v>166.59000000001106</v>
      </c>
      <c r="DE99" s="78">
        <f t="shared" si="185"/>
        <v>166.59000000001106</v>
      </c>
      <c r="DF99" s="78">
        <f t="shared" si="185"/>
        <v>166.59000000001106</v>
      </c>
      <c r="DG99" s="78">
        <f t="shared" si="185"/>
        <v>166.59000000001106</v>
      </c>
      <c r="DH99" s="78">
        <f t="shared" si="185"/>
        <v>166.59000000001106</v>
      </c>
      <c r="DI99" s="78">
        <f t="shared" si="185"/>
        <v>166.59000000001106</v>
      </c>
      <c r="DJ99" s="78">
        <f t="shared" si="185"/>
        <v>166.59000000001106</v>
      </c>
      <c r="DK99" s="78">
        <f t="shared" si="185"/>
        <v>166.59000000001106</v>
      </c>
      <c r="DL99" s="78">
        <f t="shared" si="185"/>
        <v>166.59000000001106</v>
      </c>
      <c r="DM99" s="78">
        <f t="shared" si="185"/>
        <v>166.59000000001106</v>
      </c>
      <c r="DN99" s="78">
        <f t="shared" si="185"/>
        <v>166.59000000001106</v>
      </c>
      <c r="DO99" s="78">
        <f t="shared" si="185"/>
        <v>166.59000000001106</v>
      </c>
      <c r="DP99" s="78">
        <f t="shared" si="185"/>
        <v>166.59000000001106</v>
      </c>
      <c r="DQ99" s="78">
        <f t="shared" si="185"/>
        <v>166.59000000001106</v>
      </c>
      <c r="DT99" s="77"/>
      <c r="DU99" s="77"/>
      <c r="DV99" s="77"/>
      <c r="DW99" s="77"/>
      <c r="DX99" s="77"/>
      <c r="DY99" s="77"/>
      <c r="DZ99" s="77"/>
      <c r="EA99" s="77"/>
      <c r="EB99" s="77"/>
      <c r="EC99" s="76"/>
      <c r="ED99" s="76"/>
      <c r="EE99" s="76">
        <f>2060-EE115</f>
        <v>1796</v>
      </c>
      <c r="EF99" s="76">
        <f>1532-EF115</f>
        <v>1268</v>
      </c>
      <c r="EG99" s="76" t="e">
        <f>SUM(BB99:BE99)</f>
        <v>#REF!</v>
      </c>
      <c r="EH99" s="76" t="e">
        <f>SUM(BF99:BI99)</f>
        <v>#REF!</v>
      </c>
      <c r="EI99" s="76" t="e">
        <f>SUM(BJ99:BM99)</f>
        <v>#REF!</v>
      </c>
      <c r="EJ99" s="76" t="e">
        <f>SUM(BN99:BQ99)</f>
        <v>#REF!</v>
      </c>
      <c r="EK99" s="76">
        <f>SUM(BR99:BU99)</f>
        <v>767</v>
      </c>
      <c r="EL99" s="76">
        <f>BV99+BW99+BX99+BY99</f>
        <v>505</v>
      </c>
      <c r="EM99" s="76">
        <f>SUM(BZ99:CC99)</f>
        <v>631</v>
      </c>
      <c r="EN99" s="76">
        <f>+CD99+CE99+CF99+CG99</f>
        <v>1162</v>
      </c>
      <c r="EO99" s="76">
        <f>SUM(CH99:CK99)</f>
        <v>455</v>
      </c>
      <c r="EP99" s="76">
        <f>SUM(CL99:CO99)</f>
        <v>306</v>
      </c>
      <c r="EQ99" s="76">
        <f>SUM(CP99:CS99)</f>
        <v>389</v>
      </c>
      <c r="ER99" s="76">
        <f>SUM(CT99:CW99)</f>
        <v>619</v>
      </c>
      <c r="ES99" s="78">
        <f>SUM(CX99:DA99)</f>
        <v>666.36000000004424</v>
      </c>
      <c r="ET99" s="78">
        <f>SUM(DB99:DE99)</f>
        <v>666.36000000004424</v>
      </c>
      <c r="EU99" s="78">
        <f>SUM(DF99:DI99)</f>
        <v>666.36000000004424</v>
      </c>
      <c r="EV99" s="78">
        <f>SUM(DJ99:DM99)</f>
        <v>666.36000000004424</v>
      </c>
      <c r="EW99" s="78">
        <f>SUM(DN99:DQ99)</f>
        <v>666.36000000004424</v>
      </c>
    </row>
    <row r="100" spans="1:153" s="52" customFormat="1">
      <c r="A100" s="51" t="s">
        <v>223</v>
      </c>
      <c r="BC100" s="52" t="e">
        <f t="shared" ref="BC100:CX100" si="186">BC99/BB99-1</f>
        <v>#REF!</v>
      </c>
      <c r="BD100" s="52" t="e">
        <f t="shared" si="186"/>
        <v>#REF!</v>
      </c>
      <c r="BE100" s="52" t="e">
        <f t="shared" si="186"/>
        <v>#REF!</v>
      </c>
      <c r="BF100" s="52" t="e">
        <f t="shared" si="186"/>
        <v>#REF!</v>
      </c>
      <c r="BG100" s="52" t="e">
        <f t="shared" si="186"/>
        <v>#REF!</v>
      </c>
      <c r="BH100" s="52" t="e">
        <f t="shared" si="186"/>
        <v>#REF!</v>
      </c>
      <c r="BI100" s="52" t="e">
        <f t="shared" si="186"/>
        <v>#REF!</v>
      </c>
      <c r="BJ100" s="52" t="e">
        <f t="shared" si="186"/>
        <v>#REF!</v>
      </c>
      <c r="BK100" s="52" t="e">
        <f t="shared" si="186"/>
        <v>#REF!</v>
      </c>
      <c r="BL100" s="52" t="e">
        <f t="shared" si="186"/>
        <v>#REF!</v>
      </c>
      <c r="BM100" s="52" t="e">
        <f t="shared" si="186"/>
        <v>#REF!</v>
      </c>
      <c r="BN100" s="52" t="e">
        <f t="shared" si="186"/>
        <v>#REF!</v>
      </c>
      <c r="BO100" s="52" t="e">
        <f t="shared" si="186"/>
        <v>#REF!</v>
      </c>
      <c r="BP100" s="52">
        <f t="shared" si="186"/>
        <v>-0.23904382470119523</v>
      </c>
      <c r="BQ100" s="52">
        <f t="shared" si="186"/>
        <v>-5.759162303664922E-2</v>
      </c>
      <c r="BR100" s="52">
        <f t="shared" si="186"/>
        <v>1.1499999999999999</v>
      </c>
      <c r="BS100" s="52">
        <f t="shared" si="186"/>
        <v>-0.70025839793281652</v>
      </c>
      <c r="BT100" s="52">
        <f t="shared" si="186"/>
        <v>0.27586206896551735</v>
      </c>
      <c r="BU100" s="52">
        <f t="shared" si="186"/>
        <v>-0.21621621621621623</v>
      </c>
      <c r="BV100" s="52">
        <f t="shared" si="186"/>
        <v>-0.14655172413793105</v>
      </c>
      <c r="BW100" s="52">
        <f t="shared" si="186"/>
        <v>0.1212121212121211</v>
      </c>
      <c r="BX100" s="52">
        <f t="shared" si="186"/>
        <v>0.28828828828828823</v>
      </c>
      <c r="BY100" s="52">
        <f t="shared" si="186"/>
        <v>6.2937062937062915E-2</v>
      </c>
      <c r="BZ100" s="52">
        <f t="shared" si="186"/>
        <v>-9.210526315789469E-2</v>
      </c>
      <c r="CA100" s="52">
        <f t="shared" si="186"/>
        <v>5.7971014492753659E-2</v>
      </c>
      <c r="CB100" s="52">
        <f t="shared" si="186"/>
        <v>0.32876712328767121</v>
      </c>
      <c r="CC100" s="52">
        <f t="shared" si="186"/>
        <v>-0.21134020618556704</v>
      </c>
      <c r="CD100" s="52">
        <f t="shared" si="186"/>
        <v>1.1372549019607843</v>
      </c>
      <c r="CE100" s="52">
        <f t="shared" si="186"/>
        <v>0.25076452599388377</v>
      </c>
      <c r="CF100" s="52">
        <f t="shared" si="186"/>
        <v>-0.42787286063569685</v>
      </c>
      <c r="CG100" s="52">
        <f t="shared" si="186"/>
        <v>-0.17948717948717952</v>
      </c>
      <c r="CH100" s="52">
        <f t="shared" si="186"/>
        <v>-0.17708333333333337</v>
      </c>
      <c r="CI100" s="52">
        <f t="shared" si="186"/>
        <v>-0.11392405063291144</v>
      </c>
      <c r="CJ100" s="52">
        <f t="shared" si="186"/>
        <v>-0.47857142857142854</v>
      </c>
      <c r="CK100" s="52">
        <f t="shared" si="186"/>
        <v>0.15068493150684925</v>
      </c>
      <c r="CL100" s="52">
        <f t="shared" si="186"/>
        <v>-8.333333333333337E-2</v>
      </c>
      <c r="CM100" s="52">
        <f t="shared" si="186"/>
        <v>-0.1428571428571429</v>
      </c>
      <c r="CN100" s="52">
        <f t="shared" si="186"/>
        <v>0.10606060606060597</v>
      </c>
      <c r="CO100" s="52">
        <f t="shared" si="186"/>
        <v>0.23287671232876717</v>
      </c>
      <c r="CP100" s="52">
        <f t="shared" si="186"/>
        <v>-0.1333333333333333</v>
      </c>
      <c r="CQ100" s="52">
        <f t="shared" si="186"/>
        <v>0.12820512820512819</v>
      </c>
      <c r="CR100" s="52">
        <f t="shared" si="186"/>
        <v>0.10227272727272729</v>
      </c>
      <c r="CS100" s="52">
        <f t="shared" si="186"/>
        <v>0.2989690721649485</v>
      </c>
      <c r="CT100" s="52">
        <f t="shared" si="186"/>
        <v>-0.11904761904761907</v>
      </c>
      <c r="CU100" s="52">
        <f t="shared" si="186"/>
        <v>0.55855855855855863</v>
      </c>
      <c r="CV100" s="52">
        <f t="shared" si="186"/>
        <v>5.7803468208093012E-3</v>
      </c>
      <c r="CW100" s="52">
        <f t="shared" si="186"/>
        <v>-7.4712643678160884E-2</v>
      </c>
      <c r="CX100" s="52">
        <f t="shared" si="186"/>
        <v>3.4720496894478536E-2</v>
      </c>
      <c r="CY100" s="53">
        <v>0</v>
      </c>
      <c r="CZ100" s="53">
        <v>0</v>
      </c>
      <c r="DA100" s="53">
        <v>0</v>
      </c>
      <c r="DB100" s="53">
        <v>0</v>
      </c>
      <c r="DC100" s="53">
        <v>0</v>
      </c>
      <c r="DD100" s="53">
        <v>0</v>
      </c>
      <c r="DE100" s="53">
        <v>0</v>
      </c>
      <c r="DF100" s="53">
        <v>0</v>
      </c>
      <c r="DG100" s="53">
        <v>0</v>
      </c>
      <c r="DH100" s="53">
        <v>0</v>
      </c>
      <c r="DI100" s="53">
        <v>0</v>
      </c>
      <c r="DJ100" s="53">
        <v>0</v>
      </c>
      <c r="DK100" s="53">
        <v>0</v>
      </c>
      <c r="DL100" s="53">
        <v>0</v>
      </c>
      <c r="DM100" s="53">
        <v>0</v>
      </c>
      <c r="DN100" s="53">
        <v>0</v>
      </c>
      <c r="DO100" s="53">
        <v>0</v>
      </c>
      <c r="DP100" s="53">
        <v>0</v>
      </c>
      <c r="DQ100" s="53">
        <v>0</v>
      </c>
      <c r="DT100" s="54" t="s">
        <v>224</v>
      </c>
      <c r="DU100" s="54" t="s">
        <v>224</v>
      </c>
      <c r="DV100" s="54" t="s">
        <v>224</v>
      </c>
      <c r="DW100" s="54" t="s">
        <v>224</v>
      </c>
      <c r="DX100" s="54" t="s">
        <v>224</v>
      </c>
      <c r="DY100" s="54" t="s">
        <v>224</v>
      </c>
      <c r="DZ100" s="54" t="s">
        <v>224</v>
      </c>
      <c r="EA100" s="54" t="s">
        <v>224</v>
      </c>
      <c r="EB100" s="54" t="s">
        <v>224</v>
      </c>
      <c r="EC100" s="54" t="s">
        <v>224</v>
      </c>
      <c r="ED100" s="54" t="s">
        <v>224</v>
      </c>
      <c r="EE100" s="54" t="s">
        <v>224</v>
      </c>
      <c r="EF100" s="54" t="s">
        <v>224</v>
      </c>
      <c r="EG100" s="54" t="s">
        <v>224</v>
      </c>
      <c r="EH100" s="54" t="s">
        <v>224</v>
      </c>
      <c r="EI100" s="54" t="s">
        <v>224</v>
      </c>
      <c r="EJ100" s="54" t="s">
        <v>224</v>
      </c>
      <c r="EK100" s="54" t="s">
        <v>224</v>
      </c>
      <c r="EL100" s="54" t="s">
        <v>224</v>
      </c>
      <c r="EM100" s="54" t="s">
        <v>224</v>
      </c>
      <c r="EN100" s="54" t="s">
        <v>224</v>
      </c>
      <c r="EO100" s="54" t="s">
        <v>224</v>
      </c>
      <c r="EP100" s="54" t="s">
        <v>224</v>
      </c>
      <c r="EQ100" s="54" t="s">
        <v>224</v>
      </c>
      <c r="ER100" s="54" t="s">
        <v>224</v>
      </c>
      <c r="ES100" s="55" t="s">
        <v>224</v>
      </c>
      <c r="ET100" s="55" t="s">
        <v>224</v>
      </c>
      <c r="EU100" s="55" t="s">
        <v>224</v>
      </c>
      <c r="EV100" s="55" t="s">
        <v>224</v>
      </c>
      <c r="EW100" s="55" t="s">
        <v>224</v>
      </c>
    </row>
    <row r="101" spans="1:153" s="52" customFormat="1">
      <c r="A101" s="51" t="s">
        <v>225</v>
      </c>
      <c r="BF101" s="52" t="e">
        <f t="shared" ref="BF101:DQ101" si="187">BF99/BB99-1</f>
        <v>#REF!</v>
      </c>
      <c r="BG101" s="52" t="e">
        <f t="shared" si="187"/>
        <v>#REF!</v>
      </c>
      <c r="BH101" s="52" t="e">
        <f t="shared" si="187"/>
        <v>#REF!</v>
      </c>
      <c r="BI101" s="52" t="e">
        <f t="shared" si="187"/>
        <v>#REF!</v>
      </c>
      <c r="BJ101" s="52" t="e">
        <f t="shared" si="187"/>
        <v>#REF!</v>
      </c>
      <c r="BK101" s="52" t="e">
        <f t="shared" si="187"/>
        <v>#REF!</v>
      </c>
      <c r="BL101" s="52" t="e">
        <f t="shared" si="187"/>
        <v>#REF!</v>
      </c>
      <c r="BM101" s="52" t="e">
        <f t="shared" si="187"/>
        <v>#REF!</v>
      </c>
      <c r="BN101" s="52" t="e">
        <f t="shared" si="187"/>
        <v>#REF!</v>
      </c>
      <c r="BO101" s="52" t="e">
        <f t="shared" si="187"/>
        <v>#REF!</v>
      </c>
      <c r="BP101" s="52" t="e">
        <f t="shared" si="187"/>
        <v>#REF!</v>
      </c>
      <c r="BQ101" s="52" t="e">
        <f t="shared" si="187"/>
        <v>#REF!</v>
      </c>
      <c r="BR101" s="52" t="e">
        <f t="shared" si="187"/>
        <v>#REF!</v>
      </c>
      <c r="BS101" s="52">
        <f t="shared" si="187"/>
        <v>-0.53784860557768921</v>
      </c>
      <c r="BT101" s="52">
        <f t="shared" si="187"/>
        <v>-0.22513089005235598</v>
      </c>
      <c r="BU101" s="52">
        <f t="shared" si="187"/>
        <v>-0.35555555555555551</v>
      </c>
      <c r="BV101" s="52">
        <f t="shared" si="187"/>
        <v>-0.7441860465116279</v>
      </c>
      <c r="BW101" s="52">
        <f t="shared" si="187"/>
        <v>-4.31034482758621E-2</v>
      </c>
      <c r="BX101" s="52">
        <f t="shared" si="187"/>
        <v>-3.3783783783783772E-2</v>
      </c>
      <c r="BY101" s="52">
        <f t="shared" si="187"/>
        <v>0.31034482758620685</v>
      </c>
      <c r="BZ101" s="52">
        <f t="shared" si="187"/>
        <v>0.39393939393939403</v>
      </c>
      <c r="CA101" s="52">
        <f t="shared" si="187"/>
        <v>0.31531531531531543</v>
      </c>
      <c r="CB101" s="52">
        <f t="shared" si="187"/>
        <v>0.35664335664335667</v>
      </c>
      <c r="CC101" s="52">
        <f t="shared" si="187"/>
        <v>6.5789473684210176E-3</v>
      </c>
      <c r="CD101" s="52">
        <f t="shared" si="187"/>
        <v>1.3695652173913042</v>
      </c>
      <c r="CE101" s="52">
        <f t="shared" si="187"/>
        <v>1.8013698630136985</v>
      </c>
      <c r="CF101" s="52">
        <f t="shared" si="187"/>
        <v>0.20618556701030921</v>
      </c>
      <c r="CG101" s="52">
        <f t="shared" si="187"/>
        <v>0.25490196078431371</v>
      </c>
      <c r="CH101" s="52">
        <f t="shared" si="187"/>
        <v>-0.51681957186544336</v>
      </c>
      <c r="CI101" s="52">
        <f t="shared" si="187"/>
        <v>-0.65770171149144252</v>
      </c>
      <c r="CJ101" s="52">
        <f t="shared" si="187"/>
        <v>-0.68803418803418803</v>
      </c>
      <c r="CK101" s="52">
        <f t="shared" si="187"/>
        <v>-0.5625</v>
      </c>
      <c r="CL101" s="52">
        <f t="shared" si="187"/>
        <v>-0.51265822784810133</v>
      </c>
      <c r="CM101" s="52">
        <f t="shared" si="187"/>
        <v>-0.52857142857142858</v>
      </c>
      <c r="CN101" s="52">
        <f t="shared" si="187"/>
        <v>0</v>
      </c>
      <c r="CO101" s="52">
        <f t="shared" si="187"/>
        <v>7.1428571428571397E-2</v>
      </c>
      <c r="CP101" s="52">
        <f t="shared" si="187"/>
        <v>1.298701298701288E-2</v>
      </c>
      <c r="CQ101" s="52">
        <f t="shared" si="187"/>
        <v>0.33333333333333326</v>
      </c>
      <c r="CR101" s="52">
        <f t="shared" si="187"/>
        <v>0.32876712328767121</v>
      </c>
      <c r="CS101" s="52">
        <f t="shared" si="187"/>
        <v>0.39999999999999991</v>
      </c>
      <c r="CT101" s="52">
        <f t="shared" si="187"/>
        <v>0.42307692307692313</v>
      </c>
      <c r="CU101" s="52">
        <f t="shared" si="187"/>
        <v>0.96590909090909083</v>
      </c>
      <c r="CV101" s="52">
        <f t="shared" si="187"/>
        <v>0.79381443298969079</v>
      </c>
      <c r="CW101" s="52">
        <f t="shared" si="187"/>
        <v>0.27777777777777768</v>
      </c>
      <c r="CX101" s="52">
        <f t="shared" si="187"/>
        <v>0.50081081081091039</v>
      </c>
      <c r="CY101" s="53">
        <f t="shared" si="187"/>
        <v>-3.7052023121323385E-2</v>
      </c>
      <c r="CZ101" s="53">
        <f t="shared" si="187"/>
        <v>-4.2586206896488177E-2</v>
      </c>
      <c r="DA101" s="53">
        <f t="shared" si="187"/>
        <v>3.4720496894478536E-2</v>
      </c>
      <c r="DB101" s="53">
        <f t="shared" si="187"/>
        <v>0</v>
      </c>
      <c r="DC101" s="53">
        <f t="shared" si="187"/>
        <v>0</v>
      </c>
      <c r="DD101" s="53">
        <f t="shared" si="187"/>
        <v>0</v>
      </c>
      <c r="DE101" s="53">
        <f t="shared" si="187"/>
        <v>0</v>
      </c>
      <c r="DF101" s="53">
        <f t="shared" si="187"/>
        <v>0</v>
      </c>
      <c r="DG101" s="53">
        <f t="shared" si="187"/>
        <v>0</v>
      </c>
      <c r="DH101" s="53">
        <f t="shared" si="187"/>
        <v>0</v>
      </c>
      <c r="DI101" s="53">
        <f t="shared" si="187"/>
        <v>0</v>
      </c>
      <c r="DJ101" s="53">
        <f t="shared" si="187"/>
        <v>0</v>
      </c>
      <c r="DK101" s="53">
        <f t="shared" si="187"/>
        <v>0</v>
      </c>
      <c r="DL101" s="53">
        <f t="shared" si="187"/>
        <v>0</v>
      </c>
      <c r="DM101" s="53">
        <f t="shared" si="187"/>
        <v>0</v>
      </c>
      <c r="DN101" s="53">
        <f t="shared" si="187"/>
        <v>0</v>
      </c>
      <c r="DO101" s="53">
        <f t="shared" si="187"/>
        <v>0</v>
      </c>
      <c r="DP101" s="53">
        <f t="shared" si="187"/>
        <v>0</v>
      </c>
      <c r="DQ101" s="53">
        <f t="shared" si="187"/>
        <v>0</v>
      </c>
      <c r="EC101" s="79"/>
      <c r="ED101" s="79"/>
      <c r="EE101" s="91"/>
      <c r="EF101" s="52">
        <f t="shared" ref="EF101:ET101" si="188">EF99/EE99-1</f>
        <v>-0.29398663697104677</v>
      </c>
      <c r="EG101" s="52" t="e">
        <f t="shared" si="188"/>
        <v>#REF!</v>
      </c>
      <c r="EH101" s="52" t="e">
        <f t="shared" si="188"/>
        <v>#REF!</v>
      </c>
      <c r="EI101" s="52" t="e">
        <f t="shared" si="188"/>
        <v>#REF!</v>
      </c>
      <c r="EJ101" s="52" t="e">
        <f t="shared" si="188"/>
        <v>#REF!</v>
      </c>
      <c r="EK101" s="52" t="e">
        <f t="shared" si="188"/>
        <v>#REF!</v>
      </c>
      <c r="EL101" s="52">
        <f t="shared" si="188"/>
        <v>-0.34159061277705349</v>
      </c>
      <c r="EM101" s="52">
        <f t="shared" si="188"/>
        <v>0.2495049504950495</v>
      </c>
      <c r="EN101" s="52">
        <f t="shared" si="188"/>
        <v>0.84152139461172748</v>
      </c>
      <c r="EO101" s="52">
        <f t="shared" si="188"/>
        <v>-0.60843373493975905</v>
      </c>
      <c r="EP101" s="52">
        <f t="shared" si="188"/>
        <v>-0.32747252747252742</v>
      </c>
      <c r="EQ101" s="52">
        <f t="shared" si="188"/>
        <v>0.2712418300653594</v>
      </c>
      <c r="ER101" s="52">
        <f t="shared" si="188"/>
        <v>0.59125964010282783</v>
      </c>
      <c r="ES101" s="65">
        <f t="shared" si="188"/>
        <v>7.6510500807825954E-2</v>
      </c>
      <c r="ET101" s="65">
        <f t="shared" si="188"/>
        <v>0</v>
      </c>
      <c r="EU101" s="65">
        <f>EU99/ET99-1</f>
        <v>0</v>
      </c>
      <c r="EV101" s="65">
        <f>EV99/EU99-1</f>
        <v>0</v>
      </c>
      <c r="EW101" s="65">
        <f>EW99/EV99-1</f>
        <v>0</v>
      </c>
    </row>
    <row r="102" spans="1:153" s="52" customFormat="1">
      <c r="A102" s="51" t="s">
        <v>258</v>
      </c>
      <c r="BB102" s="52" t="e">
        <f t="shared" ref="BB102:CO102" si="189">BB99/BB$119</f>
        <v>#REF!</v>
      </c>
      <c r="BC102" s="52" t="e">
        <f t="shared" si="189"/>
        <v>#REF!</v>
      </c>
      <c r="BD102" s="52" t="e">
        <f t="shared" si="189"/>
        <v>#REF!</v>
      </c>
      <c r="BE102" s="52" t="e">
        <f t="shared" si="189"/>
        <v>#REF!</v>
      </c>
      <c r="BF102" s="52" t="e">
        <f t="shared" si="189"/>
        <v>#REF!</v>
      </c>
      <c r="BG102" s="52" t="e">
        <f t="shared" si="189"/>
        <v>#REF!</v>
      </c>
      <c r="BH102" s="52" t="e">
        <f t="shared" si="189"/>
        <v>#REF!</v>
      </c>
      <c r="BI102" s="52" t="e">
        <f t="shared" si="189"/>
        <v>#REF!</v>
      </c>
      <c r="BJ102" s="52" t="e">
        <f t="shared" si="189"/>
        <v>#REF!</v>
      </c>
      <c r="BK102" s="52" t="e">
        <f t="shared" si="189"/>
        <v>#REF!</v>
      </c>
      <c r="BL102" s="52" t="e">
        <f t="shared" si="189"/>
        <v>#REF!</v>
      </c>
      <c r="BM102" s="52" t="e">
        <f t="shared" si="189"/>
        <v>#REF!</v>
      </c>
      <c r="BN102" s="52" t="e">
        <f t="shared" si="189"/>
        <v>#REF!</v>
      </c>
      <c r="BO102" s="52">
        <f t="shared" si="189"/>
        <v>0.11255605381165919</v>
      </c>
      <c r="BP102" s="52">
        <f t="shared" si="189"/>
        <v>7.2458270106221551E-2</v>
      </c>
      <c r="BQ102" s="52">
        <f t="shared" si="189"/>
        <v>6.1834421161113019E-2</v>
      </c>
      <c r="BR102" s="52">
        <f t="shared" si="189"/>
        <v>0.12067352666043031</v>
      </c>
      <c r="BS102" s="52">
        <f t="shared" si="189"/>
        <v>3.714377201408902E-2</v>
      </c>
      <c r="BT102" s="52">
        <f t="shared" si="189"/>
        <v>4.6526249607041811E-2</v>
      </c>
      <c r="BU102" s="52">
        <f t="shared" si="189"/>
        <v>5.2607709750566896E-2</v>
      </c>
      <c r="BV102" s="52">
        <f t="shared" si="189"/>
        <v>4.4594594594594597E-2</v>
      </c>
      <c r="BW102" s="52">
        <f t="shared" si="189"/>
        <v>4.3039937960449789E-2</v>
      </c>
      <c r="BX102" s="52">
        <f t="shared" si="189"/>
        <v>4.7445255474452552E-2</v>
      </c>
      <c r="BY102" s="52">
        <f t="shared" si="189"/>
        <v>4.8953301127214167E-2</v>
      </c>
      <c r="BZ102" s="52">
        <f t="shared" si="189"/>
        <v>4.4805194805194806E-2</v>
      </c>
      <c r="CA102" s="52">
        <f>CA99/CA$119</f>
        <v>3.7765131919296431E-2</v>
      </c>
      <c r="CB102" s="52">
        <f t="shared" si="189"/>
        <v>4.1049513330512058E-2</v>
      </c>
      <c r="CC102" s="52">
        <f t="shared" si="189"/>
        <v>3.0581651009394362E-2</v>
      </c>
      <c r="CD102" s="52">
        <f t="shared" si="189"/>
        <v>5.7763645998940114E-2</v>
      </c>
      <c r="CE102" s="52">
        <f t="shared" si="189"/>
        <v>6.2855386506838792E-2</v>
      </c>
      <c r="CF102" s="52">
        <f t="shared" si="189"/>
        <v>3.2943826552161055E-2</v>
      </c>
      <c r="CG102" s="52">
        <f t="shared" si="189"/>
        <v>2.5121025775219154E-2</v>
      </c>
      <c r="CH102" s="52">
        <f t="shared" si="189"/>
        <v>1.9063706563706564E-2</v>
      </c>
      <c r="CI102" s="52">
        <f t="shared" si="189"/>
        <v>2.0883054892601432E-2</v>
      </c>
      <c r="CJ102" s="52">
        <f t="shared" si="189"/>
        <v>1.2308211094250548E-2</v>
      </c>
      <c r="CK102" s="52">
        <f t="shared" si="189"/>
        <v>1.3882002974714923E-2</v>
      </c>
      <c r="CL102" s="52">
        <f t="shared" si="189"/>
        <v>1.0706340378197997E-2</v>
      </c>
      <c r="CM102" s="52">
        <f t="shared" si="189"/>
        <v>4.8863552232175905E-3</v>
      </c>
      <c r="CN102" s="52">
        <f t="shared" si="189"/>
        <v>4.0286975717439295E-3</v>
      </c>
      <c r="CO102" s="52">
        <f t="shared" si="189"/>
        <v>4.0718454508437765E-3</v>
      </c>
      <c r="CP102" s="52">
        <f>CP99/CP$119</f>
        <v>2.9949316541237904E-3</v>
      </c>
      <c r="CQ102" s="52">
        <f>CQ99/CQ$119</f>
        <v>2.9294274300932089E-3</v>
      </c>
      <c r="CR102" s="52">
        <f>CR99/CR$119</f>
        <v>2.7649506869619747E-3</v>
      </c>
      <c r="CS102" s="52">
        <f>CS99/CS$119</f>
        <v>3.2035798733823194E-3</v>
      </c>
      <c r="CT102" s="52">
        <f>CT99/CT$119</f>
        <v>2.5191775225818164E-3</v>
      </c>
      <c r="CU102" s="52">
        <f t="shared" ref="CU102:DQ102" si="190">CU99/CU$119</f>
        <v>3.7010889331022829E-3</v>
      </c>
      <c r="CV102" s="52">
        <f>CV99/CV$119</f>
        <v>3.0523102831280916E-3</v>
      </c>
      <c r="CW102" s="52">
        <f>CW99/CW$119</f>
        <v>2.3632333729651975E-3</v>
      </c>
      <c r="CX102" s="52">
        <f t="shared" si="190"/>
        <v>2.0411689027753609E-3</v>
      </c>
      <c r="CY102" s="53">
        <f t="shared" si="190"/>
        <v>1.7903336397006074E-3</v>
      </c>
      <c r="CZ102" s="53">
        <f t="shared" si="190"/>
        <v>1.5054575076879591E-3</v>
      </c>
      <c r="DA102" s="53">
        <f t="shared" si="190"/>
        <v>1.327072393760575E-3</v>
      </c>
      <c r="DB102" s="53">
        <f t="shared" si="190"/>
        <v>1.215526614851114E-3</v>
      </c>
      <c r="DC102" s="53">
        <f t="shared" si="190"/>
        <v>1.107214418932736E-3</v>
      </c>
      <c r="DD102" s="53">
        <f t="shared" si="190"/>
        <v>9.904683132385887E-4</v>
      </c>
      <c r="DE102" s="53">
        <f t="shared" si="190"/>
        <v>9.2851092906075835E-4</v>
      </c>
      <c r="DF102" s="53">
        <f t="shared" si="190"/>
        <v>9.0504499715178804E-4</v>
      </c>
      <c r="DG102" s="53">
        <f t="shared" si="190"/>
        <v>8.7797453429952759E-4</v>
      </c>
      <c r="DH102" s="53">
        <f t="shared" si="190"/>
        <v>8.2048863666401347E-4</v>
      </c>
      <c r="DI102" s="53">
        <f t="shared" si="190"/>
        <v>7.8147569277286122E-4</v>
      </c>
      <c r="DJ102" s="53">
        <f t="shared" si="190"/>
        <v>7.7594246344500476E-4</v>
      </c>
      <c r="DK102" s="53">
        <f t="shared" si="190"/>
        <v>7.6714651409749278E-4</v>
      </c>
      <c r="DL102" s="53">
        <f t="shared" si="190"/>
        <v>7.4367998995775728E-4</v>
      </c>
      <c r="DM102" s="53">
        <f t="shared" si="190"/>
        <v>7.2823977755708349E-4</v>
      </c>
      <c r="DN102" s="53">
        <f t="shared" si="190"/>
        <v>7.1626514084829115E-4</v>
      </c>
      <c r="DO102" s="53">
        <f t="shared" si="190"/>
        <v>6.9493093489051685E-4</v>
      </c>
      <c r="DP102" s="53">
        <f t="shared" si="190"/>
        <v>6.5539629343885355E-4</v>
      </c>
      <c r="DQ102" s="53">
        <f t="shared" si="190"/>
        <v>6.2996687555493902E-4</v>
      </c>
      <c r="EC102" s="79"/>
      <c r="ED102" s="79"/>
      <c r="EE102" s="62">
        <f t="shared" ref="EE102:EW102" si="191">EE99/EE$119</f>
        <v>0.41962616822429905</v>
      </c>
      <c r="EF102" s="62">
        <f t="shared" si="191"/>
        <v>0.30702179176755445</v>
      </c>
      <c r="EG102" s="62" t="e">
        <f t="shared" si="191"/>
        <v>#REF!</v>
      </c>
      <c r="EH102" s="62" t="e">
        <f t="shared" si="191"/>
        <v>#REF!</v>
      </c>
      <c r="EI102" s="62" t="e">
        <f t="shared" si="191"/>
        <v>#REF!</v>
      </c>
      <c r="EJ102" s="62" t="e">
        <f t="shared" si="191"/>
        <v>#REF!</v>
      </c>
      <c r="EK102" s="62">
        <f t="shared" si="191"/>
        <v>6.5466029361556849E-2</v>
      </c>
      <c r="EL102" s="62">
        <f t="shared" si="191"/>
        <v>4.6253892654332295E-2</v>
      </c>
      <c r="EM102" s="62">
        <f>EM99/EM$119</f>
        <v>4.2003708819650404E-2</v>
      </c>
      <c r="EN102" s="60">
        <f t="shared" si="191"/>
        <v>4.3174555993163409E-2</v>
      </c>
      <c r="EO102" s="60">
        <f t="shared" si="191"/>
        <v>1.6868095202787869E-2</v>
      </c>
      <c r="EP102" s="60">
        <f t="shared" si="191"/>
        <v>5.0228160598798461E-3</v>
      </c>
      <c r="EQ102" s="60">
        <f t="shared" si="191"/>
        <v>2.9809114385771322E-3</v>
      </c>
      <c r="ER102" s="60">
        <f t="shared" si="191"/>
        <v>2.8665635506487973E-3</v>
      </c>
      <c r="ES102" s="61">
        <f t="shared" si="191"/>
        <v>1.6218898270817287E-3</v>
      </c>
      <c r="ET102" s="61">
        <f t="shared" si="191"/>
        <v>1.049187818467557E-3</v>
      </c>
      <c r="EU102" s="61">
        <f t="shared" si="191"/>
        <v>8.4346921641060982E-4</v>
      </c>
      <c r="EV102" s="61">
        <f t="shared" si="191"/>
        <v>7.5327782279526086E-4</v>
      </c>
      <c r="EW102" s="61">
        <f t="shared" si="191"/>
        <v>6.7246076531253063E-4</v>
      </c>
    </row>
    <row r="103" spans="1:153" s="49" customFormat="1" hidden="1" outlineLevel="1">
      <c r="A103" s="81" t="s">
        <v>266</v>
      </c>
      <c r="B103" s="82"/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3">
        <v>181.82250625</v>
      </c>
      <c r="BC103" s="83">
        <v>170.214811575</v>
      </c>
      <c r="BD103" s="83">
        <v>168.17775605999998</v>
      </c>
      <c r="BE103" s="83">
        <v>149.23465897935</v>
      </c>
      <c r="BF103" s="83">
        <v>84.949943220568514</v>
      </c>
      <c r="BG103" s="83">
        <v>50.035314856437751</v>
      </c>
      <c r="BH103" s="83">
        <v>76.732375086848691</v>
      </c>
      <c r="BI103" s="83">
        <v>67.973596697492042</v>
      </c>
      <c r="BJ103" s="83">
        <v>59.954454532421643</v>
      </c>
      <c r="BK103" s="83">
        <v>79.628186694000263</v>
      </c>
      <c r="BL103" s="83">
        <v>95.224245816133617</v>
      </c>
      <c r="BM103" s="83">
        <v>79.039500881909447</v>
      </c>
      <c r="BN103" s="83">
        <v>77.498913756200054</v>
      </c>
      <c r="BO103" s="83">
        <v>73.590911088630847</v>
      </c>
      <c r="BP103" s="83">
        <v>116.4690429822441</v>
      </c>
      <c r="BQ103" s="83">
        <v>112.05944110235518</v>
      </c>
      <c r="BR103" s="83">
        <v>70.80804444087417</v>
      </c>
      <c r="BS103" s="83">
        <v>70.977497979903418</v>
      </c>
      <c r="BT103" s="83">
        <v>122.55360043692733</v>
      </c>
      <c r="BU103" s="83">
        <v>85.304377630548231</v>
      </c>
      <c r="BV103" s="83">
        <v>93.315625094273713</v>
      </c>
      <c r="BW103" s="83">
        <v>58.971417792370993</v>
      </c>
      <c r="BX103" s="83">
        <v>46.914289444409491</v>
      </c>
      <c r="BY103" s="83">
        <v>19.792710690987231</v>
      </c>
      <c r="BZ103" s="83">
        <f>+BZ99-BZ111</f>
        <v>88</v>
      </c>
      <c r="CA103" s="83">
        <f>+CA99-CA111</f>
        <v>106</v>
      </c>
      <c r="CB103" s="83">
        <f>+CB99-CB111</f>
        <v>154</v>
      </c>
      <c r="CC103" s="83">
        <f>+CC99-CC111</f>
        <v>113</v>
      </c>
      <c r="CD103" s="83">
        <f t="shared" ref="CD103:CI103" si="192">+CD99-CD111-CD107</f>
        <v>132</v>
      </c>
      <c r="CE103" s="83">
        <f t="shared" si="192"/>
        <v>103</v>
      </c>
      <c r="CF103" s="83">
        <f t="shared" si="192"/>
        <v>89</v>
      </c>
      <c r="CG103" s="83">
        <f t="shared" si="192"/>
        <v>128</v>
      </c>
      <c r="CH103" s="83">
        <f t="shared" si="192"/>
        <v>113</v>
      </c>
      <c r="CI103" s="83">
        <f t="shared" si="192"/>
        <v>95</v>
      </c>
      <c r="CJ103" s="83">
        <f>+CJ99-CJ111-CJ107</f>
        <v>53</v>
      </c>
      <c r="CK103" s="83">
        <f>+CK99-CK111-CK107</f>
        <v>64</v>
      </c>
      <c r="CL103" s="83">
        <f>+CL99-CL111-CL107</f>
        <v>57</v>
      </c>
      <c r="CM103" s="83">
        <f t="shared" ref="CM103:DQ103" si="193">+CL103*(1+CM104)</f>
        <v>45.6</v>
      </c>
      <c r="CN103" s="83">
        <f t="shared" si="193"/>
        <v>53.351999999999997</v>
      </c>
      <c r="CO103" s="83">
        <f t="shared" si="193"/>
        <v>53.351999999999997</v>
      </c>
      <c r="CP103" s="83">
        <f t="shared" si="193"/>
        <v>53.351999999999997</v>
      </c>
      <c r="CQ103" s="83">
        <f t="shared" si="193"/>
        <v>58.687200000000004</v>
      </c>
      <c r="CR103" s="83">
        <f>CR99-CR111</f>
        <v>77</v>
      </c>
      <c r="CS103" s="83">
        <f>CS99-CS111</f>
        <v>106</v>
      </c>
      <c r="CT103" s="83">
        <f>CT99-CT111</f>
        <v>91</v>
      </c>
      <c r="CU103" s="84">
        <f t="shared" si="193"/>
        <v>97.37</v>
      </c>
      <c r="CV103" s="84">
        <f t="shared" si="193"/>
        <v>107.10700000000001</v>
      </c>
      <c r="CW103" s="84">
        <f t="shared" si="193"/>
        <v>106.03593000000001</v>
      </c>
      <c r="CX103" s="84">
        <f t="shared" si="193"/>
        <v>103.9152114</v>
      </c>
      <c r="CY103" s="84">
        <f t="shared" si="193"/>
        <v>114.30673254000001</v>
      </c>
      <c r="CZ103" s="84">
        <f t="shared" si="193"/>
        <v>128.02354044480003</v>
      </c>
      <c r="DA103" s="84">
        <f t="shared" si="193"/>
        <v>126.74330504035203</v>
      </c>
      <c r="DB103" s="84">
        <f t="shared" si="193"/>
        <v>124.20843893954499</v>
      </c>
      <c r="DC103" s="84">
        <f t="shared" si="193"/>
        <v>136.6292828334995</v>
      </c>
      <c r="DD103" s="84">
        <f t="shared" si="193"/>
        <v>153.02479677351945</v>
      </c>
      <c r="DE103" s="84">
        <f t="shared" si="193"/>
        <v>151.49454880578426</v>
      </c>
      <c r="DF103" s="84">
        <f t="shared" si="193"/>
        <v>148.46465782966857</v>
      </c>
      <c r="DG103" s="84">
        <f t="shared" si="193"/>
        <v>163.31112361263544</v>
      </c>
      <c r="DH103" s="84">
        <f t="shared" si="193"/>
        <v>182.90845844615171</v>
      </c>
      <c r="DI103" s="84">
        <f t="shared" si="193"/>
        <v>181.07937386169019</v>
      </c>
      <c r="DJ103" s="84">
        <f t="shared" si="193"/>
        <v>177.45778638445637</v>
      </c>
      <c r="DK103" s="84">
        <f t="shared" si="193"/>
        <v>195.20356502290201</v>
      </c>
      <c r="DL103" s="84">
        <f t="shared" si="193"/>
        <v>218.62799282565027</v>
      </c>
      <c r="DM103" s="84">
        <f t="shared" si="193"/>
        <v>216.44171289739376</v>
      </c>
      <c r="DN103" s="84">
        <f t="shared" si="193"/>
        <v>212.11287863944588</v>
      </c>
      <c r="DO103" s="84">
        <f t="shared" si="193"/>
        <v>233.3241665033905</v>
      </c>
      <c r="DP103" s="84">
        <f t="shared" si="193"/>
        <v>261.32306648379739</v>
      </c>
      <c r="DQ103" s="84">
        <f t="shared" si="193"/>
        <v>258.70983581895939</v>
      </c>
      <c r="DT103" s="85"/>
      <c r="DU103" s="85"/>
      <c r="DV103" s="85"/>
      <c r="DW103" s="85"/>
      <c r="DX103" s="85"/>
      <c r="DY103" s="85"/>
      <c r="DZ103" s="85"/>
      <c r="EA103" s="85"/>
      <c r="EB103" s="85"/>
      <c r="EC103" s="85"/>
      <c r="ED103" s="85"/>
      <c r="EE103" s="85"/>
      <c r="EF103" s="85"/>
      <c r="EG103" s="85"/>
      <c r="EH103" s="85"/>
      <c r="EI103" s="85"/>
      <c r="EJ103" s="85">
        <f>SUM(BN103:BQ103)</f>
        <v>379.61830892943021</v>
      </c>
      <c r="EK103" s="85">
        <f>SUM(BR103:BU103)</f>
        <v>349.64352048825316</v>
      </c>
      <c r="EL103" s="85">
        <f>BV103+BW103+BX103+BY103</f>
        <v>218.99404302204144</v>
      </c>
      <c r="EM103" s="86">
        <f>SUM(BZ103:CC103)</f>
        <v>461</v>
      </c>
      <c r="EN103" s="86">
        <f>+CD103+CE103+CF103+CG103</f>
        <v>452</v>
      </c>
      <c r="EO103" s="86">
        <f>SUM(CH103:CK103)</f>
        <v>325</v>
      </c>
      <c r="EP103" s="86">
        <f>SUM(CL103:CO103)</f>
        <v>209.304</v>
      </c>
      <c r="EQ103" s="86">
        <f>SUM(CP103:CS103)</f>
        <v>295.03919999999999</v>
      </c>
      <c r="ER103" s="86">
        <f>SUM(CT103:CW103)</f>
        <v>401.51293000000004</v>
      </c>
      <c r="ES103" s="95">
        <f>SUM(CU103:CX103)</f>
        <v>414.42814140000007</v>
      </c>
      <c r="ET103" s="78">
        <f>SUM(DB103:DE103)</f>
        <v>565.35706735234817</v>
      </c>
      <c r="EU103" s="78">
        <f>SUM(DC103:DF103)</f>
        <v>589.61328624247176</v>
      </c>
      <c r="EV103" s="78">
        <f>SUM(DD103:DG103)</f>
        <v>616.29512702160775</v>
      </c>
      <c r="EW103" s="78">
        <f>SUM(DE103:DH103)</f>
        <v>646.17878869423998</v>
      </c>
    </row>
    <row r="104" spans="1:153" s="52" customFormat="1" hidden="1" outlineLevel="1">
      <c r="A104" s="58" t="s">
        <v>223</v>
      </c>
      <c r="BO104" s="52">
        <f t="shared" ref="BO104:CL104" si="194">BO103/BN103-1</f>
        <v>-5.0426547652825171E-2</v>
      </c>
      <c r="BP104" s="52">
        <f t="shared" si="194"/>
        <v>0.58265526624574648</v>
      </c>
      <c r="BQ104" s="52">
        <f t="shared" si="194"/>
        <v>-3.7860720471114218E-2</v>
      </c>
      <c r="BR104" s="52">
        <f t="shared" si="194"/>
        <v>-0.36812067109813584</v>
      </c>
      <c r="BS104" s="52">
        <f t="shared" si="194"/>
        <v>2.3931396547851591E-3</v>
      </c>
      <c r="BT104" s="52">
        <f t="shared" si="194"/>
        <v>0.72665427670650184</v>
      </c>
      <c r="BU104" s="52">
        <f t="shared" si="194"/>
        <v>-0.30394229686911201</v>
      </c>
      <c r="BV104" s="52">
        <f t="shared" si="194"/>
        <v>9.3913673439152801E-2</v>
      </c>
      <c r="BW104" s="52">
        <f t="shared" si="194"/>
        <v>-0.36804347896942124</v>
      </c>
      <c r="BX104" s="52">
        <f t="shared" si="194"/>
        <v>-0.20445715567519063</v>
      </c>
      <c r="BY104" s="52">
        <f t="shared" si="194"/>
        <v>-0.57810912356585176</v>
      </c>
      <c r="BZ104" s="52">
        <f t="shared" si="194"/>
        <v>3.4460812555640246</v>
      </c>
      <c r="CA104" s="52">
        <f t="shared" si="194"/>
        <v>0.20454545454545459</v>
      </c>
      <c r="CB104" s="52">
        <f t="shared" si="194"/>
        <v>0.45283018867924518</v>
      </c>
      <c r="CC104" s="52">
        <f t="shared" si="194"/>
        <v>-0.26623376623376627</v>
      </c>
      <c r="CD104" s="52">
        <f t="shared" si="194"/>
        <v>0.16814159292035402</v>
      </c>
      <c r="CE104" s="52">
        <f t="shared" si="194"/>
        <v>-0.21969696969696972</v>
      </c>
      <c r="CF104" s="52">
        <f t="shared" si="194"/>
        <v>-0.13592233009708743</v>
      </c>
      <c r="CG104" s="52">
        <f t="shared" si="194"/>
        <v>0.4382022471910112</v>
      </c>
      <c r="CH104" s="52">
        <f t="shared" si="194"/>
        <v>-0.1171875</v>
      </c>
      <c r="CI104" s="52">
        <f t="shared" si="194"/>
        <v>-0.15929203539823011</v>
      </c>
      <c r="CJ104" s="52">
        <f t="shared" si="194"/>
        <v>-0.44210526315789478</v>
      </c>
      <c r="CK104" s="52">
        <f t="shared" si="194"/>
        <v>0.20754716981132071</v>
      </c>
      <c r="CL104" s="52">
        <f t="shared" si="194"/>
        <v>-0.109375</v>
      </c>
      <c r="CM104" s="52">
        <v>-0.2</v>
      </c>
      <c r="CN104" s="52">
        <v>0.17</v>
      </c>
      <c r="CO104" s="52">
        <v>0</v>
      </c>
      <c r="CP104" s="52">
        <v>0</v>
      </c>
      <c r="CQ104" s="52">
        <v>0.1</v>
      </c>
      <c r="CR104" s="52">
        <f>CR103/CQ103-1</f>
        <v>0.31204078572499605</v>
      </c>
      <c r="CS104" s="52">
        <f>CS103/CR103-1</f>
        <v>0.37662337662337664</v>
      </c>
      <c r="CT104" s="52">
        <f>CT103/CS103-1</f>
        <v>-0.14150943396226412</v>
      </c>
      <c r="CU104" s="53">
        <v>7.0000000000000007E-2</v>
      </c>
      <c r="CV104" s="53">
        <v>0.1</v>
      </c>
      <c r="CW104" s="53">
        <v>-0.01</v>
      </c>
      <c r="CX104" s="53">
        <v>-0.02</v>
      </c>
      <c r="CY104" s="53">
        <v>0.1</v>
      </c>
      <c r="CZ104" s="53">
        <v>0.12</v>
      </c>
      <c r="DA104" s="53">
        <v>-0.01</v>
      </c>
      <c r="DB104" s="53">
        <v>-0.02</v>
      </c>
      <c r="DC104" s="53">
        <v>0.1</v>
      </c>
      <c r="DD104" s="53">
        <v>0.12</v>
      </c>
      <c r="DE104" s="53">
        <v>-0.01</v>
      </c>
      <c r="DF104" s="53">
        <v>-0.02</v>
      </c>
      <c r="DG104" s="53">
        <v>0.1</v>
      </c>
      <c r="DH104" s="53">
        <v>0.12</v>
      </c>
      <c r="DI104" s="53">
        <v>-0.01</v>
      </c>
      <c r="DJ104" s="53">
        <v>-0.02</v>
      </c>
      <c r="DK104" s="53">
        <v>0.1</v>
      </c>
      <c r="DL104" s="53">
        <v>0.12</v>
      </c>
      <c r="DM104" s="53">
        <v>-0.01</v>
      </c>
      <c r="DN104" s="53">
        <v>-0.02</v>
      </c>
      <c r="DO104" s="53">
        <v>0.1</v>
      </c>
      <c r="DP104" s="53">
        <v>0.12</v>
      </c>
      <c r="DQ104" s="53">
        <v>-0.01</v>
      </c>
      <c r="DT104" s="54" t="s">
        <v>224</v>
      </c>
      <c r="DU104" s="54" t="s">
        <v>224</v>
      </c>
      <c r="DV104" s="54" t="s">
        <v>224</v>
      </c>
      <c r="DW104" s="54" t="s">
        <v>224</v>
      </c>
      <c r="DX104" s="54" t="s">
        <v>224</v>
      </c>
      <c r="DY104" s="54" t="s">
        <v>224</v>
      </c>
      <c r="DZ104" s="54" t="s">
        <v>224</v>
      </c>
      <c r="EA104" s="54" t="s">
        <v>224</v>
      </c>
      <c r="EB104" s="54" t="s">
        <v>224</v>
      </c>
      <c r="EC104" s="54" t="s">
        <v>224</v>
      </c>
      <c r="ED104" s="54" t="s">
        <v>224</v>
      </c>
      <c r="EE104" s="54" t="s">
        <v>224</v>
      </c>
      <c r="EF104" s="54" t="s">
        <v>224</v>
      </c>
      <c r="EG104" s="54" t="s">
        <v>224</v>
      </c>
      <c r="EH104" s="54" t="s">
        <v>224</v>
      </c>
      <c r="EI104" s="54" t="s">
        <v>224</v>
      </c>
      <c r="EJ104" s="54" t="s">
        <v>224</v>
      </c>
      <c r="EK104" s="54" t="s">
        <v>224</v>
      </c>
      <c r="EL104" s="54" t="s">
        <v>224</v>
      </c>
      <c r="EM104" s="54" t="s">
        <v>224</v>
      </c>
      <c r="EN104" s="54" t="s">
        <v>224</v>
      </c>
      <c r="EO104" s="54" t="s">
        <v>224</v>
      </c>
      <c r="EP104" s="54" t="s">
        <v>224</v>
      </c>
      <c r="EQ104" s="54" t="s">
        <v>224</v>
      </c>
      <c r="ER104" s="54" t="s">
        <v>224</v>
      </c>
      <c r="ES104" s="55" t="s">
        <v>224</v>
      </c>
      <c r="ET104" s="55" t="s">
        <v>224</v>
      </c>
      <c r="EU104" s="55" t="s">
        <v>224</v>
      </c>
      <c r="EV104" s="55" t="s">
        <v>224</v>
      </c>
      <c r="EW104" s="55" t="s">
        <v>224</v>
      </c>
    </row>
    <row r="105" spans="1:153" s="52" customFormat="1" hidden="1" outlineLevel="1">
      <c r="A105" s="58" t="s">
        <v>225</v>
      </c>
      <c r="BR105" s="52">
        <f t="shared" ref="BR105:CL105" si="195">BR103/BN103-1</f>
        <v>-8.6335007692809107E-2</v>
      </c>
      <c r="BS105" s="52">
        <f t="shared" si="195"/>
        <v>-3.5512715769749126E-2</v>
      </c>
      <c r="BT105" s="52">
        <f t="shared" si="195"/>
        <v>5.2241842972907682E-2</v>
      </c>
      <c r="BU105" s="52">
        <f t="shared" si="195"/>
        <v>-0.23875778076894794</v>
      </c>
      <c r="BV105" s="52">
        <f t="shared" si="195"/>
        <v>0.3178675647820457</v>
      </c>
      <c r="BW105" s="52">
        <f t="shared" si="195"/>
        <v>-0.16915333069266303</v>
      </c>
      <c r="BX105" s="52">
        <f t="shared" si="195"/>
        <v>-0.61719370726644529</v>
      </c>
      <c r="BY105" s="52">
        <f t="shared" si="195"/>
        <v>-0.76797543993921258</v>
      </c>
      <c r="BZ105" s="52">
        <f t="shared" si="195"/>
        <v>-5.6963933841771008E-2</v>
      </c>
      <c r="CA105" s="52">
        <f t="shared" si="195"/>
        <v>0.7974809487065273</v>
      </c>
      <c r="CB105" s="52">
        <f t="shared" si="195"/>
        <v>2.2825819558128533</v>
      </c>
      <c r="CC105" s="52">
        <f t="shared" si="195"/>
        <v>4.7091725213492586</v>
      </c>
      <c r="CD105" s="52">
        <f t="shared" si="195"/>
        <v>0.5</v>
      </c>
      <c r="CE105" s="52">
        <f t="shared" si="195"/>
        <v>-2.8301886792452824E-2</v>
      </c>
      <c r="CF105" s="52">
        <f t="shared" si="195"/>
        <v>-0.42207792207792205</v>
      </c>
      <c r="CG105" s="52">
        <f t="shared" si="195"/>
        <v>0.13274336283185839</v>
      </c>
      <c r="CH105" s="52">
        <f t="shared" si="195"/>
        <v>-0.14393939393939392</v>
      </c>
      <c r="CI105" s="52">
        <f t="shared" si="195"/>
        <v>-7.7669902912621325E-2</v>
      </c>
      <c r="CJ105" s="52">
        <f t="shared" si="195"/>
        <v>-0.4044943820224719</v>
      </c>
      <c r="CK105" s="52">
        <f t="shared" si="195"/>
        <v>-0.5</v>
      </c>
      <c r="CL105" s="52">
        <f t="shared" si="195"/>
        <v>-0.49557522123893805</v>
      </c>
      <c r="CM105" s="52">
        <f>CM103/CI103-1</f>
        <v>-0.52</v>
      </c>
      <c r="CN105" s="52">
        <f>CN103/CJ103-1</f>
        <v>6.6415094339622449E-3</v>
      </c>
      <c r="CO105" s="52">
        <f>CO103/CK103-1</f>
        <v>-0.16637500000000005</v>
      </c>
      <c r="CP105" s="52">
        <f>CP103/CL103-1</f>
        <v>-6.4000000000000057E-2</v>
      </c>
      <c r="CQ105" s="52">
        <f t="shared" ref="CQ105:DQ105" si="196">CQ103/CM103-1</f>
        <v>0.28700000000000014</v>
      </c>
      <c r="CR105" s="52">
        <f t="shared" si="196"/>
        <v>0.44324486429749599</v>
      </c>
      <c r="CS105" s="52">
        <f t="shared" si="196"/>
        <v>0.98680461838356592</v>
      </c>
      <c r="CT105" s="52">
        <f t="shared" si="196"/>
        <v>0.7056530214424952</v>
      </c>
      <c r="CU105" s="53">
        <f t="shared" si="196"/>
        <v>0.65913521176679057</v>
      </c>
      <c r="CV105" s="53">
        <f t="shared" si="196"/>
        <v>0.39100000000000024</v>
      </c>
      <c r="CW105" s="53">
        <f t="shared" si="196"/>
        <v>3.3896226415097708E-4</v>
      </c>
      <c r="CX105" s="53">
        <f t="shared" si="196"/>
        <v>0.14192540000000009</v>
      </c>
      <c r="CY105" s="53">
        <f t="shared" si="196"/>
        <v>0.17394200000000004</v>
      </c>
      <c r="CZ105" s="53">
        <f t="shared" si="196"/>
        <v>0.19528640000000008</v>
      </c>
      <c r="DA105" s="53">
        <f t="shared" si="196"/>
        <v>0.19528640000000008</v>
      </c>
      <c r="DB105" s="53">
        <f t="shared" si="196"/>
        <v>0.1952864000000003</v>
      </c>
      <c r="DC105" s="53">
        <f t="shared" si="196"/>
        <v>0.1952864000000003</v>
      </c>
      <c r="DD105" s="53">
        <f t="shared" si="196"/>
        <v>0.19528640000000008</v>
      </c>
      <c r="DE105" s="53">
        <f t="shared" si="196"/>
        <v>0.1952864000000003</v>
      </c>
      <c r="DF105" s="53">
        <f t="shared" si="196"/>
        <v>0.19528640000000008</v>
      </c>
      <c r="DG105" s="53">
        <f t="shared" si="196"/>
        <v>0.19528640000000008</v>
      </c>
      <c r="DH105" s="53">
        <f t="shared" si="196"/>
        <v>0.19528640000000008</v>
      </c>
      <c r="DI105" s="53">
        <f t="shared" si="196"/>
        <v>0.19528640000000008</v>
      </c>
      <c r="DJ105" s="53">
        <f t="shared" si="196"/>
        <v>0.19528640000000008</v>
      </c>
      <c r="DK105" s="53">
        <f t="shared" si="196"/>
        <v>0.19528640000000008</v>
      </c>
      <c r="DL105" s="53">
        <f t="shared" si="196"/>
        <v>0.19528639999999986</v>
      </c>
      <c r="DM105" s="53">
        <f t="shared" si="196"/>
        <v>0.19528640000000008</v>
      </c>
      <c r="DN105" s="53">
        <f t="shared" si="196"/>
        <v>0.19528640000000008</v>
      </c>
      <c r="DO105" s="53">
        <f t="shared" si="196"/>
        <v>0.19528640000000008</v>
      </c>
      <c r="DP105" s="53">
        <f t="shared" si="196"/>
        <v>0.1952864000000003</v>
      </c>
      <c r="DQ105" s="53">
        <f t="shared" si="196"/>
        <v>0.19528640000000008</v>
      </c>
      <c r="DT105" s="87"/>
      <c r="EC105" s="79"/>
      <c r="ED105" s="79"/>
      <c r="EE105" s="658"/>
      <c r="EF105" s="658"/>
      <c r="EG105" s="62"/>
      <c r="EH105" s="62"/>
      <c r="EI105" s="62"/>
      <c r="EJ105" s="62"/>
      <c r="EK105" s="62">
        <f t="shared" ref="EK105:ET105" si="197">EK103/EJ103-1</f>
        <v>-7.8960333935709226E-2</v>
      </c>
      <c r="EL105" s="62">
        <f t="shared" si="197"/>
        <v>-0.37366480375145716</v>
      </c>
      <c r="EM105" s="62">
        <f t="shared" si="197"/>
        <v>1.1050800909392819</v>
      </c>
      <c r="EN105" s="52">
        <f t="shared" si="197"/>
        <v>-1.9522776572668099E-2</v>
      </c>
      <c r="EO105" s="52">
        <f t="shared" si="197"/>
        <v>-0.28097345132743368</v>
      </c>
      <c r="EP105" s="52">
        <f t="shared" si="197"/>
        <v>-0.35598769230769234</v>
      </c>
      <c r="EQ105" s="52">
        <f t="shared" si="197"/>
        <v>0.40962045636968236</v>
      </c>
      <c r="ER105" s="52">
        <f t="shared" si="197"/>
        <v>0.36087994408878554</v>
      </c>
      <c r="ES105" s="65">
        <f t="shared" si="197"/>
        <v>3.2166364854053553E-2</v>
      </c>
      <c r="ET105" s="65">
        <f t="shared" si="197"/>
        <v>0.36418599722134615</v>
      </c>
      <c r="EU105" s="65">
        <f>EU103/ET103-1</f>
        <v>4.2904246344207086E-2</v>
      </c>
      <c r="EV105" s="65">
        <f>EV103/EU103-1</f>
        <v>4.5253119971525591E-2</v>
      </c>
      <c r="EW105" s="65">
        <f>EW103/EV103-1</f>
        <v>4.848920648951438E-2</v>
      </c>
    </row>
    <row r="106" spans="1:153" s="52" customFormat="1" hidden="1" outlineLevel="1">
      <c r="A106" s="58" t="s">
        <v>258</v>
      </c>
      <c r="BN106" s="52" t="e">
        <f t="shared" ref="BN106:CH106" si="198">BN103/BN$119</f>
        <v>#REF!</v>
      </c>
      <c r="BO106" s="52">
        <f t="shared" si="198"/>
        <v>3.3000408559924144E-2</v>
      </c>
      <c r="BP106" s="52">
        <f t="shared" si="198"/>
        <v>4.4184007201154819E-2</v>
      </c>
      <c r="BQ106" s="52">
        <f t="shared" si="198"/>
        <v>3.8495170423344272E-2</v>
      </c>
      <c r="BR106" s="52">
        <f t="shared" si="198"/>
        <v>2.2079215603640213E-2</v>
      </c>
      <c r="BS106" s="52">
        <f t="shared" si="198"/>
        <v>2.2727344854275831E-2</v>
      </c>
      <c r="BT106" s="52">
        <f t="shared" si="198"/>
        <v>3.8526752730879382E-2</v>
      </c>
      <c r="BU106" s="52">
        <f t="shared" si="198"/>
        <v>3.8686792576212346E-2</v>
      </c>
      <c r="BV106" s="52">
        <f t="shared" si="198"/>
        <v>4.2034065357780953E-2</v>
      </c>
      <c r="BW106" s="52">
        <f t="shared" si="198"/>
        <v>2.2866001470481193E-2</v>
      </c>
      <c r="BX106" s="52">
        <f t="shared" si="198"/>
        <v>1.556545767896798E-2</v>
      </c>
      <c r="BY106" s="52">
        <f t="shared" si="198"/>
        <v>6.374463990656113E-3</v>
      </c>
      <c r="BZ106" s="52">
        <f t="shared" si="198"/>
        <v>2.8571428571428571E-2</v>
      </c>
      <c r="CA106" s="52">
        <f t="shared" si="198"/>
        <v>2.7418520434557683E-2</v>
      </c>
      <c r="CB106" s="52">
        <f t="shared" si="198"/>
        <v>3.2585696148963179E-2</v>
      </c>
      <c r="CC106" s="52">
        <f t="shared" si="198"/>
        <v>2.2586448131121328E-2</v>
      </c>
      <c r="CD106" s="52">
        <f t="shared" si="198"/>
        <v>2.3317435082140965E-2</v>
      </c>
      <c r="CE106" s="52">
        <f t="shared" si="198"/>
        <v>1.582910711541417E-2</v>
      </c>
      <c r="CF106" s="52">
        <f t="shared" si="198"/>
        <v>1.2529916936505701E-2</v>
      </c>
      <c r="CG106" s="52">
        <f t="shared" si="198"/>
        <v>1.6747350516812771E-2</v>
      </c>
      <c r="CH106" s="52">
        <f t="shared" si="198"/>
        <v>1.3634169884169885E-2</v>
      </c>
      <c r="CI106" s="52">
        <f>CI103/CI$119</f>
        <v>1.4170644391408114E-2</v>
      </c>
      <c r="CJ106" s="52">
        <f>CJ103/CJ$119</f>
        <v>8.9360984656887531E-3</v>
      </c>
      <c r="CK106" s="52">
        <f>CK103/CK$119</f>
        <v>1.057676417121137E-2</v>
      </c>
      <c r="CL106" s="52">
        <f>CL103/CL$119</f>
        <v>7.9254727474972197E-3</v>
      </c>
      <c r="CM106" s="52">
        <f t="shared" ref="CM106:CR106" si="199">CM103/CM$119</f>
        <v>3.3760272451321539E-3</v>
      </c>
      <c r="CN106" s="52">
        <f t="shared" si="199"/>
        <v>2.944370860927152E-3</v>
      </c>
      <c r="CO106" s="52">
        <f>CO103/CO$119</f>
        <v>2.4137899832601907E-3</v>
      </c>
      <c r="CP106" s="52">
        <f>CP103/CP$119</f>
        <v>2.0485332514206724E-3</v>
      </c>
      <c r="CQ106" s="52">
        <f t="shared" si="199"/>
        <v>1.9536351531291613E-3</v>
      </c>
      <c r="CR106" s="52">
        <f t="shared" si="199"/>
        <v>2.1948577618151758E-3</v>
      </c>
      <c r="CS106" s="52">
        <f>CS103/CS$119</f>
        <v>2.6950751315756019E-3</v>
      </c>
      <c r="CT106" s="52">
        <f>CT103/CT$119</f>
        <v>2.0652716626571649E-3</v>
      </c>
      <c r="CU106" s="53">
        <f t="shared" ref="CU106:DQ106" si="200">CU103/CU$119</f>
        <v>2.0830926555847934E-3</v>
      </c>
      <c r="CV106" s="53">
        <f t="shared" si="200"/>
        <v>1.8788723993965551E-3</v>
      </c>
      <c r="CW106" s="53">
        <f t="shared" si="200"/>
        <v>1.5564450217975254E-3</v>
      </c>
      <c r="CX106" s="53">
        <f t="shared" si="200"/>
        <v>1.273236677081419E-3</v>
      </c>
      <c r="CY106" s="53">
        <f t="shared" si="200"/>
        <v>1.228448217243583E-3</v>
      </c>
      <c r="CZ106" s="53">
        <f t="shared" si="200"/>
        <v>1.1569361913884657E-3</v>
      </c>
      <c r="DA106" s="53">
        <f t="shared" si="200"/>
        <v>1.0096496861337148E-3</v>
      </c>
      <c r="DB106" s="53">
        <f t="shared" si="200"/>
        <v>9.062888728021874E-4</v>
      </c>
      <c r="DC106" s="53">
        <f t="shared" si="200"/>
        <v>9.0808519119802843E-4</v>
      </c>
      <c r="DD106" s="53">
        <f t="shared" si="200"/>
        <v>9.0981578932670384E-4</v>
      </c>
      <c r="DE106" s="53">
        <f t="shared" si="200"/>
        <v>8.4437447781553405E-4</v>
      </c>
      <c r="DF106" s="53">
        <f t="shared" si="200"/>
        <v>8.065741990670788E-4</v>
      </c>
      <c r="DG106" s="53">
        <f t="shared" si="200"/>
        <v>8.6069396542245427E-4</v>
      </c>
      <c r="DH106" s="53">
        <f t="shared" si="200"/>
        <v>9.0086026595107395E-4</v>
      </c>
      <c r="DI106" s="53">
        <f t="shared" si="200"/>
        <v>8.4944551975167106E-4</v>
      </c>
      <c r="DJ106" s="53">
        <f t="shared" si="200"/>
        <v>8.2656241025657825E-4</v>
      </c>
      <c r="DK106" s="53">
        <f t="shared" si="200"/>
        <v>8.9891190615710786E-4</v>
      </c>
      <c r="DL106" s="53">
        <f t="shared" si="200"/>
        <v>9.7598453393993301E-4</v>
      </c>
      <c r="DM106" s="53">
        <f t="shared" si="200"/>
        <v>9.4616402457807611E-4</v>
      </c>
      <c r="DN106" s="53">
        <f t="shared" si="200"/>
        <v>9.1199388255242876E-4</v>
      </c>
      <c r="DO106" s="53">
        <f t="shared" si="200"/>
        <v>9.7331281085744049E-4</v>
      </c>
      <c r="DP106" s="53">
        <f t="shared" si="200"/>
        <v>1.0280939381928358E-3</v>
      </c>
      <c r="DQ106" s="53">
        <f t="shared" si="200"/>
        <v>9.7832178970040391E-4</v>
      </c>
      <c r="DT106" s="87"/>
      <c r="EC106" s="79"/>
      <c r="ED106" s="79"/>
      <c r="EE106" s="658"/>
      <c r="EF106" s="658"/>
      <c r="EG106" s="62"/>
      <c r="EH106" s="62"/>
      <c r="EJ106" s="52" t="e">
        <f t="shared" ref="EJ106:EW106" si="201">EJ103/EJ$119</f>
        <v>#REF!</v>
      </c>
      <c r="EK106" s="52">
        <f t="shared" si="201"/>
        <v>2.9843250297734138E-2</v>
      </c>
      <c r="EL106" s="52">
        <f t="shared" si="201"/>
        <v>2.0058073183920264E-2</v>
      </c>
      <c r="EM106" s="52">
        <f t="shared" si="201"/>
        <v>3.0687337188365828E-2</v>
      </c>
      <c r="EN106" s="52">
        <f t="shared" si="201"/>
        <v>1.6794233484431893E-2</v>
      </c>
      <c r="EO106" s="52">
        <f t="shared" si="201"/>
        <v>1.2048639430562764E-2</v>
      </c>
      <c r="EP106" s="52">
        <f t="shared" si="201"/>
        <v>3.435606184957815E-3</v>
      </c>
      <c r="EQ106" s="52">
        <f t="shared" si="201"/>
        <v>2.2608887560633577E-3</v>
      </c>
      <c r="ER106" s="52">
        <f t="shared" si="201"/>
        <v>1.859389871166724E-3</v>
      </c>
      <c r="ES106" s="53">
        <f t="shared" si="201"/>
        <v>1.0086991815130015E-3</v>
      </c>
      <c r="ET106" s="53">
        <f t="shared" si="201"/>
        <v>8.9015809494955652E-4</v>
      </c>
      <c r="EU106" s="53">
        <f t="shared" si="201"/>
        <v>7.4632429397351169E-4</v>
      </c>
      <c r="EV106" s="53">
        <f t="shared" si="201"/>
        <v>6.9668265124277358E-4</v>
      </c>
      <c r="EW106" s="53">
        <f t="shared" si="201"/>
        <v>6.520947877634069E-4</v>
      </c>
    </row>
    <row r="107" spans="1:153" s="49" customFormat="1" hidden="1" outlineLevel="1">
      <c r="A107" s="624" t="s">
        <v>267</v>
      </c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>
        <v>0</v>
      </c>
      <c r="BO107" s="35">
        <v>150</v>
      </c>
      <c r="BP107" s="35">
        <v>70</v>
      </c>
      <c r="BQ107" s="35">
        <v>50</v>
      </c>
      <c r="BR107" s="35">
        <v>289</v>
      </c>
      <c r="BS107" s="35">
        <v>18</v>
      </c>
      <c r="BT107" s="35">
        <v>0</v>
      </c>
      <c r="BU107" s="35">
        <v>0</v>
      </c>
      <c r="BV107" s="35">
        <v>0</v>
      </c>
      <c r="BW107" s="35">
        <v>0</v>
      </c>
      <c r="BX107" s="35">
        <v>0</v>
      </c>
      <c r="BY107" s="35">
        <v>0</v>
      </c>
      <c r="BZ107" s="35">
        <v>0</v>
      </c>
      <c r="CA107" s="35">
        <v>0</v>
      </c>
      <c r="CB107" s="35">
        <v>0</v>
      </c>
      <c r="CC107" s="35">
        <v>0</v>
      </c>
      <c r="CD107" s="35">
        <v>155</v>
      </c>
      <c r="CE107" s="35">
        <v>266</v>
      </c>
      <c r="CF107" s="35">
        <v>105</v>
      </c>
      <c r="CG107" s="35">
        <v>24</v>
      </c>
      <c r="CH107" s="35">
        <v>5</v>
      </c>
      <c r="CI107" s="35">
        <v>5</v>
      </c>
      <c r="CJ107" s="35">
        <v>0</v>
      </c>
      <c r="CK107" s="35">
        <v>0</v>
      </c>
      <c r="CL107" s="35">
        <v>0</v>
      </c>
      <c r="CM107" s="35">
        <f>CL107</f>
        <v>0</v>
      </c>
      <c r="CN107" s="35">
        <f>CM107</f>
        <v>0</v>
      </c>
      <c r="CO107" s="35">
        <f>CN107</f>
        <v>0</v>
      </c>
      <c r="CP107" s="35">
        <f>CO107</f>
        <v>0</v>
      </c>
      <c r="CQ107" s="35">
        <f t="shared" ref="CQ107:DQ107" si="202">CP107</f>
        <v>0</v>
      </c>
      <c r="CR107" s="35">
        <f t="shared" si="202"/>
        <v>0</v>
      </c>
      <c r="CS107" s="35">
        <f t="shared" si="202"/>
        <v>0</v>
      </c>
      <c r="CT107" s="35">
        <f t="shared" si="202"/>
        <v>0</v>
      </c>
      <c r="CU107" s="48">
        <f t="shared" si="202"/>
        <v>0</v>
      </c>
      <c r="CV107" s="48">
        <f t="shared" si="202"/>
        <v>0</v>
      </c>
      <c r="CW107" s="48">
        <f t="shared" si="202"/>
        <v>0</v>
      </c>
      <c r="CX107" s="48">
        <f t="shared" si="202"/>
        <v>0</v>
      </c>
      <c r="CY107" s="48">
        <f t="shared" si="202"/>
        <v>0</v>
      </c>
      <c r="CZ107" s="48">
        <f t="shared" si="202"/>
        <v>0</v>
      </c>
      <c r="DA107" s="48">
        <f t="shared" si="202"/>
        <v>0</v>
      </c>
      <c r="DB107" s="48">
        <f t="shared" si="202"/>
        <v>0</v>
      </c>
      <c r="DC107" s="48">
        <f t="shared" si="202"/>
        <v>0</v>
      </c>
      <c r="DD107" s="48">
        <f t="shared" si="202"/>
        <v>0</v>
      </c>
      <c r="DE107" s="48">
        <f t="shared" si="202"/>
        <v>0</v>
      </c>
      <c r="DF107" s="48">
        <f t="shared" si="202"/>
        <v>0</v>
      </c>
      <c r="DG107" s="48">
        <f t="shared" si="202"/>
        <v>0</v>
      </c>
      <c r="DH107" s="48">
        <f t="shared" si="202"/>
        <v>0</v>
      </c>
      <c r="DI107" s="48">
        <f t="shared" si="202"/>
        <v>0</v>
      </c>
      <c r="DJ107" s="48">
        <f t="shared" si="202"/>
        <v>0</v>
      </c>
      <c r="DK107" s="48">
        <f t="shared" si="202"/>
        <v>0</v>
      </c>
      <c r="DL107" s="48">
        <f t="shared" si="202"/>
        <v>0</v>
      </c>
      <c r="DM107" s="48">
        <f t="shared" si="202"/>
        <v>0</v>
      </c>
      <c r="DN107" s="48">
        <f t="shared" si="202"/>
        <v>0</v>
      </c>
      <c r="DO107" s="48">
        <f t="shared" si="202"/>
        <v>0</v>
      </c>
      <c r="DP107" s="48">
        <f t="shared" si="202"/>
        <v>0</v>
      </c>
      <c r="DQ107" s="48">
        <f t="shared" si="202"/>
        <v>0</v>
      </c>
      <c r="DT107" s="103"/>
      <c r="DU107" s="103"/>
      <c r="DV107" s="103"/>
      <c r="DW107" s="103"/>
      <c r="DX107" s="103"/>
      <c r="DY107" s="103"/>
      <c r="DZ107" s="103"/>
      <c r="EA107" s="103"/>
      <c r="EB107" s="103"/>
      <c r="EC107" s="103"/>
      <c r="ED107" s="103"/>
      <c r="EE107" s="103"/>
      <c r="EF107" s="103"/>
      <c r="EG107" s="103"/>
      <c r="EH107" s="103"/>
      <c r="EI107" s="103"/>
      <c r="EJ107" s="103">
        <f>SUM(BN107:BQ107)</f>
        <v>270</v>
      </c>
      <c r="EK107" s="103">
        <f>SUM(BR107:BU107)</f>
        <v>307</v>
      </c>
      <c r="EL107" s="103">
        <f>BV107+BW107+BX107+BY107</f>
        <v>0</v>
      </c>
      <c r="EM107" s="104">
        <f>SUM(BZ107:CC107)</f>
        <v>0</v>
      </c>
      <c r="EN107" s="104">
        <f>+CD107+CE107+CF107+CG107</f>
        <v>550</v>
      </c>
      <c r="EO107" s="104">
        <f>SUM(CH107:CK107)</f>
        <v>10</v>
      </c>
      <c r="EP107" s="104">
        <f>SUM(CL107:CO107)</f>
        <v>0</v>
      </c>
      <c r="EQ107" s="104">
        <f>SUM(CP107:CS107)</f>
        <v>0</v>
      </c>
      <c r="ER107" s="104">
        <f>SUM(CT107:CW107)</f>
        <v>0</v>
      </c>
      <c r="ES107" s="118">
        <f>SUM(CU107:CX107)</f>
        <v>0</v>
      </c>
      <c r="ET107" s="118">
        <f>SUM(CV107:CY107)</f>
        <v>0</v>
      </c>
      <c r="EU107" s="118">
        <f>SUM(CW107:CZ107)</f>
        <v>0</v>
      </c>
      <c r="EV107" s="118">
        <f>SUM(CX107:DA107)</f>
        <v>0</v>
      </c>
      <c r="EW107" s="118">
        <f>SUM(CY107:DB107)</f>
        <v>0</v>
      </c>
    </row>
    <row r="108" spans="1:153" s="52" customFormat="1" hidden="1" outlineLevel="1">
      <c r="A108" s="58" t="s">
        <v>223</v>
      </c>
      <c r="BP108" s="52">
        <f>BP107/BO107-1</f>
        <v>-0.53333333333333333</v>
      </c>
      <c r="BQ108" s="52">
        <f>BQ107/BP107-1</f>
        <v>-0.2857142857142857</v>
      </c>
      <c r="BR108" s="52">
        <f>BR107/BQ107-1</f>
        <v>4.78</v>
      </c>
      <c r="BS108" s="52">
        <f>BS107/BR107-1</f>
        <v>-0.93771626297577859</v>
      </c>
      <c r="BT108" s="52">
        <f>BT107/BS107-1</f>
        <v>-1</v>
      </c>
      <c r="BU108" s="54" t="s">
        <v>224</v>
      </c>
      <c r="BV108" s="54" t="s">
        <v>224</v>
      </c>
      <c r="BW108" s="54" t="s">
        <v>224</v>
      </c>
      <c r="BX108" s="54" t="s">
        <v>224</v>
      </c>
      <c r="BY108" s="54" t="s">
        <v>224</v>
      </c>
      <c r="BZ108" s="54" t="s">
        <v>224</v>
      </c>
      <c r="CA108" s="55" t="s">
        <v>224</v>
      </c>
      <c r="CB108" s="55" t="s">
        <v>224</v>
      </c>
      <c r="CC108" s="55" t="s">
        <v>224</v>
      </c>
      <c r="CD108" s="55" t="s">
        <v>224</v>
      </c>
      <c r="CE108" s="52">
        <f t="shared" ref="CE108:CL108" si="203">CE107/CD107-1</f>
        <v>0.71612903225806446</v>
      </c>
      <c r="CF108" s="52">
        <f t="shared" si="203"/>
        <v>-0.60526315789473684</v>
      </c>
      <c r="CG108" s="52">
        <f t="shared" si="203"/>
        <v>-0.77142857142857146</v>
      </c>
      <c r="CH108" s="52">
        <f t="shared" si="203"/>
        <v>-0.79166666666666663</v>
      </c>
      <c r="CI108" s="52">
        <f t="shared" si="203"/>
        <v>0</v>
      </c>
      <c r="CJ108" s="52">
        <f t="shared" si="203"/>
        <v>-1</v>
      </c>
      <c r="CK108" s="52" t="e">
        <f t="shared" si="203"/>
        <v>#DIV/0!</v>
      </c>
      <c r="CL108" s="52" t="e">
        <f t="shared" si="203"/>
        <v>#DIV/0!</v>
      </c>
      <c r="CM108" s="52" t="s">
        <v>224</v>
      </c>
      <c r="CN108" s="52" t="s">
        <v>224</v>
      </c>
      <c r="CO108" s="52" t="s">
        <v>224</v>
      </c>
      <c r="CP108" s="52" t="s">
        <v>224</v>
      </c>
      <c r="CQ108" s="52" t="s">
        <v>224</v>
      </c>
      <c r="CR108" s="52" t="s">
        <v>224</v>
      </c>
      <c r="CS108" s="52" t="s">
        <v>224</v>
      </c>
      <c r="CT108" s="52" t="s">
        <v>224</v>
      </c>
      <c r="CU108" s="55" t="s">
        <v>224</v>
      </c>
      <c r="CV108" s="55" t="s">
        <v>224</v>
      </c>
      <c r="CW108" s="55" t="s">
        <v>224</v>
      </c>
      <c r="CX108" s="55" t="s">
        <v>224</v>
      </c>
      <c r="CY108" s="55" t="s">
        <v>224</v>
      </c>
      <c r="CZ108" s="55" t="s">
        <v>224</v>
      </c>
      <c r="DA108" s="55" t="s">
        <v>224</v>
      </c>
      <c r="DB108" s="55" t="s">
        <v>224</v>
      </c>
      <c r="DC108" s="55" t="s">
        <v>224</v>
      </c>
      <c r="DD108" s="55" t="s">
        <v>224</v>
      </c>
      <c r="DE108" s="55" t="s">
        <v>224</v>
      </c>
      <c r="DF108" s="55" t="s">
        <v>224</v>
      </c>
      <c r="DG108" s="55" t="s">
        <v>224</v>
      </c>
      <c r="DH108" s="55" t="s">
        <v>224</v>
      </c>
      <c r="DI108" s="55" t="s">
        <v>224</v>
      </c>
      <c r="DJ108" s="55" t="s">
        <v>224</v>
      </c>
      <c r="DK108" s="55" t="s">
        <v>224</v>
      </c>
      <c r="DL108" s="55" t="s">
        <v>224</v>
      </c>
      <c r="DM108" s="55" t="s">
        <v>224</v>
      </c>
      <c r="DN108" s="55" t="s">
        <v>224</v>
      </c>
      <c r="DO108" s="55" t="s">
        <v>224</v>
      </c>
      <c r="DP108" s="55" t="s">
        <v>224</v>
      </c>
      <c r="DQ108" s="55" t="s">
        <v>224</v>
      </c>
      <c r="DT108" s="54" t="s">
        <v>224</v>
      </c>
      <c r="DU108" s="54" t="s">
        <v>224</v>
      </c>
      <c r="DV108" s="54" t="s">
        <v>224</v>
      </c>
      <c r="DW108" s="54" t="s">
        <v>224</v>
      </c>
      <c r="DX108" s="54" t="s">
        <v>224</v>
      </c>
      <c r="DY108" s="54" t="s">
        <v>224</v>
      </c>
      <c r="DZ108" s="54" t="s">
        <v>224</v>
      </c>
      <c r="EA108" s="54" t="s">
        <v>224</v>
      </c>
      <c r="EB108" s="54" t="s">
        <v>224</v>
      </c>
      <c r="EC108" s="54" t="s">
        <v>224</v>
      </c>
      <c r="ED108" s="54" t="s">
        <v>224</v>
      </c>
      <c r="EE108" s="54" t="s">
        <v>224</v>
      </c>
      <c r="EF108" s="54" t="s">
        <v>224</v>
      </c>
      <c r="EG108" s="54" t="s">
        <v>224</v>
      </c>
      <c r="EH108" s="54" t="s">
        <v>224</v>
      </c>
      <c r="EI108" s="54" t="s">
        <v>224</v>
      </c>
      <c r="EJ108" s="54" t="s">
        <v>224</v>
      </c>
      <c r="EK108" s="54" t="s">
        <v>224</v>
      </c>
      <c r="EL108" s="54" t="s">
        <v>224</v>
      </c>
      <c r="EM108" s="54" t="s">
        <v>224</v>
      </c>
      <c r="EN108" s="54" t="s">
        <v>224</v>
      </c>
      <c r="EO108" s="54" t="s">
        <v>224</v>
      </c>
      <c r="EP108" s="54" t="s">
        <v>224</v>
      </c>
      <c r="EQ108" s="54" t="s">
        <v>224</v>
      </c>
      <c r="ER108" s="54" t="s">
        <v>224</v>
      </c>
      <c r="ES108" s="55" t="s">
        <v>224</v>
      </c>
      <c r="ET108" s="55" t="s">
        <v>224</v>
      </c>
      <c r="EU108" s="55" t="s">
        <v>224</v>
      </c>
      <c r="EV108" s="55" t="s">
        <v>224</v>
      </c>
      <c r="EW108" s="55" t="s">
        <v>224</v>
      </c>
    </row>
    <row r="109" spans="1:153" s="52" customFormat="1" hidden="1" outlineLevel="1">
      <c r="A109" s="58" t="s">
        <v>225</v>
      </c>
      <c r="BS109" s="52">
        <f>BS107/BO107-1</f>
        <v>-0.88</v>
      </c>
      <c r="BT109" s="52">
        <f>BT107/BP107-1</f>
        <v>-1</v>
      </c>
      <c r="BU109" s="52">
        <f>BU107/BQ107-1</f>
        <v>-1</v>
      </c>
      <c r="BV109" s="52">
        <f>BV107/BR107-1</f>
        <v>-1</v>
      </c>
      <c r="BW109" s="52">
        <f>BW107/BS107-1</f>
        <v>-1</v>
      </c>
      <c r="BX109" s="54" t="s">
        <v>224</v>
      </c>
      <c r="BY109" s="54" t="s">
        <v>224</v>
      </c>
      <c r="BZ109" s="54" t="s">
        <v>224</v>
      </c>
      <c r="CA109" s="55" t="s">
        <v>224</v>
      </c>
      <c r="CB109" s="55" t="s">
        <v>224</v>
      </c>
      <c r="CC109" s="55" t="s">
        <v>224</v>
      </c>
      <c r="CD109" s="55" t="s">
        <v>224</v>
      </c>
      <c r="CE109" s="55" t="s">
        <v>224</v>
      </c>
      <c r="CF109" s="55" t="s">
        <v>224</v>
      </c>
      <c r="CG109" s="54" t="s">
        <v>224</v>
      </c>
      <c r="CH109" s="54" t="s">
        <v>224</v>
      </c>
      <c r="CI109" s="54" t="s">
        <v>224</v>
      </c>
      <c r="CJ109" s="54" t="s">
        <v>224</v>
      </c>
      <c r="CK109" s="54" t="s">
        <v>224</v>
      </c>
      <c r="CL109" s="54" t="s">
        <v>224</v>
      </c>
      <c r="CM109" s="54" t="s">
        <v>224</v>
      </c>
      <c r="CN109" s="54" t="s">
        <v>224</v>
      </c>
      <c r="CO109" s="54" t="s">
        <v>224</v>
      </c>
      <c r="CP109" s="54" t="s">
        <v>224</v>
      </c>
      <c r="CQ109" s="54" t="s">
        <v>224</v>
      </c>
      <c r="CR109" s="54" t="s">
        <v>224</v>
      </c>
      <c r="CS109" s="54" t="s">
        <v>224</v>
      </c>
      <c r="CT109" s="54" t="s">
        <v>224</v>
      </c>
      <c r="CU109" s="55" t="s">
        <v>224</v>
      </c>
      <c r="CV109" s="55" t="s">
        <v>224</v>
      </c>
      <c r="CW109" s="55" t="s">
        <v>224</v>
      </c>
      <c r="CX109" s="55" t="s">
        <v>224</v>
      </c>
      <c r="CY109" s="55" t="s">
        <v>224</v>
      </c>
      <c r="CZ109" s="55" t="s">
        <v>224</v>
      </c>
      <c r="DA109" s="55" t="s">
        <v>224</v>
      </c>
      <c r="DB109" s="55" t="s">
        <v>224</v>
      </c>
      <c r="DC109" s="55" t="s">
        <v>224</v>
      </c>
      <c r="DD109" s="55" t="s">
        <v>224</v>
      </c>
      <c r="DE109" s="55" t="s">
        <v>224</v>
      </c>
      <c r="DF109" s="55" t="s">
        <v>224</v>
      </c>
      <c r="DG109" s="55" t="s">
        <v>224</v>
      </c>
      <c r="DH109" s="55" t="s">
        <v>224</v>
      </c>
      <c r="DI109" s="55" t="s">
        <v>224</v>
      </c>
      <c r="DJ109" s="55" t="s">
        <v>224</v>
      </c>
      <c r="DK109" s="55" t="s">
        <v>224</v>
      </c>
      <c r="DL109" s="55" t="s">
        <v>224</v>
      </c>
      <c r="DM109" s="55" t="s">
        <v>224</v>
      </c>
      <c r="DN109" s="55" t="s">
        <v>224</v>
      </c>
      <c r="DO109" s="55" t="s">
        <v>224</v>
      </c>
      <c r="DP109" s="55" t="s">
        <v>224</v>
      </c>
      <c r="DQ109" s="55" t="s">
        <v>224</v>
      </c>
      <c r="DT109" s="87"/>
      <c r="EC109" s="79"/>
      <c r="ED109" s="79"/>
      <c r="EE109" s="80"/>
      <c r="EF109" s="80"/>
      <c r="EG109" s="59"/>
      <c r="EH109" s="59"/>
      <c r="EI109" s="59"/>
      <c r="EJ109" s="59"/>
      <c r="EK109" s="59" t="s">
        <v>268</v>
      </c>
      <c r="EL109" s="59">
        <f>EL107/EK107-1</f>
        <v>-1</v>
      </c>
      <c r="EM109" s="88" t="s">
        <v>224</v>
      </c>
      <c r="EN109" s="88" t="s">
        <v>224</v>
      </c>
      <c r="EO109" s="88" t="s">
        <v>224</v>
      </c>
      <c r="EP109" s="88" t="s">
        <v>224</v>
      </c>
      <c r="EQ109" s="88" t="s">
        <v>224</v>
      </c>
      <c r="ER109" s="88" t="s">
        <v>224</v>
      </c>
      <c r="ES109" s="89" t="s">
        <v>224</v>
      </c>
      <c r="ET109" s="89" t="s">
        <v>224</v>
      </c>
      <c r="EU109" s="89" t="s">
        <v>224</v>
      </c>
      <c r="EV109" s="89" t="s">
        <v>224</v>
      </c>
      <c r="EW109" s="89" t="s">
        <v>224</v>
      </c>
    </row>
    <row r="110" spans="1:153" s="52" customFormat="1" hidden="1" outlineLevel="1">
      <c r="A110" s="58" t="s">
        <v>258</v>
      </c>
      <c r="BN110" s="52" t="e">
        <f t="shared" ref="BN110:CG110" si="204">BN107/BN$119</f>
        <v>#REF!</v>
      </c>
      <c r="BO110" s="52">
        <f t="shared" si="204"/>
        <v>6.726457399103139E-2</v>
      </c>
      <c r="BP110" s="52">
        <f t="shared" si="204"/>
        <v>2.6555386949924126E-2</v>
      </c>
      <c r="BQ110" s="52">
        <f t="shared" si="204"/>
        <v>1.7176228100309172E-2</v>
      </c>
      <c r="BR110" s="52">
        <f t="shared" si="204"/>
        <v>9.0115372622388529E-2</v>
      </c>
      <c r="BS110" s="52">
        <f t="shared" si="204"/>
        <v>5.763688760806916E-3</v>
      </c>
      <c r="BT110" s="52">
        <f t="shared" si="204"/>
        <v>0</v>
      </c>
      <c r="BU110" s="52">
        <f t="shared" si="204"/>
        <v>0</v>
      </c>
      <c r="BV110" s="52">
        <f t="shared" si="204"/>
        <v>0</v>
      </c>
      <c r="BW110" s="52">
        <f t="shared" si="204"/>
        <v>0</v>
      </c>
      <c r="BX110" s="52">
        <f t="shared" si="204"/>
        <v>0</v>
      </c>
      <c r="BY110" s="52">
        <f t="shared" si="204"/>
        <v>0</v>
      </c>
      <c r="BZ110" s="52">
        <f t="shared" si="204"/>
        <v>0</v>
      </c>
      <c r="CA110" s="52">
        <f t="shared" si="204"/>
        <v>0</v>
      </c>
      <c r="CB110" s="52">
        <f t="shared" si="204"/>
        <v>0</v>
      </c>
      <c r="CC110" s="52">
        <f t="shared" si="204"/>
        <v>0</v>
      </c>
      <c r="CD110" s="52">
        <f>CD107/CD$119</f>
        <v>2.7380321497968558E-2</v>
      </c>
      <c r="CE110" s="52">
        <f>CE107/CE$119</f>
        <v>4.087905332718611E-2</v>
      </c>
      <c r="CF110" s="52">
        <f>CF107/CF$119</f>
        <v>1.4782486273405603E-2</v>
      </c>
      <c r="CG110" s="52">
        <f t="shared" si="204"/>
        <v>3.1401282219023943E-3</v>
      </c>
      <c r="CH110" s="52">
        <f>CH107/CH$119</f>
        <v>6.0328185328185327E-4</v>
      </c>
      <c r="CI110" s="52">
        <f>CI107/CI$119</f>
        <v>7.4582338902147969E-4</v>
      </c>
      <c r="CJ110" s="52">
        <f>CJ107/CJ$119</f>
        <v>0</v>
      </c>
      <c r="CK110" s="52">
        <f>CK107/CK$119</f>
        <v>0</v>
      </c>
      <c r="CL110" s="52">
        <f>CL107/CL$119</f>
        <v>0</v>
      </c>
      <c r="CM110" s="52">
        <f t="shared" ref="CM110:CS110" si="205">CM107/CM$119</f>
        <v>0</v>
      </c>
      <c r="CN110" s="52">
        <f t="shared" si="205"/>
        <v>0</v>
      </c>
      <c r="CO110" s="52">
        <f>CO107/CO$119</f>
        <v>0</v>
      </c>
      <c r="CP110" s="52">
        <f>CP107/CP$119</f>
        <v>0</v>
      </c>
      <c r="CQ110" s="52">
        <f t="shared" si="205"/>
        <v>0</v>
      </c>
      <c r="CR110" s="52">
        <f t="shared" si="205"/>
        <v>0</v>
      </c>
      <c r="CS110" s="52">
        <f t="shared" si="205"/>
        <v>0</v>
      </c>
      <c r="CT110" s="52">
        <f>CT107/CT$119</f>
        <v>0</v>
      </c>
      <c r="CU110" s="53">
        <f t="shared" ref="CU110:DQ110" si="206">CU107/CU$119</f>
        <v>0</v>
      </c>
      <c r="CV110" s="53">
        <f t="shared" si="206"/>
        <v>0</v>
      </c>
      <c r="CW110" s="53">
        <f t="shared" si="206"/>
        <v>0</v>
      </c>
      <c r="CX110" s="53">
        <f t="shared" si="206"/>
        <v>0</v>
      </c>
      <c r="CY110" s="53">
        <f t="shared" si="206"/>
        <v>0</v>
      </c>
      <c r="CZ110" s="53">
        <f t="shared" si="206"/>
        <v>0</v>
      </c>
      <c r="DA110" s="53">
        <f t="shared" si="206"/>
        <v>0</v>
      </c>
      <c r="DB110" s="53">
        <f t="shared" si="206"/>
        <v>0</v>
      </c>
      <c r="DC110" s="53">
        <f t="shared" si="206"/>
        <v>0</v>
      </c>
      <c r="DD110" s="53">
        <f t="shared" si="206"/>
        <v>0</v>
      </c>
      <c r="DE110" s="53">
        <f t="shared" si="206"/>
        <v>0</v>
      </c>
      <c r="DF110" s="53">
        <f t="shared" si="206"/>
        <v>0</v>
      </c>
      <c r="DG110" s="53">
        <f t="shared" si="206"/>
        <v>0</v>
      </c>
      <c r="DH110" s="53">
        <f t="shared" si="206"/>
        <v>0</v>
      </c>
      <c r="DI110" s="53">
        <f t="shared" si="206"/>
        <v>0</v>
      </c>
      <c r="DJ110" s="53">
        <f t="shared" si="206"/>
        <v>0</v>
      </c>
      <c r="DK110" s="53">
        <f t="shared" si="206"/>
        <v>0</v>
      </c>
      <c r="DL110" s="53">
        <f t="shared" si="206"/>
        <v>0</v>
      </c>
      <c r="DM110" s="53">
        <f t="shared" si="206"/>
        <v>0</v>
      </c>
      <c r="DN110" s="53">
        <f t="shared" si="206"/>
        <v>0</v>
      </c>
      <c r="DO110" s="53">
        <f t="shared" si="206"/>
        <v>0</v>
      </c>
      <c r="DP110" s="53">
        <f t="shared" si="206"/>
        <v>0</v>
      </c>
      <c r="DQ110" s="53">
        <f t="shared" si="206"/>
        <v>0</v>
      </c>
      <c r="DT110" s="87"/>
      <c r="EC110" s="79"/>
      <c r="ED110" s="79"/>
      <c r="EE110" s="80"/>
      <c r="EF110" s="80"/>
      <c r="EG110" s="59"/>
      <c r="EH110" s="59"/>
      <c r="EJ110" s="52" t="e">
        <f t="shared" ref="EJ110:EW110" si="207">EJ107/EJ$119</f>
        <v>#REF!</v>
      </c>
      <c r="EK110" s="52">
        <f t="shared" si="207"/>
        <v>2.6203482417207238E-2</v>
      </c>
      <c r="EL110" s="52">
        <f t="shared" si="207"/>
        <v>0</v>
      </c>
      <c r="EM110" s="52">
        <f t="shared" si="207"/>
        <v>0</v>
      </c>
      <c r="EN110" s="52">
        <f t="shared" si="207"/>
        <v>2.0435461098313144E-2</v>
      </c>
      <c r="EO110" s="52">
        <f t="shared" si="207"/>
        <v>3.7072736709423891E-4</v>
      </c>
      <c r="EP110" s="52">
        <f t="shared" si="207"/>
        <v>0</v>
      </c>
      <c r="EQ110" s="52">
        <f t="shared" si="207"/>
        <v>0</v>
      </c>
      <c r="ER110" s="52">
        <f t="shared" si="207"/>
        <v>0</v>
      </c>
      <c r="ES110" s="53">
        <f t="shared" si="207"/>
        <v>0</v>
      </c>
      <c r="ET110" s="53">
        <f t="shared" si="207"/>
        <v>0</v>
      </c>
      <c r="EU110" s="53">
        <f t="shared" si="207"/>
        <v>0</v>
      </c>
      <c r="EV110" s="53">
        <f t="shared" si="207"/>
        <v>0</v>
      </c>
      <c r="EW110" s="53">
        <f t="shared" si="207"/>
        <v>0</v>
      </c>
    </row>
    <row r="111" spans="1:153" s="49" customFormat="1" hidden="1" outlineLevel="1">
      <c r="A111" s="81" t="s">
        <v>269</v>
      </c>
      <c r="B111" s="8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3" t="e">
        <f t="shared" ref="BB111:BY111" si="208">BB99-BB219</f>
        <v>#REF!</v>
      </c>
      <c r="BC111" s="83" t="e">
        <f t="shared" si="208"/>
        <v>#REF!</v>
      </c>
      <c r="BD111" s="83" t="e">
        <f t="shared" si="208"/>
        <v>#REF!</v>
      </c>
      <c r="BE111" s="83" t="e">
        <f t="shared" si="208"/>
        <v>#REF!</v>
      </c>
      <c r="BF111" s="83" t="e">
        <f t="shared" si="208"/>
        <v>#REF!</v>
      </c>
      <c r="BG111" s="83" t="e">
        <f t="shared" si="208"/>
        <v>#REF!</v>
      </c>
      <c r="BH111" s="83" t="e">
        <f t="shared" si="208"/>
        <v>#REF!</v>
      </c>
      <c r="BI111" s="83" t="e">
        <f t="shared" si="208"/>
        <v>#REF!</v>
      </c>
      <c r="BJ111" s="83" t="e">
        <f t="shared" si="208"/>
        <v>#REF!</v>
      </c>
      <c r="BK111" s="83" t="e">
        <f t="shared" si="208"/>
        <v>#REF!</v>
      </c>
      <c r="BL111" s="83" t="e">
        <f t="shared" si="208"/>
        <v>#REF!</v>
      </c>
      <c r="BM111" s="83" t="e">
        <f t="shared" si="208"/>
        <v>#REF!</v>
      </c>
      <c r="BN111" s="83" t="e">
        <f t="shared" si="208"/>
        <v>#REF!</v>
      </c>
      <c r="BO111" s="83" t="e">
        <f t="shared" si="208"/>
        <v>#REF!</v>
      </c>
      <c r="BP111" s="83" t="e">
        <f t="shared" si="208"/>
        <v>#REF!</v>
      </c>
      <c r="BQ111" s="83" t="e">
        <f t="shared" si="208"/>
        <v>#REF!</v>
      </c>
      <c r="BR111" s="83" t="e">
        <f t="shared" si="208"/>
        <v>#REF!</v>
      </c>
      <c r="BS111" s="83" t="e">
        <f t="shared" si="208"/>
        <v>#REF!</v>
      </c>
      <c r="BT111" s="83" t="e">
        <f t="shared" si="208"/>
        <v>#REF!</v>
      </c>
      <c r="BU111" s="83" t="e">
        <f t="shared" si="208"/>
        <v>#REF!</v>
      </c>
      <c r="BV111" s="83" t="e">
        <f t="shared" si="208"/>
        <v>#REF!</v>
      </c>
      <c r="BW111" s="83" t="e">
        <f t="shared" si="208"/>
        <v>#REF!</v>
      </c>
      <c r="BX111" s="83" t="e">
        <f t="shared" si="208"/>
        <v>#REF!</v>
      </c>
      <c r="BY111" s="83" t="e">
        <f t="shared" si="208"/>
        <v>#REF!</v>
      </c>
      <c r="BZ111" s="83">
        <v>50</v>
      </c>
      <c r="CA111" s="83">
        <v>40</v>
      </c>
      <c r="CB111" s="83">
        <f t="shared" ref="CB111:CI111" si="209">+CA111</f>
        <v>40</v>
      </c>
      <c r="CC111" s="83">
        <f t="shared" si="209"/>
        <v>40</v>
      </c>
      <c r="CD111" s="83">
        <f t="shared" si="209"/>
        <v>40</v>
      </c>
      <c r="CE111" s="83">
        <f>+CD111</f>
        <v>40</v>
      </c>
      <c r="CF111" s="83">
        <f>+CE111</f>
        <v>40</v>
      </c>
      <c r="CG111" s="83">
        <f t="shared" si="209"/>
        <v>40</v>
      </c>
      <c r="CH111" s="96">
        <f t="shared" si="209"/>
        <v>40</v>
      </c>
      <c r="CI111" s="83">
        <f t="shared" si="209"/>
        <v>40</v>
      </c>
      <c r="CJ111" s="83">
        <v>20</v>
      </c>
      <c r="CK111" s="83">
        <v>20</v>
      </c>
      <c r="CL111" s="83">
        <v>20</v>
      </c>
      <c r="CM111" s="83">
        <f>+CL111</f>
        <v>20</v>
      </c>
      <c r="CN111" s="83">
        <f>+CM111</f>
        <v>20</v>
      </c>
      <c r="CO111" s="83">
        <f>+CN111</f>
        <v>20</v>
      </c>
      <c r="CP111" s="83">
        <f>+CO111</f>
        <v>20</v>
      </c>
      <c r="CQ111" s="83">
        <f t="shared" ref="CQ111:CW111" si="210">+CP111</f>
        <v>20</v>
      </c>
      <c r="CR111" s="83">
        <f t="shared" si="210"/>
        <v>20</v>
      </c>
      <c r="CS111" s="83">
        <f t="shared" si="210"/>
        <v>20</v>
      </c>
      <c r="CT111" s="83">
        <f t="shared" si="210"/>
        <v>20</v>
      </c>
      <c r="CU111" s="84">
        <f t="shared" si="210"/>
        <v>20</v>
      </c>
      <c r="CV111" s="84">
        <f t="shared" si="210"/>
        <v>20</v>
      </c>
      <c r="CW111" s="84">
        <f t="shared" si="210"/>
        <v>20</v>
      </c>
      <c r="CX111" s="84">
        <v>26</v>
      </c>
      <c r="CY111" s="84">
        <f>+CX111</f>
        <v>26</v>
      </c>
      <c r="CZ111" s="84">
        <f>+CY111</f>
        <v>26</v>
      </c>
      <c r="DA111" s="84">
        <f>+CZ111</f>
        <v>26</v>
      </c>
      <c r="DB111" s="84">
        <v>26</v>
      </c>
      <c r="DC111" s="84">
        <f>+DB111</f>
        <v>26</v>
      </c>
      <c r="DD111" s="84">
        <f>+DC111</f>
        <v>26</v>
      </c>
      <c r="DE111" s="84">
        <f>+DD111</f>
        <v>26</v>
      </c>
      <c r="DF111" s="84">
        <v>26</v>
      </c>
      <c r="DG111" s="84">
        <f>+DF111</f>
        <v>26</v>
      </c>
      <c r="DH111" s="84">
        <f>+DG111</f>
        <v>26</v>
      </c>
      <c r="DI111" s="84">
        <f>+DH111</f>
        <v>26</v>
      </c>
      <c r="DJ111" s="84">
        <v>26</v>
      </c>
      <c r="DK111" s="84">
        <f>+DJ111</f>
        <v>26</v>
      </c>
      <c r="DL111" s="84">
        <f>+DK111</f>
        <v>26</v>
      </c>
      <c r="DM111" s="84">
        <f>+DL111</f>
        <v>26</v>
      </c>
      <c r="DN111" s="84">
        <v>26</v>
      </c>
      <c r="DO111" s="84">
        <f>+DN111</f>
        <v>26</v>
      </c>
      <c r="DP111" s="84">
        <f>+DO111</f>
        <v>26</v>
      </c>
      <c r="DQ111" s="84">
        <f>+DP111</f>
        <v>26</v>
      </c>
      <c r="DT111" s="85"/>
      <c r="DU111" s="85"/>
      <c r="DV111" s="85"/>
      <c r="DW111" s="85"/>
      <c r="DX111" s="85"/>
      <c r="DY111" s="85"/>
      <c r="DZ111" s="85"/>
      <c r="EA111" s="85"/>
      <c r="EB111" s="85"/>
      <c r="EC111" s="85"/>
      <c r="ED111" s="85"/>
      <c r="EE111" s="85"/>
      <c r="EF111" s="85"/>
      <c r="EG111" s="85" t="e">
        <f>SUM(BB111:BE111)</f>
        <v>#REF!</v>
      </c>
      <c r="EH111" s="85" t="e">
        <f>SUM(BF111:BI111)</f>
        <v>#REF!</v>
      </c>
      <c r="EI111" s="85" t="e">
        <f>SUM(BJ111:BM111)</f>
        <v>#REF!</v>
      </c>
      <c r="EJ111" s="85" t="e">
        <f>SUM(BN111:BQ111)</f>
        <v>#REF!</v>
      </c>
      <c r="EK111" s="85" t="e">
        <f>SUM(BR111:BU111)</f>
        <v>#REF!</v>
      </c>
      <c r="EL111" s="85" t="e">
        <f>BV111+BW111+BX111+BY111</f>
        <v>#REF!</v>
      </c>
      <c r="EM111" s="86">
        <f>SUM(BZ111:CC111)</f>
        <v>170</v>
      </c>
      <c r="EN111" s="86">
        <f>+CD111+CE111+CF111+CG111</f>
        <v>160</v>
      </c>
      <c r="EO111" s="86">
        <f>SUM(CH111:CK111)</f>
        <v>120</v>
      </c>
      <c r="EP111" s="86">
        <f>SUM(CL111:CO111)</f>
        <v>80</v>
      </c>
      <c r="EQ111" s="86">
        <f>SUM(CP111:CS111)</f>
        <v>80</v>
      </c>
      <c r="ER111" s="86">
        <f>SUM(CT111:CW111)</f>
        <v>80</v>
      </c>
      <c r="ES111" s="95">
        <f>SUM(CX111:DA111)</f>
        <v>104</v>
      </c>
      <c r="ET111" s="95">
        <f>SUM(DB111:DE111)</f>
        <v>104</v>
      </c>
      <c r="EU111" s="95">
        <f>SUM(DC111:DF111)</f>
        <v>104</v>
      </c>
      <c r="EV111" s="95">
        <f>SUM(DD111:DG111)</f>
        <v>104</v>
      </c>
      <c r="EW111" s="95">
        <f>SUM(DE111:DH111)</f>
        <v>104</v>
      </c>
    </row>
    <row r="112" spans="1:153" s="52" customFormat="1" hidden="1" outlineLevel="1">
      <c r="A112" s="58" t="s">
        <v>223</v>
      </c>
      <c r="BC112" s="52" t="e">
        <f t="shared" ref="BC112:DN112" si="211">BC111/BB111-1</f>
        <v>#REF!</v>
      </c>
      <c r="BD112" s="52" t="e">
        <f t="shared" si="211"/>
        <v>#REF!</v>
      </c>
      <c r="BE112" s="52" t="e">
        <f t="shared" si="211"/>
        <v>#REF!</v>
      </c>
      <c r="BF112" s="52" t="e">
        <f t="shared" si="211"/>
        <v>#REF!</v>
      </c>
      <c r="BG112" s="52" t="e">
        <f t="shared" si="211"/>
        <v>#REF!</v>
      </c>
      <c r="BH112" s="52" t="e">
        <f t="shared" si="211"/>
        <v>#REF!</v>
      </c>
      <c r="BI112" s="52" t="e">
        <f t="shared" si="211"/>
        <v>#REF!</v>
      </c>
      <c r="BJ112" s="52" t="e">
        <f t="shared" si="211"/>
        <v>#REF!</v>
      </c>
      <c r="BK112" s="52" t="e">
        <f t="shared" si="211"/>
        <v>#REF!</v>
      </c>
      <c r="BL112" s="52" t="e">
        <f t="shared" si="211"/>
        <v>#REF!</v>
      </c>
      <c r="BM112" s="52" t="e">
        <f t="shared" si="211"/>
        <v>#REF!</v>
      </c>
      <c r="BN112" s="52" t="e">
        <f t="shared" si="211"/>
        <v>#REF!</v>
      </c>
      <c r="BO112" s="52" t="e">
        <f t="shared" si="211"/>
        <v>#REF!</v>
      </c>
      <c r="BP112" s="52" t="e">
        <f t="shared" si="211"/>
        <v>#REF!</v>
      </c>
      <c r="BQ112" s="52" t="e">
        <f t="shared" si="211"/>
        <v>#REF!</v>
      </c>
      <c r="BR112" s="52" t="e">
        <f t="shared" si="211"/>
        <v>#REF!</v>
      </c>
      <c r="BS112" s="52" t="e">
        <f t="shared" si="211"/>
        <v>#REF!</v>
      </c>
      <c r="BT112" s="52" t="e">
        <f t="shared" si="211"/>
        <v>#REF!</v>
      </c>
      <c r="BU112" s="52" t="e">
        <f t="shared" si="211"/>
        <v>#REF!</v>
      </c>
      <c r="BV112" s="52" t="e">
        <f t="shared" si="211"/>
        <v>#REF!</v>
      </c>
      <c r="BW112" s="52" t="e">
        <f t="shared" si="211"/>
        <v>#REF!</v>
      </c>
      <c r="BX112" s="52" t="e">
        <f t="shared" si="211"/>
        <v>#REF!</v>
      </c>
      <c r="BY112" s="52" t="e">
        <f t="shared" si="211"/>
        <v>#REF!</v>
      </c>
      <c r="BZ112" s="52" t="e">
        <f t="shared" si="211"/>
        <v>#REF!</v>
      </c>
      <c r="CA112" s="52">
        <f t="shared" si="211"/>
        <v>-0.19999999999999996</v>
      </c>
      <c r="CB112" s="52">
        <f t="shared" si="211"/>
        <v>0</v>
      </c>
      <c r="CC112" s="52">
        <f t="shared" si="211"/>
        <v>0</v>
      </c>
      <c r="CD112" s="52">
        <f t="shared" si="211"/>
        <v>0</v>
      </c>
      <c r="CE112" s="52">
        <f t="shared" si="211"/>
        <v>0</v>
      </c>
      <c r="CF112" s="52">
        <f t="shared" si="211"/>
        <v>0</v>
      </c>
      <c r="CG112" s="52">
        <f t="shared" si="211"/>
        <v>0</v>
      </c>
      <c r="CH112" s="52">
        <f t="shared" si="211"/>
        <v>0</v>
      </c>
      <c r="CI112" s="52">
        <f t="shared" si="211"/>
        <v>0</v>
      </c>
      <c r="CJ112" s="52">
        <f t="shared" si="211"/>
        <v>-0.5</v>
      </c>
      <c r="CK112" s="52">
        <f t="shared" si="211"/>
        <v>0</v>
      </c>
      <c r="CL112" s="52">
        <f t="shared" si="211"/>
        <v>0</v>
      </c>
      <c r="CM112" s="52">
        <f t="shared" si="211"/>
        <v>0</v>
      </c>
      <c r="CN112" s="52">
        <f t="shared" si="211"/>
        <v>0</v>
      </c>
      <c r="CO112" s="52">
        <f t="shared" si="211"/>
        <v>0</v>
      </c>
      <c r="CP112" s="52">
        <f t="shared" si="211"/>
        <v>0</v>
      </c>
      <c r="CQ112" s="52">
        <f t="shared" si="211"/>
        <v>0</v>
      </c>
      <c r="CR112" s="52">
        <f t="shared" si="211"/>
        <v>0</v>
      </c>
      <c r="CS112" s="52">
        <f t="shared" si="211"/>
        <v>0</v>
      </c>
      <c r="CT112" s="52">
        <f t="shared" si="211"/>
        <v>0</v>
      </c>
      <c r="CU112" s="53">
        <f t="shared" si="211"/>
        <v>0</v>
      </c>
      <c r="CV112" s="53">
        <f t="shared" si="211"/>
        <v>0</v>
      </c>
      <c r="CW112" s="53">
        <f t="shared" si="211"/>
        <v>0</v>
      </c>
      <c r="CX112" s="53">
        <f t="shared" si="211"/>
        <v>0.30000000000000004</v>
      </c>
      <c r="CY112" s="53">
        <f t="shared" si="211"/>
        <v>0</v>
      </c>
      <c r="CZ112" s="53">
        <f t="shared" si="211"/>
        <v>0</v>
      </c>
      <c r="DA112" s="53">
        <f t="shared" si="211"/>
        <v>0</v>
      </c>
      <c r="DB112" s="53">
        <f t="shared" si="211"/>
        <v>0</v>
      </c>
      <c r="DC112" s="53">
        <f t="shared" si="211"/>
        <v>0</v>
      </c>
      <c r="DD112" s="53">
        <f t="shared" si="211"/>
        <v>0</v>
      </c>
      <c r="DE112" s="53">
        <f t="shared" si="211"/>
        <v>0</v>
      </c>
      <c r="DF112" s="53">
        <f t="shared" si="211"/>
        <v>0</v>
      </c>
      <c r="DG112" s="53">
        <f t="shared" si="211"/>
        <v>0</v>
      </c>
      <c r="DH112" s="53">
        <f t="shared" si="211"/>
        <v>0</v>
      </c>
      <c r="DI112" s="53">
        <f t="shared" si="211"/>
        <v>0</v>
      </c>
      <c r="DJ112" s="53">
        <f t="shared" si="211"/>
        <v>0</v>
      </c>
      <c r="DK112" s="53">
        <f t="shared" si="211"/>
        <v>0</v>
      </c>
      <c r="DL112" s="53">
        <f t="shared" si="211"/>
        <v>0</v>
      </c>
      <c r="DM112" s="53">
        <f t="shared" si="211"/>
        <v>0</v>
      </c>
      <c r="DN112" s="53">
        <f t="shared" si="211"/>
        <v>0</v>
      </c>
      <c r="DO112" s="53">
        <f t="shared" ref="DO112:DQ112" si="212">DO111/DN111-1</f>
        <v>0</v>
      </c>
      <c r="DP112" s="53">
        <f t="shared" si="212"/>
        <v>0</v>
      </c>
      <c r="DQ112" s="53">
        <f t="shared" si="212"/>
        <v>0</v>
      </c>
      <c r="DT112" s="54" t="s">
        <v>224</v>
      </c>
      <c r="DU112" s="54" t="s">
        <v>224</v>
      </c>
      <c r="DV112" s="54" t="s">
        <v>224</v>
      </c>
      <c r="DW112" s="54" t="s">
        <v>224</v>
      </c>
      <c r="DX112" s="54" t="s">
        <v>224</v>
      </c>
      <c r="DY112" s="54" t="s">
        <v>224</v>
      </c>
      <c r="DZ112" s="54" t="s">
        <v>224</v>
      </c>
      <c r="EA112" s="54" t="s">
        <v>224</v>
      </c>
      <c r="EB112" s="54" t="s">
        <v>224</v>
      </c>
      <c r="EC112" s="54" t="s">
        <v>224</v>
      </c>
      <c r="ED112" s="54" t="s">
        <v>224</v>
      </c>
      <c r="EE112" s="54" t="s">
        <v>224</v>
      </c>
      <c r="EF112" s="54" t="s">
        <v>224</v>
      </c>
      <c r="EG112" s="54" t="s">
        <v>224</v>
      </c>
      <c r="EH112" s="54" t="s">
        <v>224</v>
      </c>
      <c r="EI112" s="54" t="s">
        <v>224</v>
      </c>
      <c r="EJ112" s="54" t="s">
        <v>224</v>
      </c>
      <c r="EK112" s="54" t="s">
        <v>224</v>
      </c>
      <c r="EL112" s="54" t="s">
        <v>224</v>
      </c>
      <c r="EM112" s="54" t="s">
        <v>224</v>
      </c>
      <c r="EN112" s="54" t="s">
        <v>224</v>
      </c>
      <c r="EO112" s="54" t="s">
        <v>224</v>
      </c>
      <c r="EP112" s="54" t="s">
        <v>224</v>
      </c>
      <c r="EQ112" s="54" t="s">
        <v>224</v>
      </c>
      <c r="ER112" s="54" t="s">
        <v>224</v>
      </c>
      <c r="ES112" s="55" t="s">
        <v>224</v>
      </c>
      <c r="ET112" s="55" t="s">
        <v>224</v>
      </c>
      <c r="EU112" s="55" t="s">
        <v>224</v>
      </c>
      <c r="EV112" s="55" t="s">
        <v>224</v>
      </c>
      <c r="EW112" s="55" t="s">
        <v>224</v>
      </c>
    </row>
    <row r="113" spans="1:155" s="52" customFormat="1" hidden="1" outlineLevel="1">
      <c r="A113" s="58" t="s">
        <v>225</v>
      </c>
      <c r="BF113" s="52" t="e">
        <f>BF111/BB111-1</f>
        <v>#REF!</v>
      </c>
      <c r="BG113" s="52" t="e">
        <f>BG111/BC111-1</f>
        <v>#REF!</v>
      </c>
      <c r="BH113" s="52" t="e">
        <f>BH111/BD111-1</f>
        <v>#REF!</v>
      </c>
      <c r="BI113" s="52" t="e">
        <f>BI111/BE111-1</f>
        <v>#REF!</v>
      </c>
      <c r="BJ113" s="52" t="e">
        <f>BJ111/BF111-1</f>
        <v>#REF!</v>
      </c>
      <c r="BK113" s="52" t="e">
        <f t="shared" ref="BK113:CL113" si="213">BK111/BG111-1</f>
        <v>#REF!</v>
      </c>
      <c r="BL113" s="52" t="e">
        <f t="shared" si="213"/>
        <v>#REF!</v>
      </c>
      <c r="BM113" s="52" t="e">
        <f t="shared" si="213"/>
        <v>#REF!</v>
      </c>
      <c r="BN113" s="52" t="e">
        <f t="shared" si="213"/>
        <v>#REF!</v>
      </c>
      <c r="BO113" s="52" t="e">
        <f t="shared" si="213"/>
        <v>#REF!</v>
      </c>
      <c r="BP113" s="52" t="e">
        <f t="shared" si="213"/>
        <v>#REF!</v>
      </c>
      <c r="BQ113" s="52" t="e">
        <f t="shared" si="213"/>
        <v>#REF!</v>
      </c>
      <c r="BR113" s="52" t="e">
        <f t="shared" si="213"/>
        <v>#REF!</v>
      </c>
      <c r="BS113" s="52" t="e">
        <f t="shared" si="213"/>
        <v>#REF!</v>
      </c>
      <c r="BT113" s="52" t="e">
        <f t="shared" si="213"/>
        <v>#REF!</v>
      </c>
      <c r="BU113" s="52" t="e">
        <f t="shared" si="213"/>
        <v>#REF!</v>
      </c>
      <c r="BV113" s="52" t="e">
        <f t="shared" si="213"/>
        <v>#REF!</v>
      </c>
      <c r="BW113" s="52" t="e">
        <f t="shared" si="213"/>
        <v>#REF!</v>
      </c>
      <c r="BX113" s="52" t="e">
        <f t="shared" si="213"/>
        <v>#REF!</v>
      </c>
      <c r="BY113" s="52" t="e">
        <f t="shared" si="213"/>
        <v>#REF!</v>
      </c>
      <c r="BZ113" s="52" t="e">
        <f t="shared" si="213"/>
        <v>#REF!</v>
      </c>
      <c r="CA113" s="52" t="e">
        <f t="shared" si="213"/>
        <v>#REF!</v>
      </c>
      <c r="CB113" s="52" t="e">
        <f t="shared" si="213"/>
        <v>#REF!</v>
      </c>
      <c r="CC113" s="52" t="e">
        <f t="shared" si="213"/>
        <v>#REF!</v>
      </c>
      <c r="CD113" s="52">
        <f t="shared" si="213"/>
        <v>-0.19999999999999996</v>
      </c>
      <c r="CE113" s="52">
        <f t="shared" si="213"/>
        <v>0</v>
      </c>
      <c r="CF113" s="52">
        <f t="shared" si="213"/>
        <v>0</v>
      </c>
      <c r="CG113" s="52">
        <f t="shared" si="213"/>
        <v>0</v>
      </c>
      <c r="CH113" s="52">
        <f t="shared" si="213"/>
        <v>0</v>
      </c>
      <c r="CI113" s="52">
        <f t="shared" si="213"/>
        <v>0</v>
      </c>
      <c r="CJ113" s="52">
        <f t="shared" si="213"/>
        <v>-0.5</v>
      </c>
      <c r="CK113" s="52">
        <f t="shared" si="213"/>
        <v>-0.5</v>
      </c>
      <c r="CL113" s="52">
        <f t="shared" si="213"/>
        <v>-0.5</v>
      </c>
      <c r="CM113" s="52">
        <f>CM111/CI111-1</f>
        <v>-0.5</v>
      </c>
      <c r="CN113" s="52">
        <f>CN111/CJ111-1</f>
        <v>0</v>
      </c>
      <c r="CO113" s="52">
        <f>CO111/CK111-1</f>
        <v>0</v>
      </c>
      <c r="CP113" s="52">
        <f>CP111/CL111-1</f>
        <v>0</v>
      </c>
      <c r="CQ113" s="52">
        <f t="shared" ref="CQ113:DQ113" si="214">CQ111/CM111-1</f>
        <v>0</v>
      </c>
      <c r="CR113" s="52">
        <f t="shared" si="214"/>
        <v>0</v>
      </c>
      <c r="CS113" s="52">
        <f t="shared" si="214"/>
        <v>0</v>
      </c>
      <c r="CT113" s="52">
        <f t="shared" si="214"/>
        <v>0</v>
      </c>
      <c r="CU113" s="53">
        <f t="shared" si="214"/>
        <v>0</v>
      </c>
      <c r="CV113" s="53">
        <f t="shared" si="214"/>
        <v>0</v>
      </c>
      <c r="CW113" s="53">
        <f t="shared" si="214"/>
        <v>0</v>
      </c>
      <c r="CX113" s="53">
        <f t="shared" si="214"/>
        <v>0.30000000000000004</v>
      </c>
      <c r="CY113" s="53">
        <f t="shared" si="214"/>
        <v>0.30000000000000004</v>
      </c>
      <c r="CZ113" s="53">
        <f t="shared" si="214"/>
        <v>0.30000000000000004</v>
      </c>
      <c r="DA113" s="53">
        <f t="shared" si="214"/>
        <v>0.30000000000000004</v>
      </c>
      <c r="DB113" s="53">
        <f t="shared" si="214"/>
        <v>0</v>
      </c>
      <c r="DC113" s="53">
        <f t="shared" si="214"/>
        <v>0</v>
      </c>
      <c r="DD113" s="53">
        <f t="shared" si="214"/>
        <v>0</v>
      </c>
      <c r="DE113" s="53">
        <f t="shared" si="214"/>
        <v>0</v>
      </c>
      <c r="DF113" s="53">
        <f t="shared" si="214"/>
        <v>0</v>
      </c>
      <c r="DG113" s="53">
        <f t="shared" si="214"/>
        <v>0</v>
      </c>
      <c r="DH113" s="53">
        <f t="shared" si="214"/>
        <v>0</v>
      </c>
      <c r="DI113" s="53">
        <f t="shared" si="214"/>
        <v>0</v>
      </c>
      <c r="DJ113" s="53">
        <f t="shared" si="214"/>
        <v>0</v>
      </c>
      <c r="DK113" s="53">
        <f t="shared" si="214"/>
        <v>0</v>
      </c>
      <c r="DL113" s="53">
        <f t="shared" si="214"/>
        <v>0</v>
      </c>
      <c r="DM113" s="53">
        <f t="shared" si="214"/>
        <v>0</v>
      </c>
      <c r="DN113" s="53">
        <f t="shared" si="214"/>
        <v>0</v>
      </c>
      <c r="DO113" s="53">
        <f t="shared" si="214"/>
        <v>0</v>
      </c>
      <c r="DP113" s="53">
        <f t="shared" si="214"/>
        <v>0</v>
      </c>
      <c r="DQ113" s="53">
        <f t="shared" si="214"/>
        <v>0</v>
      </c>
      <c r="EH113" s="52" t="e">
        <f t="shared" ref="EH113:ET113" si="215">EH111/EG111-1</f>
        <v>#REF!</v>
      </c>
      <c r="EI113" s="52" t="e">
        <f t="shared" si="215"/>
        <v>#REF!</v>
      </c>
      <c r="EJ113" s="52" t="e">
        <f t="shared" si="215"/>
        <v>#REF!</v>
      </c>
      <c r="EK113" s="52" t="e">
        <f t="shared" si="215"/>
        <v>#REF!</v>
      </c>
      <c r="EL113" s="52" t="e">
        <f t="shared" si="215"/>
        <v>#REF!</v>
      </c>
      <c r="EM113" s="52" t="e">
        <f t="shared" si="215"/>
        <v>#REF!</v>
      </c>
      <c r="EN113" s="52">
        <f t="shared" si="215"/>
        <v>-5.8823529411764719E-2</v>
      </c>
      <c r="EO113" s="52">
        <f t="shared" si="215"/>
        <v>-0.25</v>
      </c>
      <c r="EP113" s="52">
        <f t="shared" si="215"/>
        <v>-0.33333333333333337</v>
      </c>
      <c r="EQ113" s="52">
        <f t="shared" si="215"/>
        <v>0</v>
      </c>
      <c r="ER113" s="52">
        <f t="shared" si="215"/>
        <v>0</v>
      </c>
      <c r="ES113" s="65">
        <f t="shared" si="215"/>
        <v>0.30000000000000004</v>
      </c>
      <c r="ET113" s="65">
        <f t="shared" si="215"/>
        <v>0</v>
      </c>
      <c r="EU113" s="65">
        <f>EU111/ET111-1</f>
        <v>0</v>
      </c>
      <c r="EV113" s="65">
        <f>EV111/EU111-1</f>
        <v>0</v>
      </c>
      <c r="EW113" s="65">
        <f>EW111/EV111-1</f>
        <v>0</v>
      </c>
    </row>
    <row r="114" spans="1:155" s="52" customFormat="1" hidden="1" outlineLevel="1">
      <c r="A114" s="58" t="s">
        <v>270</v>
      </c>
      <c r="BB114" s="52" t="e">
        <f t="shared" ref="BB114:BY114" si="216">BB111/BB$254</f>
        <v>#REF!</v>
      </c>
      <c r="BC114" s="52" t="e">
        <f t="shared" si="216"/>
        <v>#REF!</v>
      </c>
      <c r="BD114" s="52" t="e">
        <f t="shared" si="216"/>
        <v>#REF!</v>
      </c>
      <c r="BE114" s="52" t="e">
        <f t="shared" si="216"/>
        <v>#REF!</v>
      </c>
      <c r="BF114" s="52" t="e">
        <f t="shared" si="216"/>
        <v>#REF!</v>
      </c>
      <c r="BG114" s="52" t="e">
        <f t="shared" si="216"/>
        <v>#REF!</v>
      </c>
      <c r="BH114" s="52" t="e">
        <f t="shared" si="216"/>
        <v>#REF!</v>
      </c>
      <c r="BI114" s="52" t="e">
        <f t="shared" si="216"/>
        <v>#REF!</v>
      </c>
      <c r="BJ114" s="52" t="e">
        <f t="shared" si="216"/>
        <v>#REF!</v>
      </c>
      <c r="BK114" s="52" t="e">
        <f t="shared" si="216"/>
        <v>#REF!</v>
      </c>
      <c r="BL114" s="52" t="e">
        <f t="shared" si="216"/>
        <v>#REF!</v>
      </c>
      <c r="BM114" s="52" t="e">
        <f t="shared" si="216"/>
        <v>#REF!</v>
      </c>
      <c r="BN114" s="52" t="e">
        <f t="shared" si="216"/>
        <v>#REF!</v>
      </c>
      <c r="BO114" s="52" t="e">
        <f t="shared" si="216"/>
        <v>#REF!</v>
      </c>
      <c r="BP114" s="52" t="e">
        <f t="shared" si="216"/>
        <v>#REF!</v>
      </c>
      <c r="BQ114" s="52" t="e">
        <f t="shared" si="216"/>
        <v>#REF!</v>
      </c>
      <c r="BR114" s="52" t="e">
        <f t="shared" si="216"/>
        <v>#REF!</v>
      </c>
      <c r="BS114" s="52" t="e">
        <f t="shared" si="216"/>
        <v>#REF!</v>
      </c>
      <c r="BT114" s="52" t="e">
        <f t="shared" si="216"/>
        <v>#REF!</v>
      </c>
      <c r="BU114" s="52" t="e">
        <f t="shared" si="216"/>
        <v>#REF!</v>
      </c>
      <c r="BV114" s="52" t="e">
        <f t="shared" si="216"/>
        <v>#REF!</v>
      </c>
      <c r="BW114" s="52" t="e">
        <f t="shared" si="216"/>
        <v>#REF!</v>
      </c>
      <c r="BX114" s="52" t="e">
        <f t="shared" si="216"/>
        <v>#REF!</v>
      </c>
      <c r="BY114" s="52" t="e">
        <f t="shared" si="216"/>
        <v>#REF!</v>
      </c>
      <c r="BZ114" s="52">
        <f t="shared" ref="BZ114:CH114" si="217">BZ111/BZ$119</f>
        <v>1.6233766233766232E-2</v>
      </c>
      <c r="CA114" s="52">
        <f t="shared" si="217"/>
        <v>1.0346611484738748E-2</v>
      </c>
      <c r="CB114" s="52">
        <f t="shared" si="217"/>
        <v>8.4638171815488786E-3</v>
      </c>
      <c r="CC114" s="52">
        <f t="shared" si="217"/>
        <v>7.9952028782730358E-3</v>
      </c>
      <c r="CD114" s="52">
        <f t="shared" si="217"/>
        <v>7.0658894188305949E-3</v>
      </c>
      <c r="CE114" s="52">
        <f t="shared" si="217"/>
        <v>6.1472260642385125E-3</v>
      </c>
      <c r="CF114" s="52">
        <f t="shared" si="217"/>
        <v>5.6314233422497537E-3</v>
      </c>
      <c r="CG114" s="52">
        <f t="shared" si="217"/>
        <v>5.2335470365039907E-3</v>
      </c>
      <c r="CH114" s="52">
        <f t="shared" si="217"/>
        <v>4.8262548262548262E-3</v>
      </c>
      <c r="CI114" s="52">
        <f>CI111/CI$119</f>
        <v>5.9665871121718375E-3</v>
      </c>
      <c r="CJ114" s="52">
        <f>CJ111/CJ$119</f>
        <v>3.3721126285617938E-3</v>
      </c>
      <c r="CK114" s="52">
        <f>CK111/CK$119</f>
        <v>3.305238803503553E-3</v>
      </c>
      <c r="CL114" s="52">
        <f>CL111/CL$119</f>
        <v>2.7808676307007787E-3</v>
      </c>
      <c r="CM114" s="52">
        <f t="shared" ref="CM114:DQ114" si="218">CM111/CM$119</f>
        <v>1.4807137040053306E-3</v>
      </c>
      <c r="CN114" s="52">
        <f t="shared" si="218"/>
        <v>1.1037527593818985E-3</v>
      </c>
      <c r="CO114" s="52">
        <f t="shared" si="218"/>
        <v>9.048545446319504E-4</v>
      </c>
      <c r="CP114" s="52">
        <f t="shared" si="218"/>
        <v>7.6793119336507451E-4</v>
      </c>
      <c r="CQ114" s="52">
        <f t="shared" si="218"/>
        <v>6.6577896138482028E-4</v>
      </c>
      <c r="CR114" s="52">
        <f t="shared" si="218"/>
        <v>5.7009292514679892E-4</v>
      </c>
      <c r="CS114" s="52">
        <f t="shared" si="218"/>
        <v>5.085047418067173E-4</v>
      </c>
      <c r="CT114" s="52">
        <f>CT111/CT$119</f>
        <v>4.5390585992465161E-4</v>
      </c>
      <c r="CU114" s="53">
        <f t="shared" si="218"/>
        <v>4.2787155295980145E-4</v>
      </c>
      <c r="CV114" s="53">
        <f t="shared" si="218"/>
        <v>3.508402624285163E-4</v>
      </c>
      <c r="CW114" s="53">
        <f t="shared" si="218"/>
        <v>2.9356936310126675E-4</v>
      </c>
      <c r="CX114" s="53">
        <f t="shared" si="218"/>
        <v>3.1856889052257552E-4</v>
      </c>
      <c r="CY114" s="53">
        <f t="shared" si="218"/>
        <v>2.7942058126065609E-4</v>
      </c>
      <c r="CZ114" s="53">
        <f t="shared" si="218"/>
        <v>2.3495945254747787E-4</v>
      </c>
      <c r="DA114" s="53">
        <f t="shared" si="218"/>
        <v>2.071185679679012E-4</v>
      </c>
      <c r="DB114" s="53">
        <f t="shared" si="218"/>
        <v>1.8970941824915583E-4</v>
      </c>
      <c r="DC114" s="53">
        <f t="shared" si="218"/>
        <v>1.7280493962572318E-4</v>
      </c>
      <c r="DD114" s="53">
        <f t="shared" si="218"/>
        <v>1.5458416558137702E-4</v>
      </c>
      <c r="DE114" s="53">
        <f t="shared" si="218"/>
        <v>1.4491436554161784E-4</v>
      </c>
      <c r="DF114" s="53">
        <f t="shared" si="218"/>
        <v>1.4125199547358741E-4</v>
      </c>
      <c r="DG114" s="53">
        <f t="shared" si="218"/>
        <v>1.3702705979822438E-4</v>
      </c>
      <c r="DH114" s="53">
        <f t="shared" si="218"/>
        <v>1.2805513268061069E-4</v>
      </c>
      <c r="DI114" s="53">
        <f t="shared" si="218"/>
        <v>1.2196631257634337E-4</v>
      </c>
      <c r="DJ114" s="53">
        <f t="shared" si="218"/>
        <v>1.2110273155392752E-4</v>
      </c>
      <c r="DK114" s="53">
        <f t="shared" si="218"/>
        <v>1.1972993196790616E-4</v>
      </c>
      <c r="DL114" s="53">
        <f t="shared" si="218"/>
        <v>1.1606746946935834E-4</v>
      </c>
      <c r="DM114" s="53">
        <f t="shared" si="218"/>
        <v>1.1365768783530172E-4</v>
      </c>
      <c r="DN114" s="53">
        <f t="shared" si="218"/>
        <v>1.1178878481334014E-4</v>
      </c>
      <c r="DO114" s="53">
        <f t="shared" si="218"/>
        <v>1.0845911703675033E-4</v>
      </c>
      <c r="DP114" s="53">
        <f t="shared" si="218"/>
        <v>1.0228887465879741E-4</v>
      </c>
      <c r="DQ114" s="53">
        <f t="shared" si="218"/>
        <v>9.8320059814078448E-5</v>
      </c>
      <c r="EH114" s="52" t="e">
        <f t="shared" ref="EH114:EW114" si="219">EH111/EH119</f>
        <v>#REF!</v>
      </c>
      <c r="EI114" s="52" t="e">
        <f t="shared" si="219"/>
        <v>#REF!</v>
      </c>
      <c r="EJ114" s="52" t="e">
        <f t="shared" si="219"/>
        <v>#REF!</v>
      </c>
      <c r="EK114" s="52" t="e">
        <f t="shared" si="219"/>
        <v>#REF!</v>
      </c>
      <c r="EL114" s="52" t="e">
        <f t="shared" si="219"/>
        <v>#REF!</v>
      </c>
      <c r="EM114" s="52">
        <f t="shared" si="219"/>
        <v>1.1316371631284579E-2</v>
      </c>
      <c r="EN114" s="52">
        <f t="shared" si="219"/>
        <v>5.9448614104183695E-3</v>
      </c>
      <c r="EO114" s="52">
        <f t="shared" si="219"/>
        <v>4.4487284051308671E-3</v>
      </c>
      <c r="EP114" s="52">
        <f t="shared" si="219"/>
        <v>1.3131545254587834E-3</v>
      </c>
      <c r="EQ114" s="52">
        <f t="shared" si="219"/>
        <v>6.1304091281791915E-4</v>
      </c>
      <c r="ER114" s="52">
        <f t="shared" si="219"/>
        <v>3.7047671090776056E-4</v>
      </c>
      <c r="ES114" s="53">
        <f t="shared" si="219"/>
        <v>2.5313125340129748E-4</v>
      </c>
      <c r="ET114" s="53">
        <f t="shared" si="219"/>
        <v>1.6374862404799009E-4</v>
      </c>
      <c r="EU114" s="53">
        <f t="shared" si="219"/>
        <v>1.3164175296641095E-4</v>
      </c>
      <c r="EV114" s="53">
        <f t="shared" si="219"/>
        <v>1.1756542044945963E-4</v>
      </c>
      <c r="EW114" s="53">
        <f t="shared" si="219"/>
        <v>1.0495215738114315E-4</v>
      </c>
    </row>
    <row r="115" spans="1:155" s="49" customFormat="1" collapsed="1">
      <c r="A115" s="76" t="s">
        <v>271</v>
      </c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6"/>
      <c r="AY115" s="76"/>
      <c r="AZ115" s="76"/>
      <c r="BA115" s="76"/>
      <c r="BB115" s="76">
        <v>66</v>
      </c>
      <c r="BC115" s="76">
        <v>66</v>
      </c>
      <c r="BD115" s="76">
        <v>66</v>
      </c>
      <c r="BE115" s="76">
        <v>66</v>
      </c>
      <c r="BF115" s="76">
        <v>66</v>
      </c>
      <c r="BG115" s="76">
        <v>66</v>
      </c>
      <c r="BH115" s="76">
        <v>66</v>
      </c>
      <c r="BI115" s="76">
        <v>66</v>
      </c>
      <c r="BJ115" s="76">
        <v>66</v>
      </c>
      <c r="BK115" s="76">
        <v>66</v>
      </c>
      <c r="BL115" s="76">
        <v>66</v>
      </c>
      <c r="BM115" s="76">
        <v>66</v>
      </c>
      <c r="BN115" s="76">
        <v>43</v>
      </c>
      <c r="BO115" s="78"/>
      <c r="BP115" s="78"/>
      <c r="BQ115" s="78"/>
      <c r="BR115" s="78"/>
      <c r="BS115" s="78"/>
      <c r="BT115" s="97"/>
      <c r="BU115" s="78"/>
      <c r="BV115" s="78"/>
      <c r="BW115" s="78"/>
      <c r="BX115" s="78"/>
      <c r="BY115" s="78"/>
      <c r="BZ115" s="78"/>
      <c r="CA115" s="78"/>
      <c r="CB115" s="78"/>
      <c r="CC115" s="78"/>
      <c r="CD115" s="98"/>
      <c r="CE115" s="78"/>
      <c r="CF115" s="78"/>
      <c r="CG115" s="78"/>
      <c r="CH115" s="78"/>
      <c r="CI115" s="78"/>
      <c r="CJ115" s="78"/>
      <c r="CK115" s="78"/>
      <c r="CL115" s="78"/>
      <c r="CM115" s="78"/>
      <c r="CN115" s="78"/>
      <c r="CO115" s="78"/>
      <c r="CP115" s="78"/>
      <c r="CQ115" s="78"/>
      <c r="CR115" s="78"/>
      <c r="CS115" s="78"/>
      <c r="CT115" s="78"/>
      <c r="CU115" s="78"/>
      <c r="CV115" s="78"/>
      <c r="CW115" s="78"/>
      <c r="CX115" s="78"/>
      <c r="CY115" s="78"/>
      <c r="CZ115" s="78"/>
      <c r="DA115" s="78"/>
      <c r="DB115" s="78"/>
      <c r="DC115" s="78"/>
      <c r="DD115" s="78"/>
      <c r="DE115" s="78"/>
      <c r="DF115" s="78"/>
      <c r="DG115" s="78"/>
      <c r="DH115" s="78"/>
      <c r="DI115" s="78"/>
      <c r="DJ115" s="78"/>
      <c r="DK115" s="78"/>
      <c r="DL115" s="78"/>
      <c r="DM115" s="78"/>
      <c r="DN115" s="78"/>
      <c r="DO115" s="78"/>
      <c r="DP115" s="78"/>
      <c r="DQ115" s="78"/>
      <c r="DT115" s="77"/>
      <c r="DU115" s="77"/>
      <c r="DV115" s="77"/>
      <c r="DW115" s="77"/>
      <c r="DX115" s="77"/>
      <c r="DY115" s="77"/>
      <c r="DZ115" s="77"/>
      <c r="EA115" s="77"/>
      <c r="EB115" s="77"/>
      <c r="EC115" s="76"/>
      <c r="ED115" s="76"/>
      <c r="EE115" s="76">
        <f>EF115</f>
        <v>264</v>
      </c>
      <c r="EF115" s="76">
        <f>SUM(BB115:BE115)</f>
        <v>264</v>
      </c>
      <c r="EG115" s="76">
        <f>SUM(BB115:BE115)</f>
        <v>264</v>
      </c>
      <c r="EH115" s="76">
        <f>SUM(BF115:BI115)</f>
        <v>264</v>
      </c>
      <c r="EI115" s="76">
        <f>+BJ115+BK115+BL115+BM115</f>
        <v>264</v>
      </c>
      <c r="EJ115" s="76">
        <f>BN115</f>
        <v>43</v>
      </c>
      <c r="EK115" s="76"/>
      <c r="EL115" s="76"/>
      <c r="EM115" s="78"/>
      <c r="EN115" s="78"/>
      <c r="EO115" s="78"/>
      <c r="EP115" s="78"/>
      <c r="EQ115" s="78"/>
      <c r="ER115" s="78"/>
      <c r="ES115" s="78"/>
      <c r="ET115" s="78"/>
      <c r="EU115" s="78"/>
      <c r="EV115" s="78"/>
      <c r="EW115" s="78"/>
    </row>
    <row r="116" spans="1:155" s="52" customFormat="1">
      <c r="A116" s="51" t="s">
        <v>223</v>
      </c>
      <c r="BC116" s="52">
        <f t="shared" ref="BC116:BN116" si="220">BC115/BB115-1</f>
        <v>0</v>
      </c>
      <c r="BD116" s="52">
        <f t="shared" si="220"/>
        <v>0</v>
      </c>
      <c r="BE116" s="52">
        <f t="shared" si="220"/>
        <v>0</v>
      </c>
      <c r="BF116" s="52">
        <f t="shared" si="220"/>
        <v>0</v>
      </c>
      <c r="BG116" s="52">
        <f t="shared" si="220"/>
        <v>0</v>
      </c>
      <c r="BH116" s="52">
        <f t="shared" si="220"/>
        <v>0</v>
      </c>
      <c r="BI116" s="52">
        <f t="shared" si="220"/>
        <v>0</v>
      </c>
      <c r="BJ116" s="52">
        <f t="shared" si="220"/>
        <v>0</v>
      </c>
      <c r="BK116" s="52">
        <f t="shared" si="220"/>
        <v>0</v>
      </c>
      <c r="BL116" s="52">
        <f t="shared" si="220"/>
        <v>0</v>
      </c>
      <c r="BM116" s="52">
        <f t="shared" si="220"/>
        <v>0</v>
      </c>
      <c r="BN116" s="52">
        <f t="shared" si="220"/>
        <v>-0.34848484848484851</v>
      </c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99"/>
      <c r="CH116" s="99"/>
      <c r="CI116" s="53"/>
      <c r="CJ116" s="53"/>
      <c r="CK116" s="53"/>
      <c r="CL116" s="53"/>
      <c r="CM116" s="53"/>
      <c r="CN116" s="53"/>
      <c r="CO116" s="53"/>
      <c r="CP116" s="53"/>
      <c r="CQ116" s="53"/>
      <c r="CR116" s="53"/>
      <c r="CS116" s="53"/>
      <c r="CT116" s="53"/>
      <c r="CU116" s="53"/>
      <c r="CV116" s="53"/>
      <c r="CW116" s="53"/>
      <c r="CX116" s="53"/>
      <c r="CY116" s="53"/>
      <c r="CZ116" s="53"/>
      <c r="DA116" s="53"/>
      <c r="DB116" s="53"/>
      <c r="DC116" s="53"/>
      <c r="DD116" s="53"/>
      <c r="DE116" s="53"/>
      <c r="DF116" s="53"/>
      <c r="DG116" s="53"/>
      <c r="DH116" s="53"/>
      <c r="DI116" s="53"/>
      <c r="DJ116" s="53"/>
      <c r="DK116" s="53"/>
      <c r="DL116" s="53"/>
      <c r="DM116" s="53"/>
      <c r="DN116" s="53"/>
      <c r="DO116" s="53"/>
      <c r="DP116" s="53"/>
      <c r="DQ116" s="53"/>
      <c r="DT116" s="54" t="s">
        <v>224</v>
      </c>
      <c r="DU116" s="54" t="s">
        <v>224</v>
      </c>
      <c r="DV116" s="54" t="s">
        <v>224</v>
      </c>
      <c r="DW116" s="54" t="s">
        <v>224</v>
      </c>
      <c r="DX116" s="54" t="s">
        <v>224</v>
      </c>
      <c r="DY116" s="54" t="s">
        <v>224</v>
      </c>
      <c r="DZ116" s="54" t="s">
        <v>224</v>
      </c>
      <c r="EA116" s="54" t="s">
        <v>224</v>
      </c>
      <c r="EB116" s="54" t="s">
        <v>224</v>
      </c>
      <c r="EC116" s="54" t="s">
        <v>224</v>
      </c>
      <c r="ED116" s="54" t="s">
        <v>224</v>
      </c>
      <c r="EE116" s="54" t="s">
        <v>224</v>
      </c>
      <c r="EF116" s="54" t="s">
        <v>224</v>
      </c>
      <c r="EG116" s="54" t="s">
        <v>224</v>
      </c>
      <c r="EH116" s="54" t="s">
        <v>224</v>
      </c>
      <c r="EI116" s="54" t="s">
        <v>224</v>
      </c>
      <c r="EJ116" s="54" t="s">
        <v>224</v>
      </c>
      <c r="EK116" s="54" t="s">
        <v>224</v>
      </c>
      <c r="EL116" s="54" t="s">
        <v>224</v>
      </c>
      <c r="EM116" s="54" t="s">
        <v>224</v>
      </c>
      <c r="EN116" s="54" t="s">
        <v>224</v>
      </c>
      <c r="EO116" s="54" t="s">
        <v>224</v>
      </c>
      <c r="EP116" s="54" t="s">
        <v>224</v>
      </c>
      <c r="EQ116" s="54" t="s">
        <v>224</v>
      </c>
      <c r="ER116" s="54" t="s">
        <v>224</v>
      </c>
      <c r="ES116" s="55" t="s">
        <v>224</v>
      </c>
      <c r="ET116" s="55" t="s">
        <v>224</v>
      </c>
      <c r="EU116" s="55" t="s">
        <v>224</v>
      </c>
      <c r="EV116" s="55" t="s">
        <v>224</v>
      </c>
      <c r="EW116" s="55" t="s">
        <v>224</v>
      </c>
    </row>
    <row r="117" spans="1:155" s="52" customFormat="1">
      <c r="A117" s="51" t="s">
        <v>225</v>
      </c>
      <c r="BB117" s="99"/>
      <c r="BC117" s="99"/>
      <c r="BD117" s="99"/>
      <c r="BE117" s="99"/>
      <c r="BF117" s="99"/>
      <c r="BG117" s="99"/>
      <c r="BH117" s="99"/>
      <c r="BI117" s="99"/>
      <c r="BJ117" s="99"/>
      <c r="BK117" s="99"/>
      <c r="BL117" s="99"/>
      <c r="BM117" s="99"/>
      <c r="BN117" s="99"/>
      <c r="BO117" s="99"/>
      <c r="BP117" s="99"/>
      <c r="BQ117" s="99"/>
      <c r="BR117" s="99"/>
      <c r="BS117" s="99"/>
      <c r="BT117" s="99"/>
      <c r="BU117" s="99"/>
      <c r="BV117" s="99"/>
      <c r="BW117" s="99"/>
      <c r="BX117" s="99"/>
      <c r="BY117" s="99"/>
      <c r="BZ117" s="99"/>
      <c r="CA117" s="99"/>
      <c r="CB117" s="99"/>
      <c r="CC117" s="99"/>
      <c r="CD117" s="99"/>
      <c r="CE117" s="99"/>
      <c r="CF117" s="99"/>
      <c r="CG117" s="99"/>
      <c r="CH117" s="99"/>
      <c r="CI117" s="99"/>
      <c r="CJ117" s="99"/>
      <c r="CK117" s="99"/>
      <c r="CL117" s="99"/>
      <c r="CM117" s="99"/>
      <c r="CN117" s="99"/>
      <c r="CO117" s="99"/>
      <c r="CP117" s="99"/>
      <c r="CQ117" s="99"/>
      <c r="CR117" s="99"/>
      <c r="CS117" s="99"/>
      <c r="CT117" s="99"/>
      <c r="CU117" s="99"/>
      <c r="CV117" s="99"/>
      <c r="CW117" s="99"/>
      <c r="CX117" s="99"/>
      <c r="CY117" s="99"/>
      <c r="CZ117" s="99"/>
      <c r="DA117" s="99"/>
      <c r="DB117" s="99"/>
      <c r="DC117" s="99"/>
      <c r="DD117" s="99"/>
      <c r="DE117" s="99"/>
      <c r="DF117" s="99"/>
      <c r="DG117" s="99"/>
      <c r="DH117" s="99"/>
      <c r="DI117" s="99"/>
      <c r="DJ117" s="99"/>
      <c r="DK117" s="99"/>
      <c r="DL117" s="99"/>
      <c r="DM117" s="99"/>
      <c r="DN117" s="99"/>
      <c r="DO117" s="99"/>
      <c r="DP117" s="99"/>
      <c r="DQ117" s="99"/>
    </row>
    <row r="118" spans="1:155" s="52" customFormat="1">
      <c r="A118" s="51" t="s">
        <v>258</v>
      </c>
      <c r="BJ118" s="91"/>
      <c r="BK118" s="91"/>
      <c r="BL118" s="91"/>
      <c r="BM118" s="53"/>
      <c r="BN118" s="67"/>
      <c r="BO118" s="67"/>
      <c r="BP118" s="67"/>
      <c r="BQ118" s="67"/>
      <c r="BR118" s="67"/>
      <c r="BS118" s="53"/>
      <c r="BT118" s="53"/>
      <c r="BU118" s="53"/>
      <c r="BV118" s="53"/>
      <c r="BW118" s="53"/>
      <c r="BX118" s="53"/>
      <c r="BY118" s="53"/>
      <c r="BZ118" s="53"/>
      <c r="CA118" s="53"/>
      <c r="CB118" s="53"/>
      <c r="CC118" s="53"/>
      <c r="CD118" s="53"/>
      <c r="CE118" s="53"/>
      <c r="CF118" s="53"/>
      <c r="CG118" s="53"/>
      <c r="CH118" s="53"/>
      <c r="CI118" s="53"/>
      <c r="CJ118" s="53"/>
      <c r="CK118" s="53"/>
      <c r="CL118" s="53"/>
      <c r="CM118" s="53"/>
      <c r="CN118" s="53"/>
      <c r="CO118" s="53"/>
      <c r="CP118" s="53"/>
      <c r="CQ118" s="53"/>
      <c r="CR118" s="53"/>
      <c r="CS118" s="53"/>
      <c r="CT118" s="53"/>
      <c r="CU118" s="53"/>
      <c r="CV118" s="53"/>
      <c r="CW118" s="53"/>
      <c r="CX118" s="53"/>
      <c r="CY118" s="53"/>
      <c r="CZ118" s="53"/>
      <c r="DA118" s="53"/>
      <c r="DB118" s="53"/>
      <c r="DC118" s="53"/>
      <c r="DD118" s="53"/>
      <c r="DE118" s="53"/>
      <c r="DF118" s="53"/>
      <c r="DG118" s="53"/>
      <c r="DH118" s="53"/>
      <c r="DI118" s="53"/>
      <c r="DJ118" s="53"/>
      <c r="DK118" s="53"/>
      <c r="DL118" s="53"/>
      <c r="DM118" s="53"/>
      <c r="DN118" s="53"/>
      <c r="DO118" s="53"/>
      <c r="DP118" s="53"/>
      <c r="DQ118" s="53"/>
      <c r="EE118" s="91">
        <f t="shared" ref="EE118:EJ118" si="221">EE115/EE$119</f>
        <v>6.1682242990654203E-2</v>
      </c>
      <c r="EF118" s="91">
        <f t="shared" si="221"/>
        <v>6.3922518159806291E-2</v>
      </c>
      <c r="EG118" s="91" t="e">
        <f t="shared" si="221"/>
        <v>#REF!</v>
      </c>
      <c r="EH118" s="91" t="e">
        <f t="shared" si="221"/>
        <v>#REF!</v>
      </c>
      <c r="EI118" s="91" t="e">
        <f t="shared" si="221"/>
        <v>#REF!</v>
      </c>
      <c r="EJ118" s="91" t="e">
        <f t="shared" si="221"/>
        <v>#REF!</v>
      </c>
      <c r="EK118" s="91"/>
      <c r="EL118" s="91"/>
      <c r="EM118" s="100"/>
      <c r="EN118" s="101"/>
      <c r="EO118" s="101"/>
      <c r="EP118" s="101"/>
      <c r="EQ118" s="101"/>
      <c r="ER118" s="101"/>
      <c r="ES118" s="101"/>
      <c r="ET118" s="101"/>
      <c r="EU118" s="101"/>
      <c r="EV118" s="101"/>
      <c r="EW118" s="101"/>
    </row>
    <row r="119" spans="1:155" s="49" customFormat="1">
      <c r="A119" s="76" t="s">
        <v>272</v>
      </c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6"/>
      <c r="AY119" s="76"/>
      <c r="AZ119" s="76"/>
      <c r="BA119" s="76"/>
      <c r="BB119" s="76" t="e">
        <f t="shared" ref="BB119:BN119" si="222">SUM(BB75,BB79,BB87,BB95,BB99,BB115)</f>
        <v>#REF!</v>
      </c>
      <c r="BC119" s="76" t="e">
        <f t="shared" si="222"/>
        <v>#REF!</v>
      </c>
      <c r="BD119" s="76" t="e">
        <f t="shared" si="222"/>
        <v>#REF!</v>
      </c>
      <c r="BE119" s="76" t="e">
        <f t="shared" si="222"/>
        <v>#REF!</v>
      </c>
      <c r="BF119" s="76" t="e">
        <f t="shared" si="222"/>
        <v>#REF!</v>
      </c>
      <c r="BG119" s="76" t="e">
        <f t="shared" si="222"/>
        <v>#REF!</v>
      </c>
      <c r="BH119" s="76" t="e">
        <f t="shared" si="222"/>
        <v>#REF!</v>
      </c>
      <c r="BI119" s="76" t="e">
        <f t="shared" si="222"/>
        <v>#REF!</v>
      </c>
      <c r="BJ119" s="76" t="e">
        <f t="shared" si="222"/>
        <v>#REF!</v>
      </c>
      <c r="BK119" s="76" t="e">
        <f t="shared" si="222"/>
        <v>#REF!</v>
      </c>
      <c r="BL119" s="76" t="e">
        <f t="shared" si="222"/>
        <v>#REF!</v>
      </c>
      <c r="BM119" s="76" t="e">
        <f t="shared" si="222"/>
        <v>#REF!</v>
      </c>
      <c r="BN119" s="76" t="e">
        <f t="shared" si="222"/>
        <v>#REF!</v>
      </c>
      <c r="BO119" s="76">
        <f t="shared" ref="BO119:BZ119" si="223">SUM(BO75,BO79,BO87,BO95,BO99)</f>
        <v>2230</v>
      </c>
      <c r="BP119" s="76">
        <f t="shared" si="223"/>
        <v>2636</v>
      </c>
      <c r="BQ119" s="76">
        <f t="shared" si="223"/>
        <v>2911</v>
      </c>
      <c r="BR119" s="76">
        <f t="shared" si="223"/>
        <v>3207</v>
      </c>
      <c r="BS119" s="76">
        <f t="shared" si="223"/>
        <v>3123</v>
      </c>
      <c r="BT119" s="76">
        <f t="shared" si="223"/>
        <v>3181</v>
      </c>
      <c r="BU119" s="76">
        <f t="shared" si="223"/>
        <v>2205</v>
      </c>
      <c r="BV119" s="76">
        <f t="shared" si="223"/>
        <v>2220</v>
      </c>
      <c r="BW119" s="76">
        <f t="shared" si="223"/>
        <v>2579</v>
      </c>
      <c r="BX119" s="76">
        <f t="shared" si="223"/>
        <v>3014</v>
      </c>
      <c r="BY119" s="76">
        <f t="shared" si="223"/>
        <v>3105</v>
      </c>
      <c r="BZ119" s="76">
        <f t="shared" si="223"/>
        <v>3080</v>
      </c>
      <c r="CA119" s="76">
        <f t="shared" ref="CA119:CL119" si="224">SUM(CA75,CA79,CA87,CA95,CA99)+CA91</f>
        <v>3866</v>
      </c>
      <c r="CB119" s="76">
        <f t="shared" si="224"/>
        <v>4726</v>
      </c>
      <c r="CC119" s="76">
        <f t="shared" si="224"/>
        <v>5003</v>
      </c>
      <c r="CD119" s="76">
        <f t="shared" si="224"/>
        <v>5661</v>
      </c>
      <c r="CE119" s="76">
        <f t="shared" si="224"/>
        <v>6507</v>
      </c>
      <c r="CF119" s="76">
        <f t="shared" si="224"/>
        <v>7103</v>
      </c>
      <c r="CG119" s="76">
        <f t="shared" si="224"/>
        <v>7643</v>
      </c>
      <c r="CH119" s="76">
        <f t="shared" si="224"/>
        <v>8288</v>
      </c>
      <c r="CI119" s="76">
        <f t="shared" si="224"/>
        <v>6704</v>
      </c>
      <c r="CJ119" s="76">
        <f t="shared" si="224"/>
        <v>5931</v>
      </c>
      <c r="CK119" s="76">
        <f t="shared" si="224"/>
        <v>6051</v>
      </c>
      <c r="CL119" s="76">
        <f t="shared" si="224"/>
        <v>7192</v>
      </c>
      <c r="CM119" s="76">
        <f t="shared" ref="CM119:DQ119" si="225">SUM(CM75,CM79,CM87,CM95,CM99,CM91)</f>
        <v>13507</v>
      </c>
      <c r="CN119" s="76">
        <f t="shared" si="225"/>
        <v>18120</v>
      </c>
      <c r="CO119" s="76">
        <f t="shared" si="225"/>
        <v>22103</v>
      </c>
      <c r="CP119" s="76">
        <f t="shared" si="225"/>
        <v>26044</v>
      </c>
      <c r="CQ119" s="76">
        <f t="shared" si="225"/>
        <v>30040</v>
      </c>
      <c r="CR119" s="76">
        <f t="shared" si="225"/>
        <v>35082</v>
      </c>
      <c r="CS119" s="76">
        <f t="shared" si="225"/>
        <v>39331</v>
      </c>
      <c r="CT119" s="76">
        <f t="shared" si="225"/>
        <v>44062</v>
      </c>
      <c r="CU119" s="76">
        <f t="shared" si="225"/>
        <v>46743</v>
      </c>
      <c r="CV119" s="76">
        <f t="shared" si="225"/>
        <v>57006</v>
      </c>
      <c r="CW119" s="76">
        <f t="shared" si="225"/>
        <v>68127</v>
      </c>
      <c r="CX119" s="76">
        <f t="shared" si="225"/>
        <v>81615</v>
      </c>
      <c r="CY119" s="78">
        <f t="shared" si="225"/>
        <v>93049.695490204525</v>
      </c>
      <c r="CZ119" s="78">
        <f t="shared" si="225"/>
        <v>110657.39095874946</v>
      </c>
      <c r="DA119" s="78">
        <f t="shared" si="225"/>
        <v>125531.96101679027</v>
      </c>
      <c r="DB119" s="78">
        <f t="shared" si="225"/>
        <v>137051.70908200651</v>
      </c>
      <c r="DC119" s="78">
        <f t="shared" si="225"/>
        <v>150458.66198219327</v>
      </c>
      <c r="DD119" s="78">
        <f t="shared" si="225"/>
        <v>168193.16456000754</v>
      </c>
      <c r="DE119" s="78">
        <f t="shared" si="225"/>
        <v>179416.30495241054</v>
      </c>
      <c r="DF119" s="78">
        <f t="shared" si="225"/>
        <v>184068.19608337298</v>
      </c>
      <c r="DG119" s="78">
        <f t="shared" si="225"/>
        <v>189743.54436478182</v>
      </c>
      <c r="DH119" s="78">
        <f t="shared" si="225"/>
        <v>203037.54684201549</v>
      </c>
      <c r="DI119" s="78">
        <f t="shared" si="225"/>
        <v>213173.61696678013</v>
      </c>
      <c r="DJ119" s="78">
        <f t="shared" si="225"/>
        <v>214693.75352959812</v>
      </c>
      <c r="DK119" s="78">
        <f t="shared" si="225"/>
        <v>217155.38940562791</v>
      </c>
      <c r="DL119" s="78">
        <f t="shared" si="225"/>
        <v>224007.64071852161</v>
      </c>
      <c r="DM119" s="78">
        <f t="shared" si="225"/>
        <v>228757.07306025701</v>
      </c>
      <c r="DN119" s="78">
        <f t="shared" si="225"/>
        <v>232581.4708820176</v>
      </c>
      <c r="DO119" s="78">
        <f t="shared" si="225"/>
        <v>239721.66388916987</v>
      </c>
      <c r="DP119" s="78">
        <f t="shared" si="225"/>
        <v>254182.09054237412</v>
      </c>
      <c r="DQ119" s="78">
        <f t="shared" si="225"/>
        <v>264442.47541311057</v>
      </c>
      <c r="DT119" s="77"/>
      <c r="DU119" s="77"/>
      <c r="DV119" s="77"/>
      <c r="DW119" s="77"/>
      <c r="DX119" s="77"/>
      <c r="DY119" s="77"/>
      <c r="DZ119" s="77"/>
      <c r="EA119" s="77"/>
      <c r="EB119" s="77"/>
      <c r="EC119" s="76"/>
      <c r="ED119" s="76"/>
      <c r="EE119" s="76">
        <f>EE115+EE99+EE95+EE87+EE79+EE75</f>
        <v>4280</v>
      </c>
      <c r="EF119" s="76">
        <f>EF115+EF99+EF95+EF87+EF79+EF75</f>
        <v>4130</v>
      </c>
      <c r="EG119" s="76" t="e">
        <f>EG99+EG95+EG87+EG79+EG75+EG115</f>
        <v>#REF!</v>
      </c>
      <c r="EH119" s="76" t="e">
        <f>EH99+EH95+EH87+EH79+EH75+EH115</f>
        <v>#REF!</v>
      </c>
      <c r="EI119" s="76" t="e">
        <f>EI99+EI95+EI87+EI79+EI75+EI115</f>
        <v>#REF!</v>
      </c>
      <c r="EJ119" s="76" t="e">
        <f>EJ99+EJ95+EJ87+EJ79+EJ75+EJ115</f>
        <v>#REF!</v>
      </c>
      <c r="EK119" s="76">
        <f>EK99+EK95+EK87+EK79+EK75</f>
        <v>11716</v>
      </c>
      <c r="EL119" s="76">
        <f>EL99+EL95+EL87+EL79+EL75</f>
        <v>10918</v>
      </c>
      <c r="EM119" s="76">
        <f>EM99+EM95+EM87+EM79+EM75</f>
        <v>15022.482960000001</v>
      </c>
      <c r="EN119" s="76">
        <f>+CD119+CE119+CF119+CG119</f>
        <v>26914</v>
      </c>
      <c r="EO119" s="76">
        <f>SUM(CH119:CK119)</f>
        <v>26974</v>
      </c>
      <c r="EP119" s="76">
        <f>SUM(CL119:CO119)</f>
        <v>60922</v>
      </c>
      <c r="EQ119" s="76">
        <f>SUM(CP119:CS119)</f>
        <v>130497</v>
      </c>
      <c r="ER119" s="76">
        <f>SUM(CT119:CW119)</f>
        <v>215938</v>
      </c>
      <c r="ES119" s="78">
        <f>SUM(CX119:DA119)</f>
        <v>410854.0474657442</v>
      </c>
      <c r="ET119" s="78">
        <f>SUM(DB119:DE119)</f>
        <v>635119.84057661786</v>
      </c>
      <c r="EU119" s="78">
        <f>SUM(DF119:DI119)</f>
        <v>790022.90425695048</v>
      </c>
      <c r="EV119" s="78">
        <f>SUM(DJ119:DM119)</f>
        <v>884613.85671400465</v>
      </c>
      <c r="EW119" s="78">
        <f>SUM(DN119:DQ119)</f>
        <v>990927.70072667208</v>
      </c>
      <c r="EY119" s="52"/>
    </row>
    <row r="120" spans="1:155" s="52" customFormat="1">
      <c r="A120" s="51" t="s">
        <v>223</v>
      </c>
      <c r="BC120" s="52" t="e">
        <f t="shared" ref="BC120:CM120" si="226">BC119/BB119-1</f>
        <v>#REF!</v>
      </c>
      <c r="BD120" s="52" t="e">
        <f t="shared" si="226"/>
        <v>#REF!</v>
      </c>
      <c r="BE120" s="52" t="e">
        <f t="shared" si="226"/>
        <v>#REF!</v>
      </c>
      <c r="BF120" s="52" t="e">
        <f t="shared" si="226"/>
        <v>#REF!</v>
      </c>
      <c r="BG120" s="52" t="e">
        <f t="shared" si="226"/>
        <v>#REF!</v>
      </c>
      <c r="BH120" s="52" t="e">
        <f t="shared" si="226"/>
        <v>#REF!</v>
      </c>
      <c r="BI120" s="52" t="e">
        <f t="shared" si="226"/>
        <v>#REF!</v>
      </c>
      <c r="BJ120" s="52" t="e">
        <f t="shared" si="226"/>
        <v>#REF!</v>
      </c>
      <c r="BK120" s="52" t="e">
        <f t="shared" si="226"/>
        <v>#REF!</v>
      </c>
      <c r="BL120" s="52" t="e">
        <f t="shared" si="226"/>
        <v>#REF!</v>
      </c>
      <c r="BM120" s="52" t="e">
        <f t="shared" si="226"/>
        <v>#REF!</v>
      </c>
      <c r="BN120" s="52" t="e">
        <f t="shared" si="226"/>
        <v>#REF!</v>
      </c>
      <c r="BO120" s="52" t="e">
        <f t="shared" si="226"/>
        <v>#REF!</v>
      </c>
      <c r="BP120" s="52">
        <f t="shared" si="226"/>
        <v>0.1820627802690582</v>
      </c>
      <c r="BQ120" s="52">
        <f t="shared" si="226"/>
        <v>0.10432473444613044</v>
      </c>
      <c r="BR120" s="52">
        <f t="shared" si="226"/>
        <v>0.1016832703538304</v>
      </c>
      <c r="BS120" s="52">
        <f t="shared" si="226"/>
        <v>-2.6192703461178635E-2</v>
      </c>
      <c r="BT120" s="52">
        <f t="shared" si="226"/>
        <v>1.8571886007044514E-2</v>
      </c>
      <c r="BU120" s="52">
        <f t="shared" si="226"/>
        <v>-0.30682175416535684</v>
      </c>
      <c r="BV120" s="52">
        <f t="shared" si="226"/>
        <v>6.8027210884353817E-3</v>
      </c>
      <c r="BW120" s="52">
        <f t="shared" si="226"/>
        <v>0.16171171171171173</v>
      </c>
      <c r="BX120" s="52">
        <f t="shared" si="226"/>
        <v>0.16867002714230317</v>
      </c>
      <c r="BY120" s="52">
        <f t="shared" si="226"/>
        <v>3.0192435301924281E-2</v>
      </c>
      <c r="BZ120" s="52">
        <f t="shared" si="226"/>
        <v>-8.0515297906602612E-3</v>
      </c>
      <c r="CA120" s="52">
        <f t="shared" si="226"/>
        <v>0.2551948051948052</v>
      </c>
      <c r="CB120" s="52">
        <f t="shared" si="226"/>
        <v>0.22245214692188298</v>
      </c>
      <c r="CC120" s="52">
        <f t="shared" si="226"/>
        <v>5.8611933982225972E-2</v>
      </c>
      <c r="CD120" s="52">
        <f t="shared" si="226"/>
        <v>0.13152108734759138</v>
      </c>
      <c r="CE120" s="52">
        <f t="shared" si="226"/>
        <v>0.14944356120826718</v>
      </c>
      <c r="CF120" s="52">
        <f t="shared" si="226"/>
        <v>9.1593668357153879E-2</v>
      </c>
      <c r="CG120" s="52">
        <f t="shared" si="226"/>
        <v>7.6024215120371608E-2</v>
      </c>
      <c r="CH120" s="52">
        <f t="shared" si="226"/>
        <v>8.4390945963626951E-2</v>
      </c>
      <c r="CI120" s="52">
        <f t="shared" si="226"/>
        <v>-0.19111969111969107</v>
      </c>
      <c r="CJ120" s="52">
        <f t="shared" si="226"/>
        <v>-0.11530429594272074</v>
      </c>
      <c r="CK120" s="52">
        <f t="shared" si="226"/>
        <v>2.0232675771370667E-2</v>
      </c>
      <c r="CL120" s="52">
        <f t="shared" si="226"/>
        <v>0.1885638737398776</v>
      </c>
      <c r="CM120" s="52">
        <f t="shared" si="226"/>
        <v>0.87805895439377091</v>
      </c>
      <c r="CN120" s="52">
        <f>CN119/CM119-1</f>
        <v>0.34152661582882948</v>
      </c>
      <c r="CO120" s="52">
        <f>CO119/CN119-1</f>
        <v>0.21981236203090515</v>
      </c>
      <c r="CP120" s="52">
        <f>CP119/CO119-1</f>
        <v>0.17830158801972584</v>
      </c>
      <c r="CQ120" s="52">
        <f t="shared" ref="CQ120:DQ120" si="227">CQ119/CP119-1</f>
        <v>0.1534326524343419</v>
      </c>
      <c r="CR120" s="52">
        <f t="shared" si="227"/>
        <v>0.16784287616511318</v>
      </c>
      <c r="CS120" s="52">
        <f t="shared" si="227"/>
        <v>0.12111624194743742</v>
      </c>
      <c r="CT120" s="52">
        <f t="shared" si="227"/>
        <v>0.12028679667437903</v>
      </c>
      <c r="CU120" s="52">
        <f t="shared" si="227"/>
        <v>6.0846080522899637E-2</v>
      </c>
      <c r="CV120" s="52">
        <f t="shared" si="227"/>
        <v>0.21956228740132211</v>
      </c>
      <c r="CW120" s="52">
        <f t="shared" si="227"/>
        <v>0.1950847279233765</v>
      </c>
      <c r="CX120" s="52">
        <f t="shared" si="227"/>
        <v>0.1979831784754944</v>
      </c>
      <c r="CY120" s="53">
        <f t="shared" si="227"/>
        <v>0.14010531752992139</v>
      </c>
      <c r="CZ120" s="53">
        <f t="shared" si="227"/>
        <v>0.18922894240313259</v>
      </c>
      <c r="DA120" s="53">
        <f t="shared" si="227"/>
        <v>0.13442003221986054</v>
      </c>
      <c r="DB120" s="53">
        <f t="shared" si="227"/>
        <v>9.1767450869945755E-2</v>
      </c>
      <c r="DC120" s="53">
        <f t="shared" si="227"/>
        <v>9.7824047507240941E-2</v>
      </c>
      <c r="DD120" s="53">
        <f t="shared" si="227"/>
        <v>0.11786960181736261</v>
      </c>
      <c r="DE120" s="53">
        <f t="shared" si="227"/>
        <v>6.6727684337010151E-2</v>
      </c>
      <c r="DF120" s="53">
        <f t="shared" si="227"/>
        <v>2.5927917377388532E-2</v>
      </c>
      <c r="DG120" s="53">
        <f t="shared" si="227"/>
        <v>3.0832856529099617E-2</v>
      </c>
      <c r="DH120" s="53">
        <f t="shared" si="227"/>
        <v>7.0063002784832351E-2</v>
      </c>
      <c r="DI120" s="53">
        <f t="shared" si="227"/>
        <v>4.9922146334104189E-2</v>
      </c>
      <c r="DJ120" s="53">
        <f t="shared" si="227"/>
        <v>7.1309788915148165E-3</v>
      </c>
      <c r="DK120" s="53">
        <f t="shared" si="227"/>
        <v>1.146580110301354E-2</v>
      </c>
      <c r="DL120" s="53">
        <f t="shared" si="227"/>
        <v>3.1554599366144576E-2</v>
      </c>
      <c r="DM120" s="53">
        <f t="shared" si="227"/>
        <v>2.1202099743121483E-2</v>
      </c>
      <c r="DN120" s="53">
        <f t="shared" si="227"/>
        <v>1.6718162068602771E-2</v>
      </c>
      <c r="DO120" s="53">
        <f t="shared" si="227"/>
        <v>3.0699749984702374E-2</v>
      </c>
      <c r="DP120" s="53">
        <f t="shared" si="227"/>
        <v>6.032173487620085E-2</v>
      </c>
      <c r="DQ120" s="53">
        <f t="shared" si="227"/>
        <v>4.036627776899171E-2</v>
      </c>
      <c r="DT120" s="54" t="s">
        <v>224</v>
      </c>
      <c r="DU120" s="54" t="s">
        <v>224</v>
      </c>
      <c r="DV120" s="54" t="s">
        <v>224</v>
      </c>
      <c r="DW120" s="54" t="s">
        <v>224</v>
      </c>
      <c r="DX120" s="54" t="s">
        <v>224</v>
      </c>
      <c r="DY120" s="54" t="s">
        <v>224</v>
      </c>
      <c r="DZ120" s="54" t="s">
        <v>224</v>
      </c>
      <c r="EA120" s="54" t="s">
        <v>224</v>
      </c>
      <c r="EB120" s="54" t="s">
        <v>224</v>
      </c>
      <c r="EC120" s="54" t="s">
        <v>224</v>
      </c>
      <c r="ED120" s="54" t="s">
        <v>224</v>
      </c>
      <c r="EE120" s="54" t="s">
        <v>224</v>
      </c>
      <c r="EF120" s="54" t="s">
        <v>224</v>
      </c>
      <c r="EG120" s="54" t="s">
        <v>224</v>
      </c>
      <c r="EH120" s="54" t="s">
        <v>224</v>
      </c>
      <c r="EI120" s="54" t="s">
        <v>224</v>
      </c>
      <c r="EJ120" s="54" t="s">
        <v>224</v>
      </c>
      <c r="EK120" s="54" t="s">
        <v>224</v>
      </c>
      <c r="EL120" s="54" t="s">
        <v>224</v>
      </c>
      <c r="EM120" s="54" t="s">
        <v>224</v>
      </c>
      <c r="EN120" s="54" t="s">
        <v>224</v>
      </c>
      <c r="EO120" s="54" t="s">
        <v>224</v>
      </c>
      <c r="EP120" s="54" t="s">
        <v>224</v>
      </c>
      <c r="EQ120" s="54" t="s">
        <v>224</v>
      </c>
      <c r="ER120" s="54" t="s">
        <v>224</v>
      </c>
      <c r="ES120" s="55" t="s">
        <v>224</v>
      </c>
      <c r="ET120" s="55" t="s">
        <v>224</v>
      </c>
      <c r="EU120" s="55" t="s">
        <v>224</v>
      </c>
      <c r="EV120" s="55" t="s">
        <v>224</v>
      </c>
      <c r="EW120" s="55" t="s">
        <v>224</v>
      </c>
    </row>
    <row r="121" spans="1:155" s="770" customFormat="1">
      <c r="A121" s="769" t="s">
        <v>225</v>
      </c>
      <c r="BF121" s="770" t="e">
        <f t="shared" ref="BF121:CM121" si="228">BF119/BB119-1</f>
        <v>#REF!</v>
      </c>
      <c r="BG121" s="770" t="e">
        <f t="shared" si="228"/>
        <v>#REF!</v>
      </c>
      <c r="BH121" s="770" t="e">
        <f t="shared" si="228"/>
        <v>#REF!</v>
      </c>
      <c r="BI121" s="770" t="e">
        <f t="shared" si="228"/>
        <v>#REF!</v>
      </c>
      <c r="BJ121" s="770" t="e">
        <f t="shared" si="228"/>
        <v>#REF!</v>
      </c>
      <c r="BK121" s="770" t="e">
        <f t="shared" si="228"/>
        <v>#REF!</v>
      </c>
      <c r="BL121" s="770" t="e">
        <f t="shared" si="228"/>
        <v>#REF!</v>
      </c>
      <c r="BM121" s="770" t="e">
        <f t="shared" si="228"/>
        <v>#REF!</v>
      </c>
      <c r="BN121" s="770" t="e">
        <f t="shared" si="228"/>
        <v>#REF!</v>
      </c>
      <c r="BO121" s="770" t="e">
        <f t="shared" si="228"/>
        <v>#REF!</v>
      </c>
      <c r="BP121" s="770" t="e">
        <f t="shared" si="228"/>
        <v>#REF!</v>
      </c>
      <c r="BQ121" s="770" t="e">
        <f t="shared" si="228"/>
        <v>#REF!</v>
      </c>
      <c r="BR121" s="770" t="e">
        <f t="shared" si="228"/>
        <v>#REF!</v>
      </c>
      <c r="BS121" s="770">
        <f t="shared" si="228"/>
        <v>0.40044843049327361</v>
      </c>
      <c r="BT121" s="770">
        <f t="shared" si="228"/>
        <v>0.20675265553869493</v>
      </c>
      <c r="BU121" s="770">
        <f t="shared" si="228"/>
        <v>-0.24252834077636554</v>
      </c>
      <c r="BV121" s="770">
        <f t="shared" si="228"/>
        <v>-0.3077642656688494</v>
      </c>
      <c r="BW121" s="770">
        <f t="shared" si="228"/>
        <v>-0.17419148254883121</v>
      </c>
      <c r="BX121" s="770">
        <f t="shared" si="228"/>
        <v>-5.2499214083621459E-2</v>
      </c>
      <c r="BY121" s="770">
        <f t="shared" si="228"/>
        <v>0.40816326530612246</v>
      </c>
      <c r="BZ121" s="770">
        <f t="shared" si="228"/>
        <v>0.38738738738738743</v>
      </c>
      <c r="CA121" s="770">
        <f t="shared" si="228"/>
        <v>0.49903063202791786</v>
      </c>
      <c r="CB121" s="770">
        <f t="shared" si="228"/>
        <v>0.56801592568015935</v>
      </c>
      <c r="CC121" s="770">
        <f t="shared" si="228"/>
        <v>0.61127214170692423</v>
      </c>
      <c r="CD121" s="770">
        <f t="shared" si="228"/>
        <v>0.83798701298701306</v>
      </c>
      <c r="CE121" s="770">
        <f t="shared" si="228"/>
        <v>0.68313502327987585</v>
      </c>
      <c r="CF121" s="770">
        <f t="shared" si="228"/>
        <v>0.50296233601354201</v>
      </c>
      <c r="CG121" s="770">
        <f t="shared" si="228"/>
        <v>0.52768338996602049</v>
      </c>
      <c r="CH121" s="770">
        <f t="shared" si="228"/>
        <v>0.46405228758169925</v>
      </c>
      <c r="CI121" s="770">
        <f t="shared" si="228"/>
        <v>3.0275088366374714E-2</v>
      </c>
      <c r="CJ121" s="770">
        <f t="shared" si="228"/>
        <v>-0.16500070392791777</v>
      </c>
      <c r="CK121" s="770">
        <f t="shared" si="228"/>
        <v>-0.20829517205285886</v>
      </c>
      <c r="CL121" s="770">
        <f t="shared" si="228"/>
        <v>-0.13223938223938225</v>
      </c>
      <c r="CM121" s="770">
        <f t="shared" si="228"/>
        <v>1.0147673031026252</v>
      </c>
      <c r="CN121" s="770">
        <f>CN119/CJ119-1</f>
        <v>2.0551340414769852</v>
      </c>
      <c r="CO121" s="770">
        <f>CO119/CK119-1</f>
        <v>2.6527846636919516</v>
      </c>
      <c r="CP121" s="770">
        <f>CP119/CL119-1</f>
        <v>2.6212458286985538</v>
      </c>
      <c r="CQ121" s="770">
        <f t="shared" ref="CQ121:DQ121" si="229">CQ119/CM119-1</f>
        <v>1.2240319834160065</v>
      </c>
      <c r="CR121" s="770">
        <f t="shared" si="229"/>
        <v>0.93609271523178816</v>
      </c>
      <c r="CS121" s="770">
        <f t="shared" si="229"/>
        <v>0.77944170474596208</v>
      </c>
      <c r="CT121" s="770">
        <f t="shared" si="229"/>
        <v>0.69182921210259551</v>
      </c>
      <c r="CU121" s="770">
        <f t="shared" si="229"/>
        <v>0.5560252996005326</v>
      </c>
      <c r="CV121" s="770">
        <f t="shared" si="229"/>
        <v>0.62493586454592109</v>
      </c>
      <c r="CW121" s="770">
        <f t="shared" si="229"/>
        <v>0.73214512725331171</v>
      </c>
      <c r="CX121" s="770">
        <f t="shared" si="229"/>
        <v>0.85227633788752222</v>
      </c>
      <c r="CY121" s="771">
        <f t="shared" si="229"/>
        <v>0.99066588559152224</v>
      </c>
      <c r="CZ121" s="771">
        <f t="shared" si="229"/>
        <v>0.94115340418112936</v>
      </c>
      <c r="DA121" s="771">
        <f t="shared" si="229"/>
        <v>0.84261689222760827</v>
      </c>
      <c r="DB121" s="771">
        <f t="shared" si="229"/>
        <v>0.67924657332606153</v>
      </c>
      <c r="DC121" s="771">
        <f t="shared" si="229"/>
        <v>0.61697103026019318</v>
      </c>
      <c r="DD121" s="771">
        <f t="shared" si="229"/>
        <v>0.51994514874027797</v>
      </c>
      <c r="DE121" s="771">
        <f t="shared" si="229"/>
        <v>0.42924800583982825</v>
      </c>
      <c r="DF121" s="771">
        <f t="shared" si="229"/>
        <v>0.34305655373647048</v>
      </c>
      <c r="DG121" s="771">
        <f t="shared" si="229"/>
        <v>0.26110083570487896</v>
      </c>
      <c r="DH121" s="771">
        <f t="shared" si="229"/>
        <v>0.20716883693318144</v>
      </c>
      <c r="DI121" s="771">
        <f t="shared" si="229"/>
        <v>0.18815074819049227</v>
      </c>
      <c r="DJ121" s="771">
        <f t="shared" si="229"/>
        <v>0.16638158083731858</v>
      </c>
      <c r="DK121" s="771">
        <f t="shared" si="229"/>
        <v>0.14446786652275678</v>
      </c>
      <c r="DL121" s="771">
        <f t="shared" si="229"/>
        <v>0.10328185206464813</v>
      </c>
      <c r="DM121" s="771">
        <f t="shared" si="229"/>
        <v>7.3102179881412432E-2</v>
      </c>
      <c r="DN121" s="771">
        <f t="shared" si="229"/>
        <v>8.3317362793945637E-2</v>
      </c>
      <c r="DO121" s="771">
        <f t="shared" si="229"/>
        <v>0.10391763494936823</v>
      </c>
      <c r="DP121" s="771">
        <f t="shared" si="229"/>
        <v>0.13470277052633417</v>
      </c>
      <c r="DQ121" s="771">
        <f t="shared" si="229"/>
        <v>0.15599693541914506</v>
      </c>
      <c r="EC121" s="772"/>
      <c r="ED121" s="772"/>
      <c r="EE121" s="773"/>
      <c r="EF121" s="773">
        <f t="shared" ref="EF121:ET121" si="230">EF119/EE119-1</f>
        <v>-3.5046728971962593E-2</v>
      </c>
      <c r="EG121" s="770" t="e">
        <f t="shared" si="230"/>
        <v>#REF!</v>
      </c>
      <c r="EH121" s="770" t="e">
        <f t="shared" si="230"/>
        <v>#REF!</v>
      </c>
      <c r="EI121" s="770" t="e">
        <f t="shared" si="230"/>
        <v>#REF!</v>
      </c>
      <c r="EJ121" s="770" t="e">
        <f t="shared" si="230"/>
        <v>#REF!</v>
      </c>
      <c r="EK121" s="770" t="e">
        <f t="shared" si="230"/>
        <v>#REF!</v>
      </c>
      <c r="EL121" s="770">
        <f t="shared" si="230"/>
        <v>-6.8111983612154314E-2</v>
      </c>
      <c r="EM121" s="770">
        <f t="shared" si="230"/>
        <v>0.37593725590767546</v>
      </c>
      <c r="EN121" s="770">
        <f t="shared" si="230"/>
        <v>0.79158132990819507</v>
      </c>
      <c r="EO121" s="770">
        <f t="shared" si="230"/>
        <v>2.2293230289069932E-3</v>
      </c>
      <c r="EP121" s="770">
        <f t="shared" si="230"/>
        <v>1.2585452658115224</v>
      </c>
      <c r="EQ121" s="770">
        <f t="shared" si="230"/>
        <v>1.1420340763599355</v>
      </c>
      <c r="ER121" s="770">
        <f t="shared" si="230"/>
        <v>0.65473535790094783</v>
      </c>
      <c r="ES121" s="774">
        <f t="shared" si="230"/>
        <v>0.90264820210312302</v>
      </c>
      <c r="ET121" s="774">
        <f t="shared" si="230"/>
        <v>0.54585270485761073</v>
      </c>
      <c r="EU121" s="774">
        <f>EU119/ET119-1</f>
        <v>0.24389580325454485</v>
      </c>
      <c r="EV121" s="774">
        <f>EV119/EU119-1</f>
        <v>0.11973191150201012</v>
      </c>
      <c r="EW121" s="774">
        <f>EW119/EV119-1</f>
        <v>0.12018107472064909</v>
      </c>
    </row>
    <row r="122" spans="1:155" s="52" customFormat="1">
      <c r="A122" s="51" t="s">
        <v>258</v>
      </c>
      <c r="BB122" s="52" t="e">
        <f>BB119/BB$119</f>
        <v>#REF!</v>
      </c>
      <c r="BC122" s="52" t="e">
        <f t="shared" ref="BC122:BJ122" si="231">BC119/BC$119</f>
        <v>#REF!</v>
      </c>
      <c r="BD122" s="52" t="e">
        <f t="shared" si="231"/>
        <v>#REF!</v>
      </c>
      <c r="BE122" s="52" t="e">
        <f t="shared" si="231"/>
        <v>#REF!</v>
      </c>
      <c r="BF122" s="52" t="e">
        <f t="shared" si="231"/>
        <v>#REF!</v>
      </c>
      <c r="BG122" s="52" t="e">
        <f t="shared" si="231"/>
        <v>#REF!</v>
      </c>
      <c r="BH122" s="52" t="e">
        <f t="shared" si="231"/>
        <v>#REF!</v>
      </c>
      <c r="BI122" s="52" t="e">
        <f t="shared" si="231"/>
        <v>#REF!</v>
      </c>
      <c r="BJ122" s="52" t="e">
        <f t="shared" si="231"/>
        <v>#REF!</v>
      </c>
      <c r="BK122" s="52" t="e">
        <f>BK119/BK$119</f>
        <v>#REF!</v>
      </c>
      <c r="BL122" s="52" t="e">
        <f>BL119/BL$119</f>
        <v>#REF!</v>
      </c>
      <c r="BM122" s="52" t="e">
        <f>BM119/BM$119</f>
        <v>#REF!</v>
      </c>
      <c r="BN122" s="52" t="e">
        <f>BN119/BN$119</f>
        <v>#REF!</v>
      </c>
      <c r="BO122" s="52">
        <f t="shared" ref="BO122:BU122" si="232">BO119/BO$119</f>
        <v>1</v>
      </c>
      <c r="BP122" s="52">
        <f t="shared" si="232"/>
        <v>1</v>
      </c>
      <c r="BQ122" s="52">
        <f>BQ119/BQ$119</f>
        <v>1</v>
      </c>
      <c r="BR122" s="52">
        <f t="shared" si="232"/>
        <v>1</v>
      </c>
      <c r="BS122" s="52">
        <f t="shared" si="232"/>
        <v>1</v>
      </c>
      <c r="BT122" s="52">
        <f t="shared" si="232"/>
        <v>1</v>
      </c>
      <c r="BU122" s="52">
        <f t="shared" si="232"/>
        <v>1</v>
      </c>
      <c r="BV122" s="52">
        <f>BV119/BV$119</f>
        <v>1</v>
      </c>
      <c r="BW122" s="52">
        <f>BW119/BW$119</f>
        <v>1</v>
      </c>
      <c r="BX122" s="52">
        <f>BX119/BX$119</f>
        <v>1</v>
      </c>
      <c r="BY122" s="52">
        <f>BY119/BY$119</f>
        <v>1</v>
      </c>
      <c r="BZ122" s="52">
        <f>BZ119/BZ$119</f>
        <v>1</v>
      </c>
      <c r="CA122" s="52">
        <f t="shared" ref="CA122:CF122" si="233">CA119/CA$119</f>
        <v>1</v>
      </c>
      <c r="CB122" s="52">
        <f t="shared" si="233"/>
        <v>1</v>
      </c>
      <c r="CC122" s="52">
        <f t="shared" si="233"/>
        <v>1</v>
      </c>
      <c r="CD122" s="52">
        <f t="shared" si="233"/>
        <v>1</v>
      </c>
      <c r="CE122" s="52">
        <f t="shared" si="233"/>
        <v>1</v>
      </c>
      <c r="CF122" s="52">
        <f t="shared" si="233"/>
        <v>1</v>
      </c>
      <c r="CG122" s="52">
        <f>CG119/CG$119</f>
        <v>1</v>
      </c>
      <c r="CH122" s="52">
        <f t="shared" ref="CH122:CS122" si="234">CH119/CH$119</f>
        <v>1</v>
      </c>
      <c r="CI122" s="52">
        <f t="shared" si="234"/>
        <v>1</v>
      </c>
      <c r="CJ122" s="52">
        <f t="shared" si="234"/>
        <v>1</v>
      </c>
      <c r="CK122" s="52">
        <f t="shared" si="234"/>
        <v>1</v>
      </c>
      <c r="CL122" s="52">
        <f t="shared" si="234"/>
        <v>1</v>
      </c>
      <c r="CM122" s="52">
        <f t="shared" si="234"/>
        <v>1</v>
      </c>
      <c r="CN122" s="52">
        <f t="shared" si="234"/>
        <v>1</v>
      </c>
      <c r="CO122" s="52">
        <f t="shared" si="234"/>
        <v>1</v>
      </c>
      <c r="CP122" s="52">
        <f t="shared" si="234"/>
        <v>1</v>
      </c>
      <c r="CQ122" s="52">
        <f t="shared" si="234"/>
        <v>1</v>
      </c>
      <c r="CR122" s="52">
        <f t="shared" si="234"/>
        <v>1</v>
      </c>
      <c r="CS122" s="52">
        <f t="shared" si="234"/>
        <v>1</v>
      </c>
      <c r="CT122" s="52">
        <f>CT119/CT$119</f>
        <v>1</v>
      </c>
      <c r="CU122" s="52">
        <f t="shared" ref="CU122:DQ122" si="235">CU119/CU$119</f>
        <v>1</v>
      </c>
      <c r="CV122" s="52">
        <f t="shared" si="235"/>
        <v>1</v>
      </c>
      <c r="CW122" s="52">
        <f>CW119/CW$119</f>
        <v>1</v>
      </c>
      <c r="CX122" s="52">
        <f t="shared" si="235"/>
        <v>1</v>
      </c>
      <c r="CY122" s="53">
        <f t="shared" si="235"/>
        <v>1</v>
      </c>
      <c r="CZ122" s="53">
        <f t="shared" si="235"/>
        <v>1</v>
      </c>
      <c r="DA122" s="53">
        <f t="shared" si="235"/>
        <v>1</v>
      </c>
      <c r="DB122" s="53">
        <f t="shared" si="235"/>
        <v>1</v>
      </c>
      <c r="DC122" s="53">
        <f t="shared" si="235"/>
        <v>1</v>
      </c>
      <c r="DD122" s="53">
        <f t="shared" si="235"/>
        <v>1</v>
      </c>
      <c r="DE122" s="53">
        <f t="shared" si="235"/>
        <v>1</v>
      </c>
      <c r="DF122" s="53">
        <f t="shared" si="235"/>
        <v>1</v>
      </c>
      <c r="DG122" s="53">
        <f t="shared" si="235"/>
        <v>1</v>
      </c>
      <c r="DH122" s="53">
        <f t="shared" si="235"/>
        <v>1</v>
      </c>
      <c r="DI122" s="53">
        <f t="shared" si="235"/>
        <v>1</v>
      </c>
      <c r="DJ122" s="53">
        <f t="shared" si="235"/>
        <v>1</v>
      </c>
      <c r="DK122" s="53">
        <f t="shared" si="235"/>
        <v>1</v>
      </c>
      <c r="DL122" s="53">
        <f t="shared" si="235"/>
        <v>1</v>
      </c>
      <c r="DM122" s="53">
        <f t="shared" si="235"/>
        <v>1</v>
      </c>
      <c r="DN122" s="53">
        <f t="shared" si="235"/>
        <v>1</v>
      </c>
      <c r="DO122" s="53">
        <f t="shared" si="235"/>
        <v>1</v>
      </c>
      <c r="DP122" s="53">
        <f t="shared" si="235"/>
        <v>1</v>
      </c>
      <c r="DQ122" s="53">
        <f t="shared" si="235"/>
        <v>1</v>
      </c>
      <c r="EC122" s="79"/>
      <c r="ED122" s="79"/>
      <c r="EE122" s="79"/>
      <c r="EF122" s="79"/>
      <c r="EG122" s="79"/>
      <c r="EH122" s="91"/>
      <c r="EI122" s="91"/>
      <c r="EJ122" s="79"/>
      <c r="EK122" s="79"/>
      <c r="EL122" s="79"/>
      <c r="EM122" s="79"/>
      <c r="EN122" s="79"/>
      <c r="EO122" s="79"/>
      <c r="EP122" s="79"/>
      <c r="EQ122" s="79"/>
      <c r="ER122" s="79"/>
      <c r="ES122" s="79"/>
      <c r="ET122" s="79"/>
      <c r="EU122" s="79"/>
      <c r="EV122" s="79"/>
      <c r="EW122" s="79"/>
    </row>
    <row r="123" spans="1:155" s="49" customFormat="1">
      <c r="A123" s="76" t="s">
        <v>273</v>
      </c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6"/>
      <c r="AY123" s="76"/>
      <c r="AZ123" s="76"/>
      <c r="BA123" s="76"/>
      <c r="BB123" s="76"/>
      <c r="BC123" s="76"/>
      <c r="BD123" s="76"/>
      <c r="BE123" s="76"/>
      <c r="BF123" s="76"/>
      <c r="BG123" s="76"/>
      <c r="BH123" s="76"/>
      <c r="BI123" s="76"/>
      <c r="BJ123" s="76"/>
      <c r="BK123" s="76"/>
      <c r="BL123" s="76"/>
      <c r="BM123" s="76"/>
      <c r="BN123" s="76"/>
      <c r="BO123" s="76"/>
      <c r="BP123" s="76"/>
      <c r="BQ123" s="76"/>
      <c r="BR123" s="76"/>
      <c r="BS123" s="76"/>
      <c r="BT123" s="76"/>
      <c r="BU123" s="76"/>
      <c r="BV123" s="76"/>
      <c r="BW123" s="76"/>
      <c r="BX123" s="76"/>
      <c r="BY123" s="76"/>
      <c r="BZ123" s="76"/>
      <c r="CA123" s="76"/>
      <c r="CB123" s="76"/>
      <c r="CC123" s="76"/>
      <c r="CD123" s="76"/>
      <c r="CE123" s="76"/>
      <c r="CF123" s="76"/>
      <c r="CG123" s="76"/>
      <c r="CH123" s="76"/>
      <c r="CI123" s="76"/>
      <c r="CJ123" s="76"/>
      <c r="CK123" s="76"/>
      <c r="CL123" s="76"/>
      <c r="CM123" s="76"/>
      <c r="CN123" s="76"/>
      <c r="CO123" s="76"/>
      <c r="CP123" s="76"/>
      <c r="CQ123" s="76"/>
      <c r="CR123" s="76"/>
      <c r="CS123" s="76"/>
      <c r="CT123" s="76"/>
      <c r="CU123" s="76"/>
      <c r="CV123" s="76"/>
      <c r="CW123" s="76"/>
      <c r="CX123" s="76">
        <f t="shared" ref="CX123:DQ123" si="236">CX119-CX83</f>
        <v>6369</v>
      </c>
      <c r="CY123" s="78">
        <f t="shared" si="236"/>
        <v>6516.7954902045312</v>
      </c>
      <c r="CZ123" s="78">
        <f t="shared" si="236"/>
        <v>6817.9109587494604</v>
      </c>
      <c r="DA123" s="78">
        <f t="shared" si="236"/>
        <v>7154.9538167902647</v>
      </c>
      <c r="DB123" s="78">
        <f t="shared" si="236"/>
        <v>6837.0011620064761</v>
      </c>
      <c r="DC123" s="78">
        <f t="shared" si="236"/>
        <v>7222.4832701932173</v>
      </c>
      <c r="DD123" s="78">
        <f t="shared" si="236"/>
        <v>7768.6444025674718</v>
      </c>
      <c r="DE123" s="78">
        <f t="shared" si="236"/>
        <v>8077.604478669673</v>
      </c>
      <c r="DF123" s="78">
        <f t="shared" si="236"/>
        <v>7589.3345954198739</v>
      </c>
      <c r="DG123" s="78">
        <f t="shared" si="236"/>
        <v>7970.317032190098</v>
      </c>
      <c r="DH123" s="78">
        <f t="shared" si="236"/>
        <v>8540.1935961423151</v>
      </c>
      <c r="DI123" s="78">
        <f t="shared" si="236"/>
        <v>8951.3960586132889</v>
      </c>
      <c r="DJ123" s="78">
        <f t="shared" si="236"/>
        <v>8429.3104123495868</v>
      </c>
      <c r="DK123" s="78">
        <f t="shared" si="236"/>
        <v>8828.3018572069122</v>
      </c>
      <c r="DL123" s="78">
        <f t="shared" si="236"/>
        <v>9430.7405436479603</v>
      </c>
      <c r="DM123" s="78">
        <f t="shared" si="236"/>
        <v>9888.6348818858969</v>
      </c>
      <c r="DN123" s="78">
        <f t="shared" si="236"/>
        <v>9335.6639400790737</v>
      </c>
      <c r="DO123" s="78">
        <f t="shared" si="236"/>
        <v>9778.4827389731654</v>
      </c>
      <c r="DP123" s="78">
        <f t="shared" si="236"/>
        <v>10442.318523165624</v>
      </c>
      <c r="DQ123" s="78">
        <f t="shared" si="236"/>
        <v>10953.112513133732</v>
      </c>
      <c r="DT123" s="77"/>
      <c r="DU123" s="77"/>
      <c r="DV123" s="77"/>
      <c r="DW123" s="77"/>
      <c r="DX123" s="77"/>
      <c r="DY123" s="77"/>
      <c r="DZ123" s="77"/>
      <c r="EA123" s="77"/>
      <c r="EB123" s="77"/>
      <c r="EC123" s="76"/>
      <c r="ED123" s="76"/>
      <c r="EE123" s="76"/>
      <c r="EF123" s="76"/>
      <c r="EG123" s="76"/>
      <c r="EH123" s="76"/>
      <c r="EI123" s="76"/>
      <c r="EJ123" s="76"/>
      <c r="EK123" s="76"/>
      <c r="EL123" s="76"/>
      <c r="EM123" s="76"/>
      <c r="EN123" s="76"/>
      <c r="EO123" s="76"/>
      <c r="EP123" s="76"/>
      <c r="EQ123" s="76"/>
      <c r="ER123" s="76"/>
      <c r="ES123" s="78">
        <f>SUM(CX123:DA123)</f>
        <v>26858.660265744256</v>
      </c>
      <c r="ET123" s="78">
        <f>SUM(DB123:DE123)</f>
        <v>29905.733313436838</v>
      </c>
      <c r="EU123" s="78">
        <f>SUM(DF123:DI123)</f>
        <v>33051.241282365576</v>
      </c>
      <c r="EV123" s="78">
        <f>SUM(DJ123:DM123)</f>
        <v>36576.987695090356</v>
      </c>
      <c r="EW123" s="78">
        <f>SUM(DN123:DQ123)</f>
        <v>40509.577715351596</v>
      </c>
      <c r="EY123" s="52"/>
    </row>
    <row r="124" spans="1:155">
      <c r="A124" s="51" t="s">
        <v>223</v>
      </c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5"/>
      <c r="CI124" s="52"/>
      <c r="CJ124" s="52"/>
      <c r="CK124" s="52"/>
      <c r="CL124" s="52"/>
      <c r="CM124" s="52"/>
      <c r="CN124" s="52"/>
      <c r="CO124" s="52"/>
      <c r="CP124" s="52"/>
      <c r="CQ124" s="52"/>
      <c r="CR124" s="52"/>
      <c r="CS124" s="52"/>
      <c r="CT124" s="52"/>
      <c r="CU124" s="52"/>
      <c r="CV124" s="52"/>
      <c r="CW124" s="52"/>
      <c r="CX124" s="105"/>
      <c r="CY124" s="53">
        <f t="shared" ref="CY124:DQ124" si="237">CY123/CX123-1</f>
        <v>2.3205446727042167E-2</v>
      </c>
      <c r="CZ124" s="53">
        <f t="shared" si="237"/>
        <v>4.6206063854165702E-2</v>
      </c>
      <c r="DA124" s="53">
        <f t="shared" si="237"/>
        <v>4.9434916366614567E-2</v>
      </c>
      <c r="DB124" s="53">
        <f t="shared" si="237"/>
        <v>-4.4438114196860501E-2</v>
      </c>
      <c r="DC124" s="53">
        <f t="shared" si="237"/>
        <v>5.638175262114653E-2</v>
      </c>
      <c r="DD124" s="53">
        <f t="shared" si="237"/>
        <v>7.5619577358971624E-2</v>
      </c>
      <c r="DE124" s="53">
        <f t="shared" si="237"/>
        <v>3.9770140077475036E-2</v>
      </c>
      <c r="DF124" s="53">
        <f t="shared" si="237"/>
        <v>-6.0447362152871054E-2</v>
      </c>
      <c r="DG124" s="53">
        <f t="shared" si="237"/>
        <v>5.0199715400628842E-2</v>
      </c>
      <c r="DH124" s="53">
        <f t="shared" si="237"/>
        <v>7.1499861504960238E-2</v>
      </c>
      <c r="DI124" s="53">
        <f t="shared" si="237"/>
        <v>4.8149079741789169E-2</v>
      </c>
      <c r="DJ124" s="53">
        <f t="shared" si="237"/>
        <v>-5.8324494061609111E-2</v>
      </c>
      <c r="DK124" s="53">
        <f t="shared" si="237"/>
        <v>4.7333817992130545E-2</v>
      </c>
      <c r="DL124" s="53">
        <f t="shared" si="237"/>
        <v>6.823947529039831E-2</v>
      </c>
      <c r="DM124" s="53">
        <f t="shared" si="237"/>
        <v>4.855338094804762E-2</v>
      </c>
      <c r="DN124" s="53">
        <f t="shared" si="237"/>
        <v>-5.5919846208475232E-2</v>
      </c>
      <c r="DO124" s="53">
        <f t="shared" si="237"/>
        <v>4.7433026910171927E-2</v>
      </c>
      <c r="DP124" s="53">
        <f t="shared" si="237"/>
        <v>6.7887401544073134E-2</v>
      </c>
      <c r="DQ124" s="53">
        <f t="shared" si="237"/>
        <v>4.8915764141358453E-2</v>
      </c>
      <c r="EC124" s="102"/>
      <c r="ED124" s="102"/>
      <c r="EE124" s="35"/>
      <c r="EF124" s="35"/>
      <c r="EG124" s="35"/>
      <c r="EH124" s="35"/>
      <c r="EI124" s="35"/>
      <c r="EJ124" s="35"/>
      <c r="EK124" s="103"/>
      <c r="EL124" s="103"/>
      <c r="EM124" s="104"/>
      <c r="EN124" s="104"/>
      <c r="EO124" s="104"/>
      <c r="EP124" s="104"/>
      <c r="EQ124" s="104"/>
      <c r="ER124" s="104"/>
      <c r="ES124" s="55" t="s">
        <v>224</v>
      </c>
      <c r="ET124" s="55" t="s">
        <v>224</v>
      </c>
      <c r="EU124" s="55" t="s">
        <v>224</v>
      </c>
      <c r="EV124" s="55" t="s">
        <v>224</v>
      </c>
      <c r="EW124" s="55" t="s">
        <v>224</v>
      </c>
      <c r="EY124" s="52"/>
    </row>
    <row r="125" spans="1:155" s="777" customFormat="1">
      <c r="A125" s="769" t="s">
        <v>225</v>
      </c>
      <c r="B125" s="775"/>
      <c r="C125" s="775"/>
      <c r="D125" s="775"/>
      <c r="E125" s="775"/>
      <c r="F125" s="775"/>
      <c r="G125" s="775"/>
      <c r="H125" s="775"/>
      <c r="I125" s="775"/>
      <c r="J125" s="775"/>
      <c r="K125" s="775"/>
      <c r="L125" s="775"/>
      <c r="M125" s="775"/>
      <c r="N125" s="775"/>
      <c r="O125" s="775"/>
      <c r="P125" s="775"/>
      <c r="Q125" s="775"/>
      <c r="R125" s="775"/>
      <c r="S125" s="775"/>
      <c r="T125" s="775"/>
      <c r="U125" s="775"/>
      <c r="V125" s="775"/>
      <c r="W125" s="775"/>
      <c r="X125" s="775"/>
      <c r="Y125" s="775"/>
      <c r="Z125" s="775"/>
      <c r="AA125" s="775"/>
      <c r="AB125" s="775"/>
      <c r="AC125" s="775"/>
      <c r="AD125" s="775"/>
      <c r="AE125" s="775"/>
      <c r="AF125" s="775"/>
      <c r="AG125" s="775"/>
      <c r="AH125" s="775"/>
      <c r="AI125" s="775"/>
      <c r="AJ125" s="775"/>
      <c r="AK125" s="775"/>
      <c r="AL125" s="775"/>
      <c r="AM125" s="775"/>
      <c r="AN125" s="775"/>
      <c r="AO125" s="775"/>
      <c r="AP125" s="775"/>
      <c r="AQ125" s="775"/>
      <c r="AR125" s="775"/>
      <c r="AS125" s="775"/>
      <c r="AT125" s="775"/>
      <c r="AU125" s="775"/>
      <c r="AV125" s="775"/>
      <c r="AW125" s="775"/>
      <c r="AX125" s="775"/>
      <c r="AY125" s="775"/>
      <c r="AZ125" s="775"/>
      <c r="BA125" s="775"/>
      <c r="BB125" s="775"/>
      <c r="BC125" s="775"/>
      <c r="BD125" s="775"/>
      <c r="BE125" s="775"/>
      <c r="BF125" s="775"/>
      <c r="BG125" s="775"/>
      <c r="BH125" s="775"/>
      <c r="BI125" s="775"/>
      <c r="BJ125" s="775"/>
      <c r="BK125" s="775"/>
      <c r="BL125" s="775"/>
      <c r="BM125" s="775"/>
      <c r="BN125" s="775"/>
      <c r="BO125" s="776"/>
      <c r="CI125" s="770"/>
      <c r="CJ125" s="770"/>
      <c r="CK125" s="770"/>
      <c r="CL125" s="770"/>
      <c r="CM125" s="770"/>
      <c r="CN125" s="770"/>
      <c r="CO125" s="770"/>
      <c r="CP125" s="770"/>
      <c r="CQ125" s="770"/>
      <c r="CR125" s="770"/>
      <c r="CS125" s="770"/>
      <c r="CT125" s="770"/>
      <c r="CU125" s="770"/>
      <c r="CV125" s="770"/>
      <c r="CW125" s="770"/>
      <c r="CX125" s="778"/>
      <c r="CY125" s="771"/>
      <c r="CZ125" s="771"/>
      <c r="DA125" s="771"/>
      <c r="DB125" s="771">
        <f t="shared" ref="DB125:DQ125" si="238">DB123/CX123-1</f>
        <v>7.3481105669096491E-2</v>
      </c>
      <c r="DC125" s="771">
        <f t="shared" si="238"/>
        <v>0.10828754424615794</v>
      </c>
      <c r="DD125" s="771">
        <f t="shared" si="238"/>
        <v>0.13944644474975587</v>
      </c>
      <c r="DE125" s="771">
        <f t="shared" si="238"/>
        <v>0.12895270682450222</v>
      </c>
      <c r="DF125" s="771">
        <f t="shared" si="238"/>
        <v>0.11003851185431257</v>
      </c>
      <c r="DG125" s="771">
        <f t="shared" si="238"/>
        <v>0.10354247064623179</v>
      </c>
      <c r="DH125" s="771">
        <f t="shared" si="238"/>
        <v>9.9315807699970504E-2</v>
      </c>
      <c r="DI125" s="771">
        <f t="shared" si="238"/>
        <v>0.1081745933774072</v>
      </c>
      <c r="DJ125" s="771">
        <f t="shared" si="238"/>
        <v>0.11067845360733397</v>
      </c>
      <c r="DK125" s="771">
        <f t="shared" si="238"/>
        <v>0.1076475153436971</v>
      </c>
      <c r="DL125" s="771">
        <f t="shared" si="238"/>
        <v>0.10427713815620221</v>
      </c>
      <c r="DM125" s="771">
        <f t="shared" si="238"/>
        <v>0.10470308956676866</v>
      </c>
      <c r="DN125" s="771">
        <f t="shared" si="238"/>
        <v>0.10752404210925826</v>
      </c>
      <c r="DO125" s="771">
        <f t="shared" si="238"/>
        <v>0.10762895255904525</v>
      </c>
      <c r="DP125" s="771">
        <f t="shared" si="238"/>
        <v>0.10726389670416792</v>
      </c>
      <c r="DQ125" s="771">
        <f t="shared" si="238"/>
        <v>0.10764657042781067</v>
      </c>
      <c r="EC125" s="779"/>
      <c r="ED125" s="779"/>
      <c r="EE125" s="776"/>
      <c r="EF125" s="776"/>
      <c r="EG125" s="776"/>
      <c r="EH125" s="776"/>
      <c r="EI125" s="776"/>
      <c r="EJ125" s="776"/>
      <c r="EK125" s="103"/>
      <c r="EL125" s="103"/>
      <c r="EM125" s="104"/>
      <c r="EN125" s="104"/>
      <c r="EO125" s="104"/>
      <c r="EP125" s="104"/>
      <c r="EQ125" s="104"/>
      <c r="ER125" s="104"/>
      <c r="ES125" s="774"/>
      <c r="ET125" s="774">
        <f>ET123/ES123-1</f>
        <v>0.11344843776809088</v>
      </c>
      <c r="EU125" s="774">
        <f>EU123/ET123-1</f>
        <v>0.10518076704427237</v>
      </c>
      <c r="EV125" s="774">
        <f>EV123/EU123-1</f>
        <v>0.10667515881183975</v>
      </c>
      <c r="EW125" s="774">
        <f>EW123/EV123-1</f>
        <v>0.10751541523986963</v>
      </c>
      <c r="EY125" s="770"/>
    </row>
    <row r="126" spans="1:155">
      <c r="A126" s="51" t="s">
        <v>258</v>
      </c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5"/>
      <c r="CI126" s="52"/>
      <c r="CJ126" s="52"/>
      <c r="CK126" s="52"/>
      <c r="CL126" s="52"/>
      <c r="CM126" s="52"/>
      <c r="CN126" s="52"/>
      <c r="CO126" s="52"/>
      <c r="CP126" s="52"/>
      <c r="CQ126" s="52"/>
      <c r="CR126" s="52"/>
      <c r="CS126" s="52"/>
      <c r="CT126" s="52"/>
      <c r="CU126" s="52"/>
      <c r="CV126" s="52"/>
      <c r="CW126" s="52"/>
      <c r="CX126" s="52"/>
      <c r="CY126" s="53">
        <f t="shared" ref="CY126:DQ126" si="239">CY123/CY$119</f>
        <v>7.0035645531914326E-2</v>
      </c>
      <c r="CZ126" s="53">
        <f t="shared" si="239"/>
        <v>6.1612793322508588E-2</v>
      </c>
      <c r="DA126" s="53">
        <f t="shared" si="239"/>
        <v>5.6997068785002637E-2</v>
      </c>
      <c r="DB126" s="53">
        <f t="shared" si="239"/>
        <v>4.988628896204042E-2</v>
      </c>
      <c r="DC126" s="53">
        <f t="shared" si="239"/>
        <v>4.8003107132828259E-2</v>
      </c>
      <c r="DD126" s="53">
        <f t="shared" si="239"/>
        <v>4.6188823564204916E-2</v>
      </c>
      <c r="DE126" s="53">
        <f t="shared" si="239"/>
        <v>4.5021574158559473E-2</v>
      </c>
      <c r="DF126" s="53">
        <f t="shared" si="239"/>
        <v>4.123110215076109E-2</v>
      </c>
      <c r="DG126" s="53">
        <f t="shared" si="239"/>
        <v>4.2005734945412265E-2</v>
      </c>
      <c r="DH126" s="53">
        <f t="shared" si="239"/>
        <v>4.2062139387388682E-2</v>
      </c>
      <c r="DI126" s="53">
        <f t="shared" si="239"/>
        <v>4.1991106526133713E-2</v>
      </c>
      <c r="DJ126" s="53">
        <f t="shared" si="239"/>
        <v>3.9262019848134544E-2</v>
      </c>
      <c r="DK126" s="53">
        <f t="shared" si="239"/>
        <v>4.065430695213551E-2</v>
      </c>
      <c r="DL126" s="53">
        <f t="shared" si="239"/>
        <v>4.2100084235511523E-2</v>
      </c>
      <c r="DM126" s="53">
        <f t="shared" si="239"/>
        <v>4.3227668327794733E-2</v>
      </c>
      <c r="DN126" s="53">
        <f t="shared" si="239"/>
        <v>4.0139327972583023E-2</v>
      </c>
      <c r="DO126" s="53">
        <f t="shared" si="239"/>
        <v>4.0790984762620518E-2</v>
      </c>
      <c r="DP126" s="53">
        <f t="shared" si="239"/>
        <v>4.1082038867820268E-2</v>
      </c>
      <c r="DQ126" s="53">
        <f t="shared" si="239"/>
        <v>4.1419641440063062E-2</v>
      </c>
      <c r="EC126" s="102"/>
      <c r="ED126" s="102"/>
      <c r="EE126" s="35"/>
      <c r="EF126" s="35"/>
      <c r="EG126" s="35"/>
      <c r="EH126" s="35"/>
      <c r="EI126" s="35"/>
      <c r="EJ126" s="35"/>
      <c r="EK126" s="103"/>
      <c r="EL126" s="103"/>
      <c r="EM126" s="104"/>
      <c r="EN126" s="104"/>
      <c r="EO126" s="104"/>
      <c r="EP126" s="104"/>
      <c r="EQ126" s="104"/>
      <c r="ER126" s="104"/>
      <c r="ES126" s="48"/>
      <c r="ET126" s="48"/>
      <c r="EU126" s="48"/>
      <c r="EV126" s="48"/>
      <c r="EW126" s="48"/>
      <c r="EY126" s="52"/>
    </row>
    <row r="127" spans="1:155">
      <c r="A127" s="74" t="s">
        <v>275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5" t="str">
        <f t="shared" ref="BR127:CW127" si="240">+BR3</f>
        <v>1Q18</v>
      </c>
      <c r="BS127" s="75" t="str">
        <f t="shared" si="240"/>
        <v>2Q18</v>
      </c>
      <c r="BT127" s="75" t="str">
        <f t="shared" si="240"/>
        <v>3Q18</v>
      </c>
      <c r="BU127" s="75" t="str">
        <f t="shared" si="240"/>
        <v>4Q18</v>
      </c>
      <c r="BV127" s="75" t="str">
        <f t="shared" si="240"/>
        <v>1Q19</v>
      </c>
      <c r="BW127" s="75" t="str">
        <f t="shared" si="240"/>
        <v>2Q19</v>
      </c>
      <c r="BX127" s="75" t="str">
        <f t="shared" si="240"/>
        <v>3Q19</v>
      </c>
      <c r="BY127" s="75" t="str">
        <f t="shared" si="240"/>
        <v>4Q19</v>
      </c>
      <c r="BZ127" s="75" t="str">
        <f t="shared" si="240"/>
        <v>1Q20</v>
      </c>
      <c r="CA127" s="75" t="str">
        <f t="shared" si="240"/>
        <v>2Q20</v>
      </c>
      <c r="CB127" s="75" t="str">
        <f t="shared" si="240"/>
        <v>3Q20</v>
      </c>
      <c r="CC127" s="75" t="str">
        <f t="shared" si="240"/>
        <v>4Q20</v>
      </c>
      <c r="CD127" s="75" t="str">
        <f t="shared" si="240"/>
        <v>1Q21</v>
      </c>
      <c r="CE127" s="75" t="str">
        <f t="shared" si="240"/>
        <v>2Q21</v>
      </c>
      <c r="CF127" s="75" t="str">
        <f t="shared" si="240"/>
        <v>3Q21</v>
      </c>
      <c r="CG127" s="75" t="str">
        <f t="shared" si="240"/>
        <v>4Q21</v>
      </c>
      <c r="CH127" s="75" t="str">
        <f t="shared" si="240"/>
        <v>1Q22</v>
      </c>
      <c r="CI127" s="75" t="str">
        <f t="shared" si="240"/>
        <v>2Q22</v>
      </c>
      <c r="CJ127" s="75" t="str">
        <f t="shared" si="240"/>
        <v>3Q22</v>
      </c>
      <c r="CK127" s="75" t="str">
        <f t="shared" si="240"/>
        <v>4Q22</v>
      </c>
      <c r="CL127" s="75" t="str">
        <f t="shared" si="240"/>
        <v>1Q23</v>
      </c>
      <c r="CM127" s="75" t="str">
        <f t="shared" si="240"/>
        <v>2Q23</v>
      </c>
      <c r="CN127" s="75" t="str">
        <f t="shared" si="240"/>
        <v>3Q23</v>
      </c>
      <c r="CO127" s="75" t="str">
        <f t="shared" si="240"/>
        <v>4Q23</v>
      </c>
      <c r="CP127" s="75" t="str">
        <f t="shared" si="240"/>
        <v>1Q24</v>
      </c>
      <c r="CQ127" s="75" t="str">
        <f t="shared" si="240"/>
        <v>2Q24</v>
      </c>
      <c r="CR127" s="75" t="str">
        <f t="shared" si="240"/>
        <v>3Q24</v>
      </c>
      <c r="CS127" s="75" t="str">
        <f t="shared" si="240"/>
        <v>4Q24</v>
      </c>
      <c r="CT127" s="75" t="str">
        <f t="shared" si="240"/>
        <v>1Q25</v>
      </c>
      <c r="CU127" s="75" t="str">
        <f t="shared" si="240"/>
        <v>2Q25</v>
      </c>
      <c r="CV127" s="75" t="str">
        <f t="shared" si="240"/>
        <v>3Q25</v>
      </c>
      <c r="CW127" s="75" t="str">
        <f t="shared" si="240"/>
        <v>4Q25</v>
      </c>
      <c r="CX127" s="75" t="str">
        <f t="shared" ref="CX127:DQ127" si="241">+CX3</f>
        <v>1Q26</v>
      </c>
      <c r="CY127" s="75" t="str">
        <f t="shared" si="241"/>
        <v>2Q26E</v>
      </c>
      <c r="CZ127" s="75" t="str">
        <f t="shared" si="241"/>
        <v>3Q26E</v>
      </c>
      <c r="DA127" s="75" t="str">
        <f t="shared" si="241"/>
        <v>4Q26E</v>
      </c>
      <c r="DB127" s="75" t="str">
        <f t="shared" si="241"/>
        <v>1Q27E</v>
      </c>
      <c r="DC127" s="75" t="str">
        <f t="shared" si="241"/>
        <v>2Q27E</v>
      </c>
      <c r="DD127" s="75" t="str">
        <f t="shared" si="241"/>
        <v>3Q27E</v>
      </c>
      <c r="DE127" s="75" t="str">
        <f t="shared" si="241"/>
        <v>4Q27E</v>
      </c>
      <c r="DF127" s="75" t="str">
        <f t="shared" si="241"/>
        <v>1Q28E</v>
      </c>
      <c r="DG127" s="75" t="str">
        <f t="shared" si="241"/>
        <v>2Q28E</v>
      </c>
      <c r="DH127" s="75" t="str">
        <f t="shared" si="241"/>
        <v>3Q28E</v>
      </c>
      <c r="DI127" s="75" t="str">
        <f t="shared" si="241"/>
        <v>4Q28E</v>
      </c>
      <c r="DJ127" s="75" t="str">
        <f t="shared" si="241"/>
        <v>1Q29E</v>
      </c>
      <c r="DK127" s="75" t="str">
        <f t="shared" si="241"/>
        <v>2Q29E</v>
      </c>
      <c r="DL127" s="75" t="str">
        <f t="shared" si="241"/>
        <v>3Q29E</v>
      </c>
      <c r="DM127" s="75" t="str">
        <f t="shared" si="241"/>
        <v>4Q29E</v>
      </c>
      <c r="DN127" s="75" t="str">
        <f t="shared" si="241"/>
        <v>1Q30E</v>
      </c>
      <c r="DO127" s="75" t="str">
        <f t="shared" si="241"/>
        <v>2Q30E</v>
      </c>
      <c r="DP127" s="75" t="str">
        <f t="shared" si="241"/>
        <v>3Q30E</v>
      </c>
      <c r="DQ127" s="75" t="str">
        <f t="shared" si="241"/>
        <v>4Q30E</v>
      </c>
      <c r="DT127" s="74"/>
      <c r="DU127" s="74"/>
      <c r="DV127" s="74"/>
      <c r="DW127" s="74"/>
      <c r="DX127" s="74"/>
      <c r="DY127" s="74"/>
      <c r="DZ127" s="74"/>
      <c r="EA127" s="74"/>
      <c r="EB127" s="74"/>
      <c r="EC127" s="74"/>
      <c r="ED127" s="74"/>
      <c r="EE127" s="74"/>
      <c r="EF127" s="74"/>
      <c r="EG127" s="47" t="s">
        <v>58</v>
      </c>
      <c r="EH127" s="47" t="s">
        <v>59</v>
      </c>
      <c r="EI127" s="47" t="s">
        <v>60</v>
      </c>
      <c r="EJ127" s="47" t="s">
        <v>61</v>
      </c>
      <c r="EK127" s="47">
        <f t="shared" ref="EK127:EW127" si="242">EK4</f>
        <v>2018</v>
      </c>
      <c r="EL127" s="47">
        <f t="shared" si="242"/>
        <v>2019</v>
      </c>
      <c r="EM127" s="47">
        <f t="shared" si="242"/>
        <v>2020</v>
      </c>
      <c r="EN127" s="47">
        <f t="shared" si="242"/>
        <v>2021</v>
      </c>
      <c r="EO127" s="47">
        <f t="shared" si="242"/>
        <v>2022</v>
      </c>
      <c r="EP127" s="47">
        <f t="shared" si="242"/>
        <v>2023</v>
      </c>
      <c r="EQ127" s="47">
        <f t="shared" si="242"/>
        <v>2024</v>
      </c>
      <c r="ER127" s="47">
        <f t="shared" si="242"/>
        <v>2025</v>
      </c>
      <c r="ES127" s="47" t="str">
        <f t="shared" si="242"/>
        <v>2026E</v>
      </c>
      <c r="ET127" s="47" t="str">
        <f t="shared" si="242"/>
        <v>2027E</v>
      </c>
      <c r="EU127" s="47" t="str">
        <f t="shared" si="242"/>
        <v>2028E</v>
      </c>
      <c r="EV127" s="47" t="str">
        <f t="shared" si="242"/>
        <v>2029E</v>
      </c>
      <c r="EW127" s="47" t="str">
        <f t="shared" si="242"/>
        <v>2030E</v>
      </c>
    </row>
    <row r="128" spans="1:155" s="49" customFormat="1">
      <c r="A128" s="76" t="s">
        <v>276</v>
      </c>
      <c r="B128" s="76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  <c r="AA128" s="76"/>
      <c r="AB128" s="76"/>
      <c r="AC128" s="76"/>
      <c r="AD128" s="76"/>
      <c r="AE128" s="76"/>
      <c r="AF128" s="76"/>
      <c r="AG128" s="76"/>
      <c r="AH128" s="76"/>
      <c r="AI128" s="76"/>
      <c r="AJ128" s="76"/>
      <c r="AK128" s="76"/>
      <c r="AL128" s="76"/>
      <c r="AM128" s="76"/>
      <c r="AN128" s="76"/>
      <c r="AO128" s="76"/>
      <c r="AP128" s="76"/>
      <c r="AQ128" s="76"/>
      <c r="AR128" s="76"/>
      <c r="AS128" s="76"/>
      <c r="AT128" s="76"/>
      <c r="AU128" s="76"/>
      <c r="AV128" s="76"/>
      <c r="AW128" s="76"/>
      <c r="AX128" s="76"/>
      <c r="AY128" s="76"/>
      <c r="AZ128" s="76"/>
      <c r="BA128" s="76"/>
      <c r="BB128" s="76">
        <v>256.41083545598565</v>
      </c>
      <c r="BC128" s="76">
        <v>234.04655502600599</v>
      </c>
      <c r="BD128" s="76">
        <v>291.57972289457496</v>
      </c>
      <c r="BE128" s="76">
        <v>361.40622016226928</v>
      </c>
      <c r="BF128" s="76">
        <v>333.02432667245876</v>
      </c>
      <c r="BG128" s="76">
        <v>372.06331309627063</v>
      </c>
      <c r="BH128" s="76">
        <v>428.02605363984679</v>
      </c>
      <c r="BI128" s="76">
        <v>460.21413276231266</v>
      </c>
      <c r="BJ128" s="76">
        <v>400.61839080459765</v>
      </c>
      <c r="BK128" s="76">
        <v>444.47149999999993</v>
      </c>
      <c r="BL128" s="76">
        <v>725.74240000000009</v>
      </c>
      <c r="BM128" s="76">
        <v>787.40823</v>
      </c>
      <c r="BN128" s="76">
        <v>576.66072799999995</v>
      </c>
      <c r="BO128" s="76">
        <v>671.88163759999998</v>
      </c>
      <c r="BP128" s="76">
        <v>875.02370203999988</v>
      </c>
      <c r="BQ128" s="76">
        <v>1010.9590870973999</v>
      </c>
      <c r="BR128" s="76">
        <v>1057.8224924572401</v>
      </c>
      <c r="BS128" s="76">
        <v>1055.681894437017</v>
      </c>
      <c r="BT128" s="76">
        <v>989.64731965354895</v>
      </c>
      <c r="BU128" s="76">
        <v>396.06690318912393</v>
      </c>
      <c r="BV128" s="76">
        <v>530.50774891715832</v>
      </c>
      <c r="BW128" s="76">
        <v>706.79927424431798</v>
      </c>
      <c r="BX128" s="76">
        <v>993.82295975018928</v>
      </c>
      <c r="BY128" s="76">
        <v>900.73681695528398</v>
      </c>
      <c r="BZ128" s="76">
        <v>788.17980149936909</v>
      </c>
      <c r="CA128" s="76">
        <v>966.20915026768034</v>
      </c>
      <c r="CB128" s="76">
        <v>1341.6636452430744</v>
      </c>
      <c r="CC128" s="76">
        <v>1459.8570827697065</v>
      </c>
      <c r="CD128" s="76">
        <v>1652.0483075569009</v>
      </c>
      <c r="CE128" s="76">
        <v>1862.6634749395137</v>
      </c>
      <c r="CF128" s="76">
        <v>1889.7094131488714</v>
      </c>
      <c r="CG128" s="76">
        <v>1997.7720025821461</v>
      </c>
      <c r="CH128" s="76">
        <v>2100.8046737085624</v>
      </c>
      <c r="CI128" s="76">
        <v>383.90489558284435</v>
      </c>
      <c r="CJ128" s="76">
        <v>680.457022037917</v>
      </c>
      <c r="CK128" s="76">
        <v>979.44785448750349</v>
      </c>
      <c r="CL128" s="76">
        <v>1222.4182870220593</v>
      </c>
      <c r="CM128" s="76">
        <v>1336.2608764984302</v>
      </c>
      <c r="CN128" s="76">
        <v>1556.5037637194935</v>
      </c>
      <c r="CO128" s="76">
        <v>1647.1974052223786</v>
      </c>
      <c r="CP128" s="76">
        <v>1556.4020809341494</v>
      </c>
      <c r="CQ128" s="76">
        <v>1667.9959313842626</v>
      </c>
      <c r="CR128" s="76">
        <v>1907.1283342329493</v>
      </c>
      <c r="CS128" s="76">
        <v>1427.3405271678155</v>
      </c>
      <c r="CT128" s="76">
        <v>2123.2799759784994</v>
      </c>
      <c r="CU128" s="76">
        <v>2544.9927917108062</v>
      </c>
      <c r="CV128" s="76">
        <v>2529.136070291227</v>
      </c>
      <c r="CW128" s="76">
        <v>2208.1220132049034</v>
      </c>
      <c r="CX128" s="76">
        <v>2033.0658276419654</v>
      </c>
      <c r="CY128" s="78">
        <v>2058.9612838518633</v>
      </c>
      <c r="CZ128" s="78">
        <v>2148.1529993483568</v>
      </c>
      <c r="DA128" s="78">
        <v>2238.7187540117084</v>
      </c>
      <c r="DB128" s="78">
        <v>2078.5050949374699</v>
      </c>
      <c r="DC128" s="78">
        <v>2187.091265332509</v>
      </c>
      <c r="DD128" s="78">
        <v>2354.8867407962407</v>
      </c>
      <c r="DE128" s="78">
        <v>2449.3844742808133</v>
      </c>
      <c r="DF128" s="78">
        <v>2235.9903467274839</v>
      </c>
      <c r="DG128" s="78">
        <v>2352.3037231372923</v>
      </c>
      <c r="DH128" s="78">
        <v>2547.3179885580457</v>
      </c>
      <c r="DI128" s="78">
        <v>2675.630785679311</v>
      </c>
      <c r="DJ128" s="78">
        <v>2442.9480947541874</v>
      </c>
      <c r="DK128" s="78">
        <v>2569.6390079486591</v>
      </c>
      <c r="DL128" s="78">
        <v>2782.2420727545586</v>
      </c>
      <c r="DM128" s="78">
        <v>2923.4942189929948</v>
      </c>
      <c r="DN128" s="78">
        <v>2669.6736189099911</v>
      </c>
      <c r="DO128" s="78">
        <v>2807.7391448089829</v>
      </c>
      <c r="DP128" s="78">
        <v>3039.6179785482882</v>
      </c>
      <c r="DQ128" s="78">
        <v>3195.0293529176297</v>
      </c>
      <c r="DT128" s="77"/>
      <c r="DU128" s="77"/>
      <c r="DV128" s="77"/>
      <c r="DW128" s="77"/>
      <c r="DX128" s="77"/>
      <c r="DY128" s="77"/>
      <c r="DZ128" s="77"/>
      <c r="EA128" s="77"/>
      <c r="EB128" s="77"/>
      <c r="EC128" s="76"/>
      <c r="ED128" s="76"/>
      <c r="EE128" s="76"/>
      <c r="EF128" s="76"/>
      <c r="EG128" s="76">
        <f>SUM(BB128:BE128)</f>
        <v>1143.4433335388358</v>
      </c>
      <c r="EH128" s="76">
        <f>SUM(BF128:BI128)</f>
        <v>1593.3278261708888</v>
      </c>
      <c r="EI128" s="76">
        <f>SUM(BJ128:BM128)</f>
        <v>2358.2405208045975</v>
      </c>
      <c r="EJ128" s="76">
        <f>SUM(BN128:BQ128)</f>
        <v>3134.5251547373996</v>
      </c>
      <c r="EK128" s="76">
        <f>SUM(BR128:BU128)</f>
        <v>3499.2186097369299</v>
      </c>
      <c r="EL128" s="76">
        <f>BV128+BW128+BX128+BY128</f>
        <v>3131.8667998669498</v>
      </c>
      <c r="EM128" s="76">
        <f>SUM(BZ128:CC128)</f>
        <v>4555.9096797798302</v>
      </c>
      <c r="EN128" s="76">
        <f>+CD128+CE128+CF128+CG128</f>
        <v>7402.1931982274318</v>
      </c>
      <c r="EO128" s="76">
        <f>SUM(CH128:CK128)</f>
        <v>4144.6144458168274</v>
      </c>
      <c r="EP128" s="76">
        <f>SUM(CL128:CO128)</f>
        <v>5762.3803324623614</v>
      </c>
      <c r="EQ128" s="76">
        <f>SUM(CP128:CS128)</f>
        <v>6558.8668737191774</v>
      </c>
      <c r="ER128" s="76">
        <f>SUM(CT128:CW128)</f>
        <v>9405.5308511854364</v>
      </c>
      <c r="ES128" s="78">
        <f>SUM(CX128:DA128)</f>
        <v>8478.8988648538943</v>
      </c>
      <c r="ET128" s="78">
        <f>SUM(DB128:DE128)</f>
        <v>9069.8675753470343</v>
      </c>
      <c r="EU128" s="78">
        <f>SUM(DF128:DI128)</f>
        <v>9811.2428441021329</v>
      </c>
      <c r="EV128" s="78">
        <f>SUM(DJ128:DM128)</f>
        <v>10718.323394450399</v>
      </c>
      <c r="EW128" s="78">
        <f>SUM(DN128:DQ128)</f>
        <v>11712.060095184894</v>
      </c>
    </row>
    <row r="129" spans="1:155" s="49" customFormat="1">
      <c r="A129" s="69" t="s">
        <v>223</v>
      </c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52">
        <f>BC128/BB128-1</f>
        <v>-8.7220496708761752E-2</v>
      </c>
      <c r="BD129" s="52">
        <f t="shared" ref="BD129:DO129" si="243">BD128/BC128-1</f>
        <v>0.24581933223574337</v>
      </c>
      <c r="BE129" s="52">
        <f t="shared" si="243"/>
        <v>0.2394765197473665</v>
      </c>
      <c r="BF129" s="52">
        <f t="shared" si="243"/>
        <v>-7.8531834557432956E-2</v>
      </c>
      <c r="BG129" s="52">
        <f t="shared" si="243"/>
        <v>0.11722562977271056</v>
      </c>
      <c r="BH129" s="52">
        <f t="shared" si="243"/>
        <v>0.15041187500552078</v>
      </c>
      <c r="BI129" s="52">
        <f t="shared" si="243"/>
        <v>7.5201214619402101E-2</v>
      </c>
      <c r="BJ129" s="52">
        <f t="shared" si="243"/>
        <v>-0.12949567976108745</v>
      </c>
      <c r="BK129" s="52">
        <f t="shared" si="243"/>
        <v>0.10946354486454846</v>
      </c>
      <c r="BL129" s="52">
        <f t="shared" si="243"/>
        <v>0.63282100202150238</v>
      </c>
      <c r="BM129" s="52">
        <f t="shared" si="243"/>
        <v>8.4969308669301746E-2</v>
      </c>
      <c r="BN129" s="52">
        <f t="shared" si="243"/>
        <v>-0.26764706536023897</v>
      </c>
      <c r="BO129" s="52">
        <f t="shared" si="243"/>
        <v>0.16512466512198487</v>
      </c>
      <c r="BP129" s="52">
        <f t="shared" si="243"/>
        <v>0.30234799266971346</v>
      </c>
      <c r="BQ129" s="52">
        <f t="shared" si="243"/>
        <v>0.15535051763796215</v>
      </c>
      <c r="BR129" s="52">
        <f t="shared" si="243"/>
        <v>4.6355392575174736E-2</v>
      </c>
      <c r="BS129" s="52">
        <f t="shared" si="243"/>
        <v>-2.0235890572251058E-3</v>
      </c>
      <c r="BT129" s="52">
        <f t="shared" si="243"/>
        <v>-6.2551584081759315E-2</v>
      </c>
      <c r="BU129" s="52">
        <f t="shared" si="243"/>
        <v>-0.59978984904665111</v>
      </c>
      <c r="BV129" s="52">
        <f t="shared" si="243"/>
        <v>0.33943973769461411</v>
      </c>
      <c r="BW129" s="52">
        <f t="shared" si="243"/>
        <v>0.33230716363143742</v>
      </c>
      <c r="BX129" s="52">
        <f t="shared" si="243"/>
        <v>0.40608938911651515</v>
      </c>
      <c r="BY129" s="52">
        <f t="shared" si="243"/>
        <v>-9.3664713500182906E-2</v>
      </c>
      <c r="BZ129" s="52">
        <f t="shared" si="243"/>
        <v>-0.12496104670883312</v>
      </c>
      <c r="CA129" s="52">
        <f t="shared" si="243"/>
        <v>0.22587403081079049</v>
      </c>
      <c r="CB129" s="52">
        <f t="shared" si="243"/>
        <v>0.38858511624670222</v>
      </c>
      <c r="CC129" s="52">
        <f t="shared" si="243"/>
        <v>8.8094685986082943E-2</v>
      </c>
      <c r="CD129" s="52">
        <f t="shared" si="243"/>
        <v>0.13165071228928826</v>
      </c>
      <c r="CE129" s="52">
        <f t="shared" si="243"/>
        <v>0.12748729345213694</v>
      </c>
      <c r="CF129" s="52">
        <f t="shared" si="243"/>
        <v>1.4520034656413605E-2</v>
      </c>
      <c r="CG129" s="52">
        <f t="shared" si="243"/>
        <v>5.7184765383164082E-2</v>
      </c>
      <c r="CH129" s="52">
        <f t="shared" si="243"/>
        <v>5.1573788697231393E-2</v>
      </c>
      <c r="CI129" s="52">
        <f t="shared" si="243"/>
        <v>-0.81725816760244785</v>
      </c>
      <c r="CJ129" s="52">
        <f t="shared" si="243"/>
        <v>0.77246247668930423</v>
      </c>
      <c r="CK129" s="52">
        <f t="shared" si="243"/>
        <v>0.43939708573236813</v>
      </c>
      <c r="CL129" s="52">
        <f t="shared" si="243"/>
        <v>0.24806877816041584</v>
      </c>
      <c r="CM129" s="52">
        <f t="shared" si="243"/>
        <v>9.3128997402111446E-2</v>
      </c>
      <c r="CN129" s="52">
        <f t="shared" si="243"/>
        <v>0.16482027656021248</v>
      </c>
      <c r="CO129" s="52">
        <f t="shared" si="243"/>
        <v>5.8267537552340709E-2</v>
      </c>
      <c r="CP129" s="52">
        <f t="shared" si="243"/>
        <v>-5.5121094776112489E-2</v>
      </c>
      <c r="CQ129" s="52">
        <f t="shared" si="243"/>
        <v>7.1699885149944631E-2</v>
      </c>
      <c r="CR129" s="52">
        <f t="shared" si="243"/>
        <v>0.14336509960802601</v>
      </c>
      <c r="CS129" s="52">
        <f t="shared" si="243"/>
        <v>-0.25157604679923407</v>
      </c>
      <c r="CT129" s="52">
        <f t="shared" si="243"/>
        <v>0.48757772624280071</v>
      </c>
      <c r="CU129" s="52">
        <f t="shared" si="243"/>
        <v>0.19861385239031581</v>
      </c>
      <c r="CV129" s="52">
        <f t="shared" si="243"/>
        <v>-6.2305565152189768E-3</v>
      </c>
      <c r="CW129" s="52">
        <f t="shared" si="243"/>
        <v>-0.12692636859564432</v>
      </c>
      <c r="CX129" s="52">
        <f t="shared" si="243"/>
        <v>-7.9278311848745453E-2</v>
      </c>
      <c r="CY129" s="53">
        <f t="shared" si="243"/>
        <v>1.27371459683292E-2</v>
      </c>
      <c r="CZ129" s="53">
        <f t="shared" si="243"/>
        <v>4.3318791953987246E-2</v>
      </c>
      <c r="DA129" s="53">
        <f t="shared" si="243"/>
        <v>4.2159825064054912E-2</v>
      </c>
      <c r="DB129" s="53">
        <f t="shared" si="243"/>
        <v>-7.1564888973722596E-2</v>
      </c>
      <c r="DC129" s="53">
        <f t="shared" si="243"/>
        <v>5.2242436479717158E-2</v>
      </c>
      <c r="DD129" s="53">
        <f t="shared" si="243"/>
        <v>7.6720838368041999E-2</v>
      </c>
      <c r="DE129" s="53">
        <f t="shared" si="243"/>
        <v>4.0128356004340393E-2</v>
      </c>
      <c r="DF129" s="53">
        <f t="shared" si="243"/>
        <v>-8.7121531876283353E-2</v>
      </c>
      <c r="DG129" s="53">
        <f t="shared" si="243"/>
        <v>5.2018729231116945E-2</v>
      </c>
      <c r="DH129" s="53">
        <f t="shared" si="243"/>
        <v>8.2903522832783239E-2</v>
      </c>
      <c r="DI129" s="53">
        <f t="shared" si="243"/>
        <v>5.0371723395985946E-2</v>
      </c>
      <c r="DJ129" s="53">
        <f t="shared" si="243"/>
        <v>-8.6963676816137481E-2</v>
      </c>
      <c r="DK129" s="53">
        <f t="shared" si="243"/>
        <v>5.1859846497156026E-2</v>
      </c>
      <c r="DL129" s="53">
        <f t="shared" si="243"/>
        <v>8.2736549432918416E-2</v>
      </c>
      <c r="DM129" s="53">
        <f t="shared" si="243"/>
        <v>5.0769179152908572E-2</v>
      </c>
      <c r="DN129" s="53">
        <f t="shared" si="243"/>
        <v>-8.6820968700404344E-2</v>
      </c>
      <c r="DO129" s="53">
        <f t="shared" si="243"/>
        <v>5.1716256594453336E-2</v>
      </c>
      <c r="DP129" s="53">
        <f t="shared" ref="DP129:DQ129" si="244">DP128/DO128-1</f>
        <v>8.2585604210422714E-2</v>
      </c>
      <c r="DQ129" s="53">
        <f t="shared" si="244"/>
        <v>5.1128587692972349E-2</v>
      </c>
      <c r="DT129" s="54" t="s">
        <v>224</v>
      </c>
      <c r="DU129" s="54" t="s">
        <v>224</v>
      </c>
      <c r="DV129" s="54" t="s">
        <v>224</v>
      </c>
      <c r="DW129" s="54" t="s">
        <v>224</v>
      </c>
      <c r="DX129" s="54" t="s">
        <v>224</v>
      </c>
      <c r="DY129" s="54" t="s">
        <v>224</v>
      </c>
      <c r="DZ129" s="54" t="s">
        <v>224</v>
      </c>
      <c r="EA129" s="54" t="s">
        <v>224</v>
      </c>
      <c r="EB129" s="54" t="s">
        <v>224</v>
      </c>
      <c r="EC129" s="54" t="s">
        <v>224</v>
      </c>
      <c r="ED129" s="54" t="s">
        <v>224</v>
      </c>
      <c r="EE129" s="54" t="s">
        <v>224</v>
      </c>
      <c r="EF129" s="54" t="s">
        <v>224</v>
      </c>
      <c r="EG129" s="54" t="s">
        <v>224</v>
      </c>
      <c r="EH129" s="54" t="s">
        <v>224</v>
      </c>
      <c r="EI129" s="54" t="s">
        <v>224</v>
      </c>
      <c r="EJ129" s="54" t="s">
        <v>224</v>
      </c>
      <c r="EK129" s="54" t="s">
        <v>224</v>
      </c>
      <c r="EL129" s="54" t="s">
        <v>224</v>
      </c>
      <c r="EM129" s="54" t="s">
        <v>224</v>
      </c>
      <c r="EN129" s="54" t="s">
        <v>224</v>
      </c>
      <c r="EO129" s="54" t="s">
        <v>224</v>
      </c>
      <c r="EP129" s="54" t="s">
        <v>224</v>
      </c>
      <c r="EQ129" s="54" t="s">
        <v>224</v>
      </c>
      <c r="ER129" s="54" t="s">
        <v>224</v>
      </c>
      <c r="ES129" s="55" t="s">
        <v>224</v>
      </c>
      <c r="ET129" s="55" t="s">
        <v>224</v>
      </c>
      <c r="EU129" s="55" t="s">
        <v>224</v>
      </c>
      <c r="EV129" s="55" t="s">
        <v>224</v>
      </c>
      <c r="EW129" s="55" t="s">
        <v>224</v>
      </c>
    </row>
    <row r="130" spans="1:155" s="49" customFormat="1">
      <c r="A130" s="69" t="s">
        <v>225</v>
      </c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91">
        <f>BF128/BB128-1</f>
        <v>0.29879194098887552</v>
      </c>
      <c r="BG130" s="91">
        <f t="shared" ref="BG130:DQ130" si="245">BG128/BC128-1</f>
        <v>0.58969788320502725</v>
      </c>
      <c r="BH130" s="91">
        <f t="shared" si="245"/>
        <v>0.4679554853497343</v>
      </c>
      <c r="BI130" s="91">
        <f t="shared" si="245"/>
        <v>0.27339848372194364</v>
      </c>
      <c r="BJ130" s="91">
        <f t="shared" si="245"/>
        <v>0.20297034996671592</v>
      </c>
      <c r="BK130" s="91">
        <f t="shared" si="245"/>
        <v>0.19461254134721373</v>
      </c>
      <c r="BL130" s="91">
        <f t="shared" si="245"/>
        <v>0.6955565994836852</v>
      </c>
      <c r="BM130" s="91">
        <f t="shared" si="245"/>
        <v>0.71096055932439972</v>
      </c>
      <c r="BN130" s="91">
        <f t="shared" si="245"/>
        <v>0.43942649972169456</v>
      </c>
      <c r="BO130" s="91">
        <f t="shared" si="245"/>
        <v>0.51164166341373996</v>
      </c>
      <c r="BP130" s="91">
        <f t="shared" si="245"/>
        <v>0.20569461290948388</v>
      </c>
      <c r="BQ130" s="91">
        <f t="shared" si="245"/>
        <v>0.2839071889017466</v>
      </c>
      <c r="BR130" s="91">
        <f t="shared" si="245"/>
        <v>0.83439315544518955</v>
      </c>
      <c r="BS130" s="91">
        <f t="shared" si="245"/>
        <v>0.57123194824608348</v>
      </c>
      <c r="BT130" s="91">
        <f t="shared" si="245"/>
        <v>0.13099487173469648</v>
      </c>
      <c r="BU130" s="91">
        <f t="shared" si="245"/>
        <v>-0.6082265758881642</v>
      </c>
      <c r="BV130" s="91">
        <f t="shared" si="245"/>
        <v>-0.49849076503863166</v>
      </c>
      <c r="BW130" s="91">
        <f t="shared" si="245"/>
        <v>-0.33048082195134565</v>
      </c>
      <c r="BX130" s="91">
        <f t="shared" si="245"/>
        <v>4.2193213821890563E-3</v>
      </c>
      <c r="BY130" s="91">
        <f t="shared" si="245"/>
        <v>1.2742037006944194</v>
      </c>
      <c r="BZ130" s="91">
        <f t="shared" si="245"/>
        <v>0.48570836732951794</v>
      </c>
      <c r="CA130" s="91">
        <f t="shared" si="245"/>
        <v>0.36702057497259477</v>
      </c>
      <c r="CB130" s="91">
        <f t="shared" si="245"/>
        <v>0.35000266604860841</v>
      </c>
      <c r="CC130" s="91">
        <f t="shared" si="245"/>
        <v>0.62073655177589937</v>
      </c>
      <c r="CD130" s="91">
        <f t="shared" si="245"/>
        <v>1.0960297439926507</v>
      </c>
      <c r="CE130" s="91">
        <f t="shared" si="245"/>
        <v>0.92780566653035534</v>
      </c>
      <c r="CF130" s="91">
        <f t="shared" si="245"/>
        <v>0.40848223759279501</v>
      </c>
      <c r="CG130" s="91">
        <f t="shared" si="245"/>
        <v>0.36847094565714844</v>
      </c>
      <c r="CH130" s="91">
        <f t="shared" si="245"/>
        <v>0.27163634628535527</v>
      </c>
      <c r="CI130" s="91">
        <f t="shared" si="245"/>
        <v>-0.79389465636281353</v>
      </c>
      <c r="CJ130" s="91">
        <f t="shared" si="245"/>
        <v>-0.63991446658242868</v>
      </c>
      <c r="CK130" s="91">
        <f t="shared" si="245"/>
        <v>-0.50972991251176092</v>
      </c>
      <c r="CL130" s="91">
        <f t="shared" si="245"/>
        <v>-0.41811901776469429</v>
      </c>
      <c r="CM130" s="91">
        <f t="shared" si="245"/>
        <v>2.4807080916999489</v>
      </c>
      <c r="CN130" s="91">
        <f t="shared" si="245"/>
        <v>1.2874387555850082</v>
      </c>
      <c r="CO130" s="91">
        <f t="shared" si="245"/>
        <v>0.68176120625051073</v>
      </c>
      <c r="CP130" s="91">
        <f t="shared" si="245"/>
        <v>0.27321563940744875</v>
      </c>
      <c r="CQ130" s="91">
        <f t="shared" si="245"/>
        <v>0.24825620559596029</v>
      </c>
      <c r="CR130" s="91">
        <f t="shared" si="245"/>
        <v>0.22526419703321965</v>
      </c>
      <c r="CS130" s="91">
        <f t="shared" si="245"/>
        <v>-0.1334733028096784</v>
      </c>
      <c r="CT130" s="91">
        <f t="shared" si="245"/>
        <v>0.36422329550222066</v>
      </c>
      <c r="CU130" s="91">
        <f t="shared" si="245"/>
        <v>0.52577877668965756</v>
      </c>
      <c r="CV130" s="91">
        <f t="shared" si="245"/>
        <v>0.32614886208402449</v>
      </c>
      <c r="CW130" s="91">
        <f t="shared" si="245"/>
        <v>0.54701836820001515</v>
      </c>
      <c r="CX130" s="91">
        <f t="shared" si="245"/>
        <v>-4.2488107718794521E-2</v>
      </c>
      <c r="CY130" s="100">
        <f t="shared" si="245"/>
        <v>-0.1909755931105096</v>
      </c>
      <c r="CZ130" s="100">
        <f t="shared" si="245"/>
        <v>-0.15063763291272836</v>
      </c>
      <c r="DA130" s="100">
        <f t="shared" si="245"/>
        <v>1.3856453866150531E-2</v>
      </c>
      <c r="DB130" s="100">
        <f t="shared" si="245"/>
        <v>2.235012102299061E-2</v>
      </c>
      <c r="DC130" s="100">
        <f t="shared" si="245"/>
        <v>6.2230398641077267E-2</v>
      </c>
      <c r="DD130" s="100">
        <f t="shared" si="245"/>
        <v>9.6237903683116022E-2</v>
      </c>
      <c r="DE130" s="100">
        <f t="shared" si="245"/>
        <v>9.4101020903853527E-2</v>
      </c>
      <c r="DF130" s="100">
        <f t="shared" si="245"/>
        <v>7.5768518524969908E-2</v>
      </c>
      <c r="DG130" s="100">
        <f t="shared" si="245"/>
        <v>7.5539809620000398E-2</v>
      </c>
      <c r="DH130" s="100">
        <f t="shared" si="245"/>
        <v>8.1715712449397682E-2</v>
      </c>
      <c r="DI130" s="100">
        <f t="shared" si="245"/>
        <v>9.2368639457849122E-2</v>
      </c>
      <c r="DJ130" s="100">
        <f t="shared" si="245"/>
        <v>9.2557531981119379E-2</v>
      </c>
      <c r="DK130" s="100">
        <f t="shared" si="245"/>
        <v>9.2392526812610898E-2</v>
      </c>
      <c r="DL130" s="100">
        <f t="shared" si="245"/>
        <v>9.2224090298791417E-2</v>
      </c>
      <c r="DM130" s="100">
        <f t="shared" si="245"/>
        <v>9.2637382795980328E-2</v>
      </c>
      <c r="DN130" s="100">
        <f t="shared" si="245"/>
        <v>9.2808162663241989E-2</v>
      </c>
      <c r="DO130" s="100">
        <f t="shared" si="245"/>
        <v>9.2658982885848618E-2</v>
      </c>
      <c r="DP130" s="100">
        <f t="shared" si="245"/>
        <v>9.250665436847294E-2</v>
      </c>
      <c r="DQ130" s="100">
        <f t="shared" si="245"/>
        <v>9.2880338931597306E-2</v>
      </c>
      <c r="EC130" s="35"/>
      <c r="ED130" s="35"/>
      <c r="EE130" s="35"/>
      <c r="EF130" s="35"/>
      <c r="EG130" s="35"/>
      <c r="EH130" s="52">
        <f t="shared" ref="EH130:ET130" si="246">EH128/EG128-1</f>
        <v>0.39344712539423199</v>
      </c>
      <c r="EI130" s="52">
        <f t="shared" si="246"/>
        <v>0.48007238816129849</v>
      </c>
      <c r="EJ130" s="52">
        <f t="shared" si="246"/>
        <v>0.32917958413671267</v>
      </c>
      <c r="EK130" s="52">
        <f t="shared" si="246"/>
        <v>0.11634727334963224</v>
      </c>
      <c r="EL130" s="52">
        <f t="shared" si="246"/>
        <v>-0.10498109745066697</v>
      </c>
      <c r="EM130" s="52">
        <f t="shared" si="246"/>
        <v>0.45469458661951312</v>
      </c>
      <c r="EN130" s="52">
        <f t="shared" si="246"/>
        <v>0.62474537875060587</v>
      </c>
      <c r="EO130" s="52">
        <f t="shared" si="246"/>
        <v>-0.44008291396537469</v>
      </c>
      <c r="EP130" s="52">
        <f t="shared" si="246"/>
        <v>0.39032964532523651</v>
      </c>
      <c r="EQ130" s="52">
        <f t="shared" si="246"/>
        <v>0.13822179295764458</v>
      </c>
      <c r="ER130" s="52">
        <f t="shared" si="246"/>
        <v>0.43401764851678881</v>
      </c>
      <c r="ES130" s="53">
        <f t="shared" si="246"/>
        <v>-9.8519902915926605E-2</v>
      </c>
      <c r="ET130" s="53">
        <f t="shared" si="246"/>
        <v>6.9698756868392442E-2</v>
      </c>
      <c r="EU130" s="53">
        <f>EU128/ET128-1</f>
        <v>8.1740473341666453E-2</v>
      </c>
      <c r="EV130" s="53">
        <f>EV128/EU128-1</f>
        <v>9.2453174869027155E-2</v>
      </c>
      <c r="EW130" s="53">
        <f>EW128/EV128-1</f>
        <v>9.2713819518547069E-2</v>
      </c>
    </row>
    <row r="131" spans="1:155" s="770" customFormat="1">
      <c r="A131" s="780" t="s">
        <v>277</v>
      </c>
      <c r="B131" s="781"/>
      <c r="C131" s="781"/>
      <c r="D131" s="781"/>
      <c r="E131" s="781"/>
      <c r="F131" s="781"/>
      <c r="G131" s="781"/>
      <c r="H131" s="781"/>
      <c r="I131" s="781"/>
      <c r="J131" s="781"/>
      <c r="K131" s="781"/>
      <c r="L131" s="781"/>
      <c r="M131" s="781"/>
      <c r="N131" s="781"/>
      <c r="O131" s="781"/>
      <c r="P131" s="781"/>
      <c r="Q131" s="781"/>
      <c r="R131" s="781"/>
      <c r="S131" s="781"/>
      <c r="T131" s="781"/>
      <c r="U131" s="781"/>
      <c r="V131" s="781"/>
      <c r="W131" s="781"/>
      <c r="X131" s="781"/>
      <c r="Y131" s="781"/>
      <c r="Z131" s="781"/>
      <c r="AA131" s="781"/>
      <c r="AB131" s="781"/>
      <c r="AC131" s="781"/>
      <c r="AD131" s="781"/>
      <c r="AE131" s="781"/>
      <c r="AF131" s="781"/>
      <c r="AG131" s="781"/>
      <c r="AH131" s="781"/>
      <c r="AI131" s="781"/>
      <c r="AJ131" s="781"/>
      <c r="AK131" s="781"/>
      <c r="AL131" s="781"/>
      <c r="AM131" s="781"/>
      <c r="AN131" s="781"/>
      <c r="AO131" s="781"/>
      <c r="AP131" s="781"/>
      <c r="AQ131" s="781"/>
      <c r="AR131" s="781"/>
      <c r="AS131" s="781"/>
      <c r="AT131" s="781"/>
      <c r="AU131" s="781"/>
      <c r="AV131" s="781"/>
      <c r="AW131" s="781"/>
      <c r="AX131" s="781"/>
      <c r="AY131" s="781"/>
      <c r="AZ131" s="781"/>
      <c r="BA131" s="781"/>
      <c r="BB131" s="771">
        <f t="shared" ref="BB131:BJ131" si="247">BB18</f>
        <v>0.5478864005469779</v>
      </c>
      <c r="BC131" s="771">
        <f t="shared" si="247"/>
        <v>0.56126272188490645</v>
      </c>
      <c r="BD131" s="771">
        <f t="shared" si="247"/>
        <v>0.55223432366396774</v>
      </c>
      <c r="BE131" s="771">
        <f t="shared" si="247"/>
        <v>0.5594523531923673</v>
      </c>
      <c r="BF131" s="771">
        <f t="shared" si="247"/>
        <v>0.56733275412684625</v>
      </c>
      <c r="BG131" s="771">
        <f t="shared" si="247"/>
        <v>0.56287944492627928</v>
      </c>
      <c r="BH131" s="771">
        <f t="shared" si="247"/>
        <v>0.56245210727969353</v>
      </c>
      <c r="BI131" s="771">
        <f t="shared" si="247"/>
        <v>0.5681655960028551</v>
      </c>
      <c r="BJ131" s="771">
        <f t="shared" si="247"/>
        <v>0.58314176245210725</v>
      </c>
      <c r="BK131" s="771">
        <f t="shared" ref="BK131:CP131" si="248">BK128/BK75</f>
        <v>0.56910563380281687</v>
      </c>
      <c r="BL131" s="771">
        <f t="shared" si="248"/>
        <v>0.58339421221864962</v>
      </c>
      <c r="BM131" s="771">
        <f t="shared" si="248"/>
        <v>0.58413073442136498</v>
      </c>
      <c r="BN131" s="771">
        <f t="shared" si="248"/>
        <v>0.56150022200584226</v>
      </c>
      <c r="BO131" s="771">
        <f t="shared" si="248"/>
        <v>0.56651065564924108</v>
      </c>
      <c r="BP131" s="771">
        <f t="shared" si="248"/>
        <v>0.56055330047405505</v>
      </c>
      <c r="BQ131" s="771">
        <f t="shared" si="248"/>
        <v>0.58134507596170204</v>
      </c>
      <c r="BR131" s="771">
        <f t="shared" si="248"/>
        <v>0.61394224750855486</v>
      </c>
      <c r="BS131" s="771">
        <f t="shared" si="248"/>
        <v>0.58486531547757181</v>
      </c>
      <c r="BT131" s="771">
        <f t="shared" si="248"/>
        <v>0.56102455762672843</v>
      </c>
      <c r="BU131" s="771">
        <f t="shared" si="248"/>
        <v>0.41516446875170226</v>
      </c>
      <c r="BV131" s="771">
        <f t="shared" si="248"/>
        <v>0.50285094684090836</v>
      </c>
      <c r="BW131" s="771">
        <f t="shared" si="248"/>
        <v>0.53830866279079814</v>
      </c>
      <c r="BX131" s="771">
        <f t="shared" si="248"/>
        <v>0.59904940310439381</v>
      </c>
      <c r="BY131" s="771">
        <f t="shared" si="248"/>
        <v>0.60411590674398663</v>
      </c>
      <c r="BZ131" s="771">
        <f t="shared" si="248"/>
        <v>0.5886331601937036</v>
      </c>
      <c r="CA131" s="771">
        <f t="shared" si="248"/>
        <v>0.58416514526461927</v>
      </c>
      <c r="CB131" s="771">
        <f t="shared" si="248"/>
        <v>0.5907809974650261</v>
      </c>
      <c r="CC131" s="771">
        <f t="shared" si="248"/>
        <v>0.58511305922633527</v>
      </c>
      <c r="CD131" s="771">
        <f t="shared" si="248"/>
        <v>0.59856822737568871</v>
      </c>
      <c r="CE131" s="771">
        <f t="shared" si="248"/>
        <v>0.60851469289105309</v>
      </c>
      <c r="CF131" s="771">
        <f t="shared" si="248"/>
        <v>0.58668407735140371</v>
      </c>
      <c r="CG131" s="771">
        <f t="shared" si="248"/>
        <v>0.58414386040413624</v>
      </c>
      <c r="CH131" s="771">
        <f t="shared" si="248"/>
        <v>0.58033278279242051</v>
      </c>
      <c r="CI131" s="771">
        <f t="shared" si="248"/>
        <v>0.18800435630893456</v>
      </c>
      <c r="CJ131" s="771">
        <f t="shared" si="248"/>
        <v>0.4323106874446741</v>
      </c>
      <c r="CK131" s="771">
        <f t="shared" si="248"/>
        <v>0.53492509802703636</v>
      </c>
      <c r="CL131" s="771">
        <f t="shared" si="248"/>
        <v>0.54572244956341931</v>
      </c>
      <c r="CM131" s="771">
        <f t="shared" si="248"/>
        <v>0.53751443141529776</v>
      </c>
      <c r="CN131" s="771">
        <f t="shared" si="248"/>
        <v>0.5449943150278338</v>
      </c>
      <c r="CO131" s="771">
        <f t="shared" si="248"/>
        <v>0.57493801229402397</v>
      </c>
      <c r="CP131" s="771">
        <f t="shared" si="248"/>
        <v>0.58798718584591969</v>
      </c>
      <c r="CQ131" s="771">
        <f t="shared" ref="CQ131:DQ131" si="249">CQ128/CQ75</f>
        <v>0.579165253952869</v>
      </c>
      <c r="CR131" s="771">
        <f t="shared" si="249"/>
        <v>0.58161888814667562</v>
      </c>
      <c r="CS131" s="771">
        <f t="shared" si="249"/>
        <v>0.56106152797477027</v>
      </c>
      <c r="CT131" s="771">
        <f t="shared" si="249"/>
        <v>0.56425192027066151</v>
      </c>
      <c r="CU131" s="771">
        <f t="shared" si="249"/>
        <v>0.59365355533258835</v>
      </c>
      <c r="CV131" s="771">
        <f t="shared" si="249"/>
        <v>0.59299790628164761</v>
      </c>
      <c r="CW131" s="771">
        <f t="shared" si="249"/>
        <v>0.59246633034743856</v>
      </c>
      <c r="CX131" s="771">
        <f t="shared" si="249"/>
        <v>0.57420694721081311</v>
      </c>
      <c r="CY131" s="771">
        <f t="shared" si="249"/>
        <v>0.59185646520026525</v>
      </c>
      <c r="CZ131" s="771">
        <f t="shared" si="249"/>
        <v>0.59103621434220632</v>
      </c>
      <c r="DA131" s="771">
        <f t="shared" si="249"/>
        <v>0.59224314636274533</v>
      </c>
      <c r="DB131" s="771">
        <f t="shared" si="249"/>
        <v>0.59247773650270474</v>
      </c>
      <c r="DC131" s="771">
        <f t="shared" si="249"/>
        <v>0.59199981031553595</v>
      </c>
      <c r="DD131" s="771">
        <f t="shared" si="249"/>
        <v>0.59146308256533697</v>
      </c>
      <c r="DE131" s="771">
        <f t="shared" si="249"/>
        <v>0.59259900804579402</v>
      </c>
      <c r="DF131" s="771">
        <f t="shared" si="249"/>
        <v>0.59310292356724736</v>
      </c>
      <c r="DG131" s="771">
        <f t="shared" si="249"/>
        <v>0.5926626859185985</v>
      </c>
      <c r="DH131" s="771">
        <f t="shared" si="249"/>
        <v>0.59221396692057027</v>
      </c>
      <c r="DI131" s="771">
        <f t="shared" si="249"/>
        <v>0.59331620232767845</v>
      </c>
      <c r="DJ131" s="771">
        <f t="shared" si="249"/>
        <v>0.59377286467953516</v>
      </c>
      <c r="DK131" s="771">
        <f t="shared" si="249"/>
        <v>0.59337392178037818</v>
      </c>
      <c r="DL131" s="771">
        <f t="shared" si="249"/>
        <v>0.59296711118165324</v>
      </c>
      <c r="DM131" s="771">
        <f t="shared" si="249"/>
        <v>0.59396607414253022</v>
      </c>
      <c r="DN131" s="771">
        <f t="shared" si="249"/>
        <v>0.59437962570443914</v>
      </c>
      <c r="DO131" s="771">
        <f t="shared" si="249"/>
        <v>0.59401835513126289</v>
      </c>
      <c r="DP131" s="771">
        <f t="shared" si="249"/>
        <v>0.59364981048461596</v>
      </c>
      <c r="DQ131" s="771">
        <f t="shared" si="249"/>
        <v>0.59455453823333282</v>
      </c>
      <c r="EC131" s="772"/>
      <c r="ED131" s="772"/>
      <c r="EE131" s="772"/>
      <c r="EG131" s="770">
        <f t="shared" ref="EG131:EW131" si="250">EG128/EG75</f>
        <v>0.55533916150501983</v>
      </c>
      <c r="EH131" s="770">
        <f t="shared" si="250"/>
        <v>0.56521029661968381</v>
      </c>
      <c r="EI131" s="770">
        <f t="shared" si="250"/>
        <v>0.58084741891738856</v>
      </c>
      <c r="EJ131" s="770">
        <f t="shared" si="250"/>
        <v>0.56856977230861594</v>
      </c>
      <c r="EK131" s="770">
        <f t="shared" si="250"/>
        <v>0.56023352701519846</v>
      </c>
      <c r="EL131" s="770">
        <f t="shared" si="250"/>
        <v>0.5675728162136553</v>
      </c>
      <c r="EM131" s="770">
        <f t="shared" si="250"/>
        <v>0.58717743005281997</v>
      </c>
      <c r="EN131" s="770">
        <f t="shared" si="250"/>
        <v>0.59398115858027856</v>
      </c>
      <c r="EO131" s="770">
        <f t="shared" si="250"/>
        <v>0.4571097877817169</v>
      </c>
      <c r="EP131" s="770">
        <f t="shared" si="250"/>
        <v>0.55158230424642107</v>
      </c>
      <c r="EQ131" s="770">
        <f t="shared" si="250"/>
        <v>0.57787373336732839</v>
      </c>
      <c r="ER131" s="770">
        <f t="shared" si="250"/>
        <v>0.5863066233128934</v>
      </c>
      <c r="ES131" s="774">
        <f t="shared" si="250"/>
        <v>0.58742180161313473</v>
      </c>
      <c r="ET131" s="774">
        <f t="shared" si="250"/>
        <v>0.59213144814842056</v>
      </c>
      <c r="EU131" s="774">
        <f t="shared" si="250"/>
        <v>0.59282442037024097</v>
      </c>
      <c r="EV131" s="774">
        <f t="shared" si="250"/>
        <v>0.593520505907423</v>
      </c>
      <c r="EW131" s="774">
        <f t="shared" si="250"/>
        <v>0.59415111411165689</v>
      </c>
    </row>
    <row r="132" spans="1:155" s="49" customFormat="1" ht="11.25" customHeight="1">
      <c r="A132" s="76" t="s">
        <v>278</v>
      </c>
      <c r="B132" s="76"/>
      <c r="C132" s="76"/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  <c r="AA132" s="76"/>
      <c r="AB132" s="76"/>
      <c r="AC132" s="76"/>
      <c r="AD132" s="76"/>
      <c r="AE132" s="76"/>
      <c r="AF132" s="76"/>
      <c r="AG132" s="76"/>
      <c r="AH132" s="76"/>
      <c r="AI132" s="76"/>
      <c r="AJ132" s="76"/>
      <c r="AK132" s="76"/>
      <c r="AL132" s="76"/>
      <c r="AM132" s="76"/>
      <c r="AN132" s="76"/>
      <c r="AO132" s="76"/>
      <c r="AP132" s="76"/>
      <c r="AQ132" s="76"/>
      <c r="AR132" s="76"/>
      <c r="AS132" s="76"/>
      <c r="AT132" s="76"/>
      <c r="AU132" s="76"/>
      <c r="AV132" s="76"/>
      <c r="AW132" s="76"/>
      <c r="AX132" s="76"/>
      <c r="AY132" s="76"/>
      <c r="AZ132" s="76"/>
      <c r="BA132" s="76"/>
      <c r="BB132" s="76">
        <f t="shared" ref="BB132:CG132" si="251">BB79*BB135</f>
        <v>136.04019325581461</v>
      </c>
      <c r="BC132" s="76">
        <f t="shared" si="251"/>
        <v>151.7654399976787</v>
      </c>
      <c r="BD132" s="76">
        <f t="shared" si="251"/>
        <v>147.88835187721057</v>
      </c>
      <c r="BE132" s="76">
        <f t="shared" si="251"/>
        <v>127.55513652785974</v>
      </c>
      <c r="BF132" s="76">
        <f t="shared" si="251"/>
        <v>118.09031277150304</v>
      </c>
      <c r="BG132" s="76">
        <f t="shared" si="251"/>
        <v>113.92679965307892</v>
      </c>
      <c r="BH132" s="76">
        <f t="shared" si="251"/>
        <v>122.89578544061303</v>
      </c>
      <c r="BI132" s="76">
        <f t="shared" si="251"/>
        <v>132.63825838686651</v>
      </c>
      <c r="BJ132" s="76">
        <f t="shared" si="251"/>
        <v>121.23517241379309</v>
      </c>
      <c r="BK132" s="76">
        <f t="shared" si="251"/>
        <v>136.96</v>
      </c>
      <c r="BL132" s="76">
        <f t="shared" si="251"/>
        <v>133.51500000000001</v>
      </c>
      <c r="BM132" s="76">
        <f t="shared" si="251"/>
        <v>146.25</v>
      </c>
      <c r="BN132" s="76">
        <f t="shared" si="251"/>
        <v>133.25</v>
      </c>
      <c r="BO132" s="76">
        <f t="shared" si="251"/>
        <v>152.75</v>
      </c>
      <c r="BP132" s="76">
        <f t="shared" si="251"/>
        <v>157.74</v>
      </c>
      <c r="BQ132" s="76">
        <f t="shared" si="251"/>
        <v>170.18</v>
      </c>
      <c r="BR132" s="76">
        <f t="shared" si="251"/>
        <v>170.68</v>
      </c>
      <c r="BS132" s="76">
        <f t="shared" si="251"/>
        <v>189.67500000000001</v>
      </c>
      <c r="BT132" s="76">
        <f t="shared" si="251"/>
        <v>205.875</v>
      </c>
      <c r="BU132" s="76">
        <f t="shared" si="251"/>
        <v>199.24</v>
      </c>
      <c r="BV132" s="76">
        <f t="shared" si="251"/>
        <v>182.21</v>
      </c>
      <c r="BW132" s="76">
        <f t="shared" si="251"/>
        <v>200.79000000000002</v>
      </c>
      <c r="BX132" s="76">
        <f t="shared" si="251"/>
        <v>225.18</v>
      </c>
      <c r="BY132" s="76">
        <f t="shared" si="251"/>
        <v>230.04500000000002</v>
      </c>
      <c r="BZ132" s="76">
        <f t="shared" si="251"/>
        <v>213.36500000000001</v>
      </c>
      <c r="CA132" s="76">
        <f t="shared" si="251"/>
        <v>141.08500000000001</v>
      </c>
      <c r="CB132" s="76">
        <f t="shared" si="251"/>
        <v>164.02</v>
      </c>
      <c r="CC132" s="76">
        <f t="shared" si="251"/>
        <v>213.36500000000001</v>
      </c>
      <c r="CD132" s="76">
        <f t="shared" si="251"/>
        <v>258.54000000000002</v>
      </c>
      <c r="CE132" s="76">
        <f t="shared" si="251"/>
        <v>360.70500000000004</v>
      </c>
      <c r="CF132" s="76">
        <f t="shared" si="251"/>
        <v>401.01500000000004</v>
      </c>
      <c r="CG132" s="76">
        <f t="shared" si="251"/>
        <v>450.09999999999997</v>
      </c>
      <c r="CH132" s="76">
        <f t="shared" ref="CH132:DQ132" si="252">CH79*CH135</f>
        <v>429.17999999999995</v>
      </c>
      <c r="CI132" s="76">
        <f t="shared" si="252"/>
        <v>322.40000000000003</v>
      </c>
      <c r="CJ132" s="76">
        <f t="shared" si="252"/>
        <v>130</v>
      </c>
      <c r="CK132" s="76">
        <f t="shared" si="252"/>
        <v>153.68</v>
      </c>
      <c r="CL132" s="76">
        <f t="shared" si="252"/>
        <v>203.54999999999998</v>
      </c>
      <c r="CM132" s="76">
        <f t="shared" si="252"/>
        <v>261.51</v>
      </c>
      <c r="CN132" s="76">
        <f t="shared" si="252"/>
        <v>291.2</v>
      </c>
      <c r="CO132" s="76">
        <f t="shared" si="252"/>
        <v>324.09999999999997</v>
      </c>
      <c r="CP132" s="76">
        <f t="shared" si="252"/>
        <v>298.89999999999998</v>
      </c>
      <c r="CQ132" s="76">
        <f t="shared" si="252"/>
        <v>317.79999999999995</v>
      </c>
      <c r="CR132" s="76">
        <f t="shared" si="252"/>
        <v>340.2</v>
      </c>
      <c r="CS132" s="76">
        <f t="shared" si="252"/>
        <v>357.7</v>
      </c>
      <c r="CT132" s="76">
        <f t="shared" si="252"/>
        <v>356.29999999999995</v>
      </c>
      <c r="CU132" s="76">
        <f t="shared" si="252"/>
        <v>420.7</v>
      </c>
      <c r="CV132" s="76">
        <f t="shared" si="252"/>
        <v>532</v>
      </c>
      <c r="CW132" s="76">
        <f t="shared" si="252"/>
        <v>924.69999999999993</v>
      </c>
      <c r="CX132" s="76">
        <f t="shared" si="252"/>
        <v>1368.5559999999998</v>
      </c>
      <c r="CY132" s="78">
        <f t="shared" si="252"/>
        <v>1478.0404800000001</v>
      </c>
      <c r="CZ132" s="78">
        <f t="shared" si="252"/>
        <v>1522.3816944</v>
      </c>
      <c r="DA132" s="78">
        <f t="shared" si="252"/>
        <v>1598.5007791200003</v>
      </c>
      <c r="DB132" s="78">
        <f t="shared" si="252"/>
        <v>1470.6207167904001</v>
      </c>
      <c r="DC132" s="78">
        <f t="shared" si="252"/>
        <v>1529.4455454620163</v>
      </c>
      <c r="DD132" s="78">
        <f t="shared" si="252"/>
        <v>1621.2122781897372</v>
      </c>
      <c r="DE132" s="78">
        <f t="shared" si="252"/>
        <v>1686.060769317327</v>
      </c>
      <c r="DF132" s="78">
        <f t="shared" si="252"/>
        <v>1551.175907771941</v>
      </c>
      <c r="DG132" s="78">
        <f t="shared" si="252"/>
        <v>1628.7347031605379</v>
      </c>
      <c r="DH132" s="78">
        <f t="shared" si="252"/>
        <v>1742.7461323817759</v>
      </c>
      <c r="DI132" s="78">
        <f t="shared" si="252"/>
        <v>1829.8834390008644</v>
      </c>
      <c r="DJ132" s="78">
        <f t="shared" si="252"/>
        <v>1683.4927638807956</v>
      </c>
      <c r="DK132" s="78">
        <f t="shared" si="252"/>
        <v>1750.8324744360273</v>
      </c>
      <c r="DL132" s="78">
        <f t="shared" si="252"/>
        <v>1855.8824229021889</v>
      </c>
      <c r="DM132" s="78">
        <f t="shared" si="252"/>
        <v>1948.6765440472986</v>
      </c>
      <c r="DN132" s="78">
        <f t="shared" si="252"/>
        <v>1792.7824205235149</v>
      </c>
      <c r="DO132" s="78">
        <f t="shared" si="252"/>
        <v>1864.4937173444555</v>
      </c>
      <c r="DP132" s="78">
        <f t="shared" si="252"/>
        <v>1976.3633403851229</v>
      </c>
      <c r="DQ132" s="78">
        <f t="shared" si="252"/>
        <v>2075.1815074043789</v>
      </c>
      <c r="DT132" s="77"/>
      <c r="DU132" s="77"/>
      <c r="DV132" s="77"/>
      <c r="DW132" s="77"/>
      <c r="DX132" s="77"/>
      <c r="DY132" s="77"/>
      <c r="DZ132" s="77"/>
      <c r="EA132" s="77"/>
      <c r="EB132" s="77"/>
      <c r="EC132" s="76"/>
      <c r="ED132" s="76"/>
      <c r="EE132" s="76"/>
      <c r="EF132" s="76"/>
      <c r="EG132" s="76">
        <f>SUM(BB132:BE132)</f>
        <v>563.24912165856358</v>
      </c>
      <c r="EH132" s="76">
        <f>SUM(BF132:BI132)</f>
        <v>487.55115625206145</v>
      </c>
      <c r="EI132" s="76">
        <f>SUM(BJ132:BM132)</f>
        <v>537.96017241379309</v>
      </c>
      <c r="EJ132" s="76">
        <f>SUM(BN132:BQ132)</f>
        <v>613.92000000000007</v>
      </c>
      <c r="EK132" s="76">
        <f>SUM(BR132:BU132)</f>
        <v>765.47</v>
      </c>
      <c r="EL132" s="76">
        <f>BV132+BW132+BX132+BY132</f>
        <v>838.22500000000014</v>
      </c>
      <c r="EM132" s="76">
        <f>SUM(BZ132:CC132)</f>
        <v>731.83500000000004</v>
      </c>
      <c r="EN132" s="76">
        <f>+CD132+CE132+CF132+CG132</f>
        <v>1470.3600000000001</v>
      </c>
      <c r="EO132" s="76">
        <f>SUM(CH132:CK132)</f>
        <v>1035.26</v>
      </c>
      <c r="EP132" s="76">
        <f>SUM(CL132:CO132)</f>
        <v>1080.3599999999999</v>
      </c>
      <c r="EQ132" s="76">
        <f>SUM(CP132:CS132)</f>
        <v>1314.6</v>
      </c>
      <c r="ER132" s="76">
        <f>SUM(CT132:CW132)</f>
        <v>2233.6999999999998</v>
      </c>
      <c r="ES132" s="78">
        <f>SUM(CX132:DA132)</f>
        <v>5967.4789535200007</v>
      </c>
      <c r="ET132" s="78">
        <f>SUM(DB132:DE132)</f>
        <v>6307.3393097594808</v>
      </c>
      <c r="EU132" s="78">
        <f>SUM(DF132:DI132)</f>
        <v>6752.5401823151187</v>
      </c>
      <c r="EV132" s="78">
        <f>SUM(DJ132:DM132)</f>
        <v>7238.8842052663113</v>
      </c>
      <c r="EW132" s="78">
        <f>SUM(DN132:DQ132)</f>
        <v>7708.8209856574722</v>
      </c>
    </row>
    <row r="133" spans="1:155" s="49" customFormat="1" ht="11.25" customHeight="1">
      <c r="A133" s="69" t="s">
        <v>223</v>
      </c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52">
        <f t="shared" ref="BC133:DN133" si="253">BC132/BB132-1</f>
        <v>0.11559265218253389</v>
      </c>
      <c r="BD133" s="52">
        <f t="shared" si="253"/>
        <v>-2.554658109598229E-2</v>
      </c>
      <c r="BE133" s="52">
        <f t="shared" si="253"/>
        <v>-0.13749031002950918</v>
      </c>
      <c r="BF133" s="52">
        <f t="shared" si="253"/>
        <v>-7.4201823728905381E-2</v>
      </c>
      <c r="BG133" s="52">
        <f t="shared" si="253"/>
        <v>-3.5257025074361903E-2</v>
      </c>
      <c r="BH133" s="52">
        <f t="shared" si="253"/>
        <v>7.8725864457228401E-2</v>
      </c>
      <c r="BI133" s="52">
        <f t="shared" si="253"/>
        <v>7.9274264054900012E-2</v>
      </c>
      <c r="BJ133" s="52">
        <f t="shared" si="253"/>
        <v>-8.5971318620710391E-2</v>
      </c>
      <c r="BK133" s="52">
        <f t="shared" si="253"/>
        <v>0.12970516124261211</v>
      </c>
      <c r="BL133" s="52">
        <f t="shared" si="253"/>
        <v>-2.5153329439252303E-2</v>
      </c>
      <c r="BM133" s="52">
        <f t="shared" si="253"/>
        <v>9.538254128749557E-2</v>
      </c>
      <c r="BN133" s="52">
        <f t="shared" si="253"/>
        <v>-8.8888888888888906E-2</v>
      </c>
      <c r="BO133" s="52">
        <f t="shared" si="253"/>
        <v>0.14634146341463405</v>
      </c>
      <c r="BP133" s="52">
        <f t="shared" si="253"/>
        <v>3.2667757774140771E-2</v>
      </c>
      <c r="BQ133" s="52">
        <f t="shared" si="253"/>
        <v>7.8863953340940762E-2</v>
      </c>
      <c r="BR133" s="52">
        <f t="shared" si="253"/>
        <v>2.9380655776236608E-3</v>
      </c>
      <c r="BS133" s="52">
        <f t="shared" si="253"/>
        <v>0.11129013358331385</v>
      </c>
      <c r="BT133" s="52">
        <f t="shared" si="253"/>
        <v>8.5409252669039093E-2</v>
      </c>
      <c r="BU133" s="52">
        <f t="shared" si="253"/>
        <v>-3.2228293867638036E-2</v>
      </c>
      <c r="BV133" s="52">
        <f t="shared" si="253"/>
        <v>-8.5474804256173487E-2</v>
      </c>
      <c r="BW133" s="52">
        <f t="shared" si="253"/>
        <v>0.10197025410240945</v>
      </c>
      <c r="BX133" s="52">
        <f t="shared" si="253"/>
        <v>0.12147019273868209</v>
      </c>
      <c r="BY133" s="52">
        <f t="shared" si="253"/>
        <v>2.1604938271605034E-2</v>
      </c>
      <c r="BZ133" s="52">
        <f t="shared" si="253"/>
        <v>-7.2507552870090697E-2</v>
      </c>
      <c r="CA133" s="52">
        <f t="shared" si="253"/>
        <v>-0.33876221498371339</v>
      </c>
      <c r="CB133" s="52">
        <f t="shared" si="253"/>
        <v>0.16256157635467972</v>
      </c>
      <c r="CC133" s="52">
        <f t="shared" si="253"/>
        <v>0.30084745762711851</v>
      </c>
      <c r="CD133" s="52">
        <f t="shared" si="253"/>
        <v>0.21172638436482094</v>
      </c>
      <c r="CE133" s="52">
        <f t="shared" si="253"/>
        <v>0.39516129032258074</v>
      </c>
      <c r="CF133" s="52">
        <f t="shared" si="253"/>
        <v>0.11175337186897871</v>
      </c>
      <c r="CG133" s="52">
        <f t="shared" si="253"/>
        <v>0.12240190516564198</v>
      </c>
      <c r="CH133" s="52">
        <f t="shared" si="253"/>
        <v>-4.6478560319928919E-2</v>
      </c>
      <c r="CI133" s="52">
        <f t="shared" si="253"/>
        <v>-0.24880003728039501</v>
      </c>
      <c r="CJ133" s="52">
        <f t="shared" si="253"/>
        <v>-0.59677419354838712</v>
      </c>
      <c r="CK133" s="52">
        <f t="shared" si="253"/>
        <v>0.18215384615384611</v>
      </c>
      <c r="CL133" s="52">
        <f t="shared" si="253"/>
        <v>0.32450546590317519</v>
      </c>
      <c r="CM133" s="52">
        <f t="shared" si="253"/>
        <v>0.28474576271186458</v>
      </c>
      <c r="CN133" s="52">
        <f t="shared" si="253"/>
        <v>0.11353294329088759</v>
      </c>
      <c r="CO133" s="52">
        <f t="shared" si="253"/>
        <v>0.11298076923076916</v>
      </c>
      <c r="CP133" s="52">
        <f t="shared" si="253"/>
        <v>-7.7753779697624203E-2</v>
      </c>
      <c r="CQ133" s="52">
        <f t="shared" si="253"/>
        <v>6.3231850117095867E-2</v>
      </c>
      <c r="CR133" s="52">
        <f t="shared" si="253"/>
        <v>7.0484581497797461E-2</v>
      </c>
      <c r="CS133" s="52">
        <f t="shared" si="253"/>
        <v>5.1440329218106928E-2</v>
      </c>
      <c r="CT133" s="52">
        <f t="shared" si="253"/>
        <v>-3.9138943248533398E-3</v>
      </c>
      <c r="CU133" s="52">
        <f t="shared" si="253"/>
        <v>0.18074656188605109</v>
      </c>
      <c r="CV133" s="52">
        <f t="shared" si="253"/>
        <v>0.26455906821963393</v>
      </c>
      <c r="CW133" s="52">
        <f t="shared" si="253"/>
        <v>0.7381578947368419</v>
      </c>
      <c r="CX133" s="52">
        <f t="shared" si="253"/>
        <v>0.48</v>
      </c>
      <c r="CY133" s="53">
        <f t="shared" si="253"/>
        <v>8.0000000000000293E-2</v>
      </c>
      <c r="CZ133" s="53">
        <f t="shared" si="253"/>
        <v>3.0000000000000027E-2</v>
      </c>
      <c r="DA133" s="53">
        <f t="shared" si="253"/>
        <v>5.0000000000000266E-2</v>
      </c>
      <c r="DB133" s="53">
        <f t="shared" si="253"/>
        <v>-8.0000000000000071E-2</v>
      </c>
      <c r="DC133" s="53">
        <f t="shared" si="253"/>
        <v>4.0000000000000036E-2</v>
      </c>
      <c r="DD133" s="53">
        <f t="shared" si="253"/>
        <v>5.9999999999999831E-2</v>
      </c>
      <c r="DE133" s="53">
        <f t="shared" si="253"/>
        <v>4.0000000000000258E-2</v>
      </c>
      <c r="DF133" s="53">
        <f t="shared" si="253"/>
        <v>-7.999999999999996E-2</v>
      </c>
      <c r="DG133" s="53">
        <f t="shared" si="253"/>
        <v>5.0000000000000044E-2</v>
      </c>
      <c r="DH133" s="53">
        <f t="shared" si="253"/>
        <v>7.0000000000000062E-2</v>
      </c>
      <c r="DI133" s="53">
        <f t="shared" si="253"/>
        <v>4.9999999999999822E-2</v>
      </c>
      <c r="DJ133" s="53">
        <f t="shared" si="253"/>
        <v>-7.9999999999999849E-2</v>
      </c>
      <c r="DK133" s="53">
        <f t="shared" si="253"/>
        <v>4.0000000000000036E-2</v>
      </c>
      <c r="DL133" s="53">
        <f t="shared" si="253"/>
        <v>6.0000000000000053E-2</v>
      </c>
      <c r="DM133" s="53">
        <f t="shared" si="253"/>
        <v>5.0000000000000266E-2</v>
      </c>
      <c r="DN133" s="53">
        <f t="shared" si="253"/>
        <v>-7.999999999999996E-2</v>
      </c>
      <c r="DO133" s="53">
        <f t="shared" ref="DO133:DQ133" si="254">DO132/DN132-1</f>
        <v>4.0000000000000036E-2</v>
      </c>
      <c r="DP133" s="53">
        <f t="shared" si="254"/>
        <v>6.0000000000000053E-2</v>
      </c>
      <c r="DQ133" s="53">
        <f t="shared" si="254"/>
        <v>4.9999999999999822E-2</v>
      </c>
      <c r="DT133" s="54" t="s">
        <v>224</v>
      </c>
      <c r="DU133" s="54" t="s">
        <v>224</v>
      </c>
      <c r="DV133" s="54" t="s">
        <v>224</v>
      </c>
      <c r="DW133" s="54" t="s">
        <v>224</v>
      </c>
      <c r="DX133" s="54" t="s">
        <v>224</v>
      </c>
      <c r="DY133" s="54" t="s">
        <v>224</v>
      </c>
      <c r="DZ133" s="54" t="s">
        <v>224</v>
      </c>
      <c r="EA133" s="54" t="s">
        <v>224</v>
      </c>
      <c r="EB133" s="54" t="s">
        <v>224</v>
      </c>
      <c r="EC133" s="54" t="s">
        <v>224</v>
      </c>
      <c r="ED133" s="54" t="s">
        <v>224</v>
      </c>
      <c r="EE133" s="54" t="s">
        <v>224</v>
      </c>
      <c r="EF133" s="54" t="s">
        <v>224</v>
      </c>
      <c r="EG133" s="54" t="s">
        <v>224</v>
      </c>
      <c r="EH133" s="54" t="s">
        <v>224</v>
      </c>
      <c r="EI133" s="54" t="s">
        <v>224</v>
      </c>
      <c r="EJ133" s="54" t="s">
        <v>224</v>
      </c>
      <c r="EK133" s="54" t="s">
        <v>224</v>
      </c>
      <c r="EL133" s="54" t="s">
        <v>224</v>
      </c>
      <c r="EM133" s="54" t="s">
        <v>224</v>
      </c>
      <c r="EN133" s="54" t="s">
        <v>224</v>
      </c>
      <c r="EO133" s="54" t="s">
        <v>224</v>
      </c>
      <c r="EP133" s="54" t="s">
        <v>224</v>
      </c>
      <c r="EQ133" s="54" t="s">
        <v>224</v>
      </c>
      <c r="ER133" s="54" t="s">
        <v>224</v>
      </c>
      <c r="ES133" s="55" t="s">
        <v>224</v>
      </c>
      <c r="ET133" s="55" t="s">
        <v>224</v>
      </c>
      <c r="EU133" s="55" t="s">
        <v>224</v>
      </c>
      <c r="EV133" s="55" t="s">
        <v>224</v>
      </c>
      <c r="EW133" s="55" t="s">
        <v>224</v>
      </c>
    </row>
    <row r="134" spans="1:155" s="49" customFormat="1" ht="11.25" customHeight="1">
      <c r="A134" s="69" t="s">
        <v>225</v>
      </c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91">
        <f t="shared" ref="BF134:DQ134" si="255">BF132/BB132-1</f>
        <v>-0.13194542035498291</v>
      </c>
      <c r="BG134" s="91">
        <f t="shared" si="255"/>
        <v>-0.24932316833910628</v>
      </c>
      <c r="BH134" s="91">
        <f t="shared" si="255"/>
        <v>-0.16899617934310662</v>
      </c>
      <c r="BI134" s="91">
        <f t="shared" si="255"/>
        <v>3.9850389387467322E-2</v>
      </c>
      <c r="BJ134" s="91">
        <f t="shared" si="255"/>
        <v>2.6630970555350686E-2</v>
      </c>
      <c r="BK134" s="91">
        <f t="shared" si="255"/>
        <v>0.20217543560479201</v>
      </c>
      <c r="BL134" s="91">
        <f t="shared" si="255"/>
        <v>8.6408289115158521E-2</v>
      </c>
      <c r="BM134" s="91">
        <f t="shared" si="255"/>
        <v>0.10262304239122377</v>
      </c>
      <c r="BN134" s="91">
        <f t="shared" si="255"/>
        <v>9.9103480838040658E-2</v>
      </c>
      <c r="BO134" s="91">
        <f t="shared" si="255"/>
        <v>0.11528913551401865</v>
      </c>
      <c r="BP134" s="91">
        <f t="shared" si="255"/>
        <v>0.1814402876081338</v>
      </c>
      <c r="BQ134" s="91">
        <f t="shared" si="255"/>
        <v>0.16362393162393163</v>
      </c>
      <c r="BR134" s="91">
        <f t="shared" si="255"/>
        <v>0.28090056285178244</v>
      </c>
      <c r="BS134" s="91">
        <f t="shared" si="255"/>
        <v>0.24173486088379703</v>
      </c>
      <c r="BT134" s="91">
        <f t="shared" si="255"/>
        <v>0.30515405096995041</v>
      </c>
      <c r="BU134" s="91">
        <f t="shared" si="255"/>
        <v>0.17076037137148892</v>
      </c>
      <c r="BV134" s="91">
        <f t="shared" si="255"/>
        <v>6.7553316147175968E-2</v>
      </c>
      <c r="BW134" s="91">
        <f t="shared" si="255"/>
        <v>5.8600237247924181E-2</v>
      </c>
      <c r="BX134" s="91">
        <f t="shared" si="255"/>
        <v>9.3770491803278677E-2</v>
      </c>
      <c r="BY134" s="91">
        <f t="shared" si="255"/>
        <v>0.15461252760489863</v>
      </c>
      <c r="BZ134" s="91">
        <f t="shared" si="255"/>
        <v>0.17098402941660718</v>
      </c>
      <c r="CA134" s="91">
        <f t="shared" si="255"/>
        <v>-0.2973504656606405</v>
      </c>
      <c r="CB134" s="91">
        <f t="shared" si="255"/>
        <v>-0.27160493827160492</v>
      </c>
      <c r="CC134" s="91">
        <f t="shared" si="255"/>
        <v>-7.2507552870090697E-2</v>
      </c>
      <c r="CD134" s="91">
        <f t="shared" si="255"/>
        <v>0.21172638436482094</v>
      </c>
      <c r="CE134" s="91">
        <f t="shared" si="255"/>
        <v>1.556650246305419</v>
      </c>
      <c r="CF134" s="91">
        <f t="shared" si="255"/>
        <v>1.4449152542372881</v>
      </c>
      <c r="CG134" s="91">
        <f t="shared" si="255"/>
        <v>1.1095306165491059</v>
      </c>
      <c r="CH134" s="91">
        <f t="shared" si="255"/>
        <v>0.66001392434439521</v>
      </c>
      <c r="CI134" s="91">
        <f t="shared" si="255"/>
        <v>-0.10619481293577859</v>
      </c>
      <c r="CJ134" s="91">
        <f t="shared" si="255"/>
        <v>-0.67582260015211404</v>
      </c>
      <c r="CK134" s="91">
        <f t="shared" si="255"/>
        <v>-0.65856476338591419</v>
      </c>
      <c r="CL134" s="91">
        <f t="shared" si="255"/>
        <v>-0.52572347266881025</v>
      </c>
      <c r="CM134" s="91">
        <f t="shared" si="255"/>
        <v>-0.18886476426799015</v>
      </c>
      <c r="CN134" s="91">
        <f t="shared" si="255"/>
        <v>1.2399999999999998</v>
      </c>
      <c r="CO134" s="91">
        <f t="shared" si="255"/>
        <v>1.1089276418532013</v>
      </c>
      <c r="CP134" s="91">
        <f t="shared" si="255"/>
        <v>0.46843527388847961</v>
      </c>
      <c r="CQ134" s="91">
        <f t="shared" si="255"/>
        <v>0.21524989484149737</v>
      </c>
      <c r="CR134" s="91">
        <f t="shared" si="255"/>
        <v>0.16826923076923084</v>
      </c>
      <c r="CS134" s="91">
        <f t="shared" si="255"/>
        <v>0.10367170626349909</v>
      </c>
      <c r="CT134" s="91">
        <f t="shared" si="255"/>
        <v>0.19203747072599531</v>
      </c>
      <c r="CU134" s="91">
        <f t="shared" si="255"/>
        <v>0.32378854625550679</v>
      </c>
      <c r="CV134" s="91">
        <f t="shared" si="255"/>
        <v>0.56378600823045266</v>
      </c>
      <c r="CW134" s="91">
        <f t="shared" si="255"/>
        <v>1.5851272015655575</v>
      </c>
      <c r="CX134" s="91">
        <f t="shared" si="255"/>
        <v>2.8410216110019646</v>
      </c>
      <c r="CY134" s="100">
        <f t="shared" si="255"/>
        <v>2.5132885191347758</v>
      </c>
      <c r="CZ134" s="100">
        <f t="shared" si="255"/>
        <v>1.8616197263157894</v>
      </c>
      <c r="DA134" s="100">
        <f t="shared" si="255"/>
        <v>0.72866960000000036</v>
      </c>
      <c r="DB134" s="100">
        <f t="shared" si="255"/>
        <v>7.4578400000000267E-2</v>
      </c>
      <c r="DC134" s="100">
        <f t="shared" si="255"/>
        <v>3.477920000000001E-2</v>
      </c>
      <c r="DD134" s="100">
        <f t="shared" si="255"/>
        <v>6.4918400000000043E-2</v>
      </c>
      <c r="DE134" s="100">
        <f t="shared" si="255"/>
        <v>5.4776320000000212E-2</v>
      </c>
      <c r="DF134" s="100">
        <f t="shared" si="255"/>
        <v>5.4776320000000434E-2</v>
      </c>
      <c r="DG134" s="100">
        <f t="shared" si="255"/>
        <v>6.4918400000000265E-2</v>
      </c>
      <c r="DH134" s="100">
        <f t="shared" si="255"/>
        <v>7.4964800000000498E-2</v>
      </c>
      <c r="DI134" s="100">
        <f t="shared" si="255"/>
        <v>8.5301000000000071E-2</v>
      </c>
      <c r="DJ134" s="100">
        <f t="shared" si="255"/>
        <v>8.5301000000000071E-2</v>
      </c>
      <c r="DK134" s="100">
        <f t="shared" si="255"/>
        <v>7.4964800000000054E-2</v>
      </c>
      <c r="DL134" s="100">
        <f t="shared" si="255"/>
        <v>6.4918400000000043E-2</v>
      </c>
      <c r="DM134" s="100">
        <f t="shared" si="255"/>
        <v>6.4918400000000265E-2</v>
      </c>
      <c r="DN134" s="100">
        <f t="shared" si="255"/>
        <v>6.4918400000000265E-2</v>
      </c>
      <c r="DO134" s="100">
        <f t="shared" si="255"/>
        <v>6.4918400000000265E-2</v>
      </c>
      <c r="DP134" s="100">
        <f t="shared" si="255"/>
        <v>6.4918400000000265E-2</v>
      </c>
      <c r="DQ134" s="100">
        <f t="shared" si="255"/>
        <v>6.4918400000000043E-2</v>
      </c>
      <c r="EC134" s="35"/>
      <c r="ED134" s="35"/>
      <c r="EE134" s="35"/>
      <c r="EF134" s="35"/>
      <c r="EG134" s="35"/>
      <c r="EH134" s="52">
        <f t="shared" ref="EH134:ET134" si="256">EH132/EG132-1</f>
        <v>-0.13439517701083881</v>
      </c>
      <c r="EI134" s="52">
        <f t="shared" si="256"/>
        <v>0.10339226051526462</v>
      </c>
      <c r="EJ134" s="52">
        <f t="shared" si="256"/>
        <v>0.14119972347651699</v>
      </c>
      <c r="EK134" s="52">
        <f t="shared" si="256"/>
        <v>0.24685626791764381</v>
      </c>
      <c r="EL134" s="52">
        <f t="shared" si="256"/>
        <v>9.5046180777822897E-2</v>
      </c>
      <c r="EM134" s="52">
        <f t="shared" si="256"/>
        <v>-0.12692296221181676</v>
      </c>
      <c r="EN134" s="52">
        <f t="shared" si="256"/>
        <v>1.0091414048248581</v>
      </c>
      <c r="EO134" s="52">
        <f t="shared" si="256"/>
        <v>-0.29591392584129061</v>
      </c>
      <c r="EP134" s="52">
        <f t="shared" si="256"/>
        <v>4.3563935629696848E-2</v>
      </c>
      <c r="EQ134" s="52">
        <f t="shared" si="256"/>
        <v>0.21681661668332786</v>
      </c>
      <c r="ER134" s="52">
        <f t="shared" si="256"/>
        <v>0.6991480298189563</v>
      </c>
      <c r="ES134" s="53">
        <f t="shared" si="256"/>
        <v>1.6715668861172053</v>
      </c>
      <c r="ET134" s="53">
        <f t="shared" si="256"/>
        <v>5.6952082929259129E-2</v>
      </c>
      <c r="EU134" s="53">
        <f>EU132/ET132-1</f>
        <v>7.0584576267645804E-2</v>
      </c>
      <c r="EV134" s="53">
        <f>EV132/EU132-1</f>
        <v>7.2023862105245362E-2</v>
      </c>
      <c r="EW134" s="53">
        <f>EW132/EV132-1</f>
        <v>6.4918400000000043E-2</v>
      </c>
    </row>
    <row r="135" spans="1:155" s="52" customFormat="1" ht="11.25" customHeight="1">
      <c r="A135" s="107" t="s">
        <v>277</v>
      </c>
      <c r="B135" s="108"/>
      <c r="C135" s="108"/>
      <c r="D135" s="108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108"/>
      <c r="AV135" s="108"/>
      <c r="AW135" s="108"/>
      <c r="AX135" s="108"/>
      <c r="AY135" s="108"/>
      <c r="AZ135" s="108"/>
      <c r="BA135" s="108"/>
      <c r="BB135" s="100">
        <f>BB131*1.3</f>
        <v>0.71225232071107125</v>
      </c>
      <c r="BC135" s="100">
        <f>BC131*1.3</f>
        <v>0.72964153845037838</v>
      </c>
      <c r="BD135" s="100">
        <f>BD131*1.3</f>
        <v>0.71790462076315809</v>
      </c>
      <c r="BE135" s="100">
        <f>BE131*1.2</f>
        <v>0.67134282383084076</v>
      </c>
      <c r="BF135" s="100">
        <f>BF131*1.15</f>
        <v>0.65243266724587312</v>
      </c>
      <c r="BG135" s="100">
        <f>BG131*1.15</f>
        <v>0.64731136166522107</v>
      </c>
      <c r="BH135" s="100">
        <f>BH131*1.15</f>
        <v>0.64681992337164751</v>
      </c>
      <c r="BI135" s="100">
        <f>BI131*1.15</f>
        <v>0.65339043540328334</v>
      </c>
      <c r="BJ135" s="100">
        <f>BJ131*1.1</f>
        <v>0.64145593869731798</v>
      </c>
      <c r="BK135" s="100">
        <v>0.64</v>
      </c>
      <c r="BL135" s="100">
        <v>0.64500000000000002</v>
      </c>
      <c r="BM135" s="100">
        <v>0.65</v>
      </c>
      <c r="BN135" s="100">
        <v>0.65</v>
      </c>
      <c r="BO135" s="100">
        <f>BN135</f>
        <v>0.65</v>
      </c>
      <c r="BP135" s="100">
        <v>0.66</v>
      </c>
      <c r="BQ135" s="100">
        <v>0.67</v>
      </c>
      <c r="BR135" s="100">
        <v>0.68</v>
      </c>
      <c r="BS135" s="100">
        <v>0.67500000000000004</v>
      </c>
      <c r="BT135" s="100">
        <v>0.67500000000000004</v>
      </c>
      <c r="BU135" s="100">
        <f>BT135+0.005</f>
        <v>0.68</v>
      </c>
      <c r="BV135" s="100">
        <f>BU135+0.005</f>
        <v>0.68500000000000005</v>
      </c>
      <c r="BW135" s="100">
        <f>BV135+0.005</f>
        <v>0.69000000000000006</v>
      </c>
      <c r="BX135" s="100">
        <f>BW135+0.005</f>
        <v>0.69500000000000006</v>
      </c>
      <c r="BY135" s="100">
        <f t="shared" ref="BY135:CF135" si="257">BX135</f>
        <v>0.69500000000000006</v>
      </c>
      <c r="BZ135" s="100">
        <f t="shared" si="257"/>
        <v>0.69500000000000006</v>
      </c>
      <c r="CA135" s="100">
        <f t="shared" si="257"/>
        <v>0.69500000000000006</v>
      </c>
      <c r="CB135" s="100">
        <f t="shared" si="257"/>
        <v>0.69500000000000006</v>
      </c>
      <c r="CC135" s="100">
        <f t="shared" si="257"/>
        <v>0.69500000000000006</v>
      </c>
      <c r="CD135" s="100">
        <f t="shared" si="257"/>
        <v>0.69500000000000006</v>
      </c>
      <c r="CE135" s="100">
        <f t="shared" si="257"/>
        <v>0.69500000000000006</v>
      </c>
      <c r="CF135" s="100">
        <f t="shared" si="257"/>
        <v>0.69500000000000006</v>
      </c>
      <c r="CG135" s="100">
        <v>0.7</v>
      </c>
      <c r="CH135" s="100">
        <v>0.69</v>
      </c>
      <c r="CI135" s="100">
        <v>0.65</v>
      </c>
      <c r="CJ135" s="100">
        <v>0.65</v>
      </c>
      <c r="CK135" s="100">
        <v>0.68</v>
      </c>
      <c r="CL135" s="100">
        <v>0.69</v>
      </c>
      <c r="CM135" s="100">
        <v>0.69</v>
      </c>
      <c r="CN135" s="100">
        <v>0.7</v>
      </c>
      <c r="CO135" s="100">
        <v>0.7</v>
      </c>
      <c r="CP135" s="100">
        <v>0.7</v>
      </c>
      <c r="CQ135" s="100">
        <v>0.7</v>
      </c>
      <c r="CR135" s="100">
        <f t="shared" ref="CR135:DQ135" si="258">CQ135</f>
        <v>0.7</v>
      </c>
      <c r="CS135" s="100">
        <f t="shared" si="258"/>
        <v>0.7</v>
      </c>
      <c r="CT135" s="100">
        <f t="shared" si="258"/>
        <v>0.7</v>
      </c>
      <c r="CU135" s="100">
        <f t="shared" si="258"/>
        <v>0.7</v>
      </c>
      <c r="CV135" s="100">
        <f t="shared" si="258"/>
        <v>0.7</v>
      </c>
      <c r="CW135" s="100">
        <v>0.7</v>
      </c>
      <c r="CX135" s="100">
        <v>0.7</v>
      </c>
      <c r="CY135" s="100">
        <f t="shared" si="258"/>
        <v>0.7</v>
      </c>
      <c r="CZ135" s="100">
        <f t="shared" si="258"/>
        <v>0.7</v>
      </c>
      <c r="DA135" s="100">
        <f t="shared" si="258"/>
        <v>0.7</v>
      </c>
      <c r="DB135" s="100">
        <f t="shared" si="258"/>
        <v>0.7</v>
      </c>
      <c r="DC135" s="100">
        <f t="shared" si="258"/>
        <v>0.7</v>
      </c>
      <c r="DD135" s="100">
        <f t="shared" si="258"/>
        <v>0.7</v>
      </c>
      <c r="DE135" s="100">
        <f t="shared" si="258"/>
        <v>0.7</v>
      </c>
      <c r="DF135" s="100">
        <f t="shared" si="258"/>
        <v>0.7</v>
      </c>
      <c r="DG135" s="100">
        <f t="shared" si="258"/>
        <v>0.7</v>
      </c>
      <c r="DH135" s="100">
        <f t="shared" si="258"/>
        <v>0.7</v>
      </c>
      <c r="DI135" s="100">
        <f t="shared" si="258"/>
        <v>0.7</v>
      </c>
      <c r="DJ135" s="100">
        <f t="shared" si="258"/>
        <v>0.7</v>
      </c>
      <c r="DK135" s="100">
        <f t="shared" si="258"/>
        <v>0.7</v>
      </c>
      <c r="DL135" s="100">
        <f t="shared" si="258"/>
        <v>0.7</v>
      </c>
      <c r="DM135" s="100">
        <f t="shared" si="258"/>
        <v>0.7</v>
      </c>
      <c r="DN135" s="100">
        <f t="shared" si="258"/>
        <v>0.7</v>
      </c>
      <c r="DO135" s="100">
        <f t="shared" si="258"/>
        <v>0.7</v>
      </c>
      <c r="DP135" s="100">
        <f t="shared" si="258"/>
        <v>0.7</v>
      </c>
      <c r="DQ135" s="100">
        <f t="shared" si="258"/>
        <v>0.7</v>
      </c>
      <c r="EC135" s="79"/>
      <c r="ED135" s="79"/>
      <c r="EE135" s="79"/>
      <c r="EG135" s="52">
        <f t="shared" ref="EG135:EW135" si="259">EG132/EG79</f>
        <v>0.7084894612057403</v>
      </c>
      <c r="EH135" s="52">
        <f t="shared" si="259"/>
        <v>0.65006820833608192</v>
      </c>
      <c r="EI135" s="52">
        <f t="shared" si="259"/>
        <v>0.64426367953747676</v>
      </c>
      <c r="EJ135" s="52">
        <f t="shared" si="259"/>
        <v>0.65800643086816724</v>
      </c>
      <c r="EK135" s="52">
        <f t="shared" si="259"/>
        <v>0.67740707964601776</v>
      </c>
      <c r="EL135" s="52">
        <f t="shared" si="259"/>
        <v>0.69160478547854798</v>
      </c>
      <c r="EM135" s="52">
        <f t="shared" si="259"/>
        <v>0.69500000000000006</v>
      </c>
      <c r="EN135" s="52">
        <f t="shared" si="259"/>
        <v>0.69652297489341553</v>
      </c>
      <c r="EO135" s="52">
        <f t="shared" si="259"/>
        <v>0.6705051813471502</v>
      </c>
      <c r="EP135" s="52">
        <f t="shared" si="259"/>
        <v>0.69566001287830004</v>
      </c>
      <c r="EQ135" s="52">
        <f t="shared" si="259"/>
        <v>0.7</v>
      </c>
      <c r="ER135" s="52">
        <f t="shared" si="259"/>
        <v>0.7</v>
      </c>
      <c r="ES135" s="65">
        <f t="shared" si="259"/>
        <v>0.7</v>
      </c>
      <c r="ET135" s="65">
        <f t="shared" si="259"/>
        <v>0.69999999999999984</v>
      </c>
      <c r="EU135" s="65">
        <f t="shared" si="259"/>
        <v>0.7</v>
      </c>
      <c r="EV135" s="65">
        <f t="shared" si="259"/>
        <v>0.70000000000000007</v>
      </c>
      <c r="EW135" s="65">
        <f t="shared" si="259"/>
        <v>0.7</v>
      </c>
    </row>
    <row r="136" spans="1:155" s="49" customFormat="1" ht="11.25" customHeight="1">
      <c r="A136" s="76" t="s">
        <v>262</v>
      </c>
      <c r="B136" s="76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  <c r="AA136" s="76"/>
      <c r="AB136" s="76"/>
      <c r="AC136" s="76"/>
      <c r="AD136" s="76"/>
      <c r="AE136" s="76"/>
      <c r="AF136" s="76"/>
      <c r="AG136" s="76"/>
      <c r="AH136" s="76"/>
      <c r="AI136" s="76"/>
      <c r="AJ136" s="76"/>
      <c r="AK136" s="76"/>
      <c r="AL136" s="76"/>
      <c r="AM136" s="76"/>
      <c r="AN136" s="76"/>
      <c r="AO136" s="76"/>
      <c r="AP136" s="76"/>
      <c r="AQ136" s="76"/>
      <c r="AR136" s="76"/>
      <c r="AS136" s="76"/>
      <c r="AT136" s="76"/>
      <c r="AU136" s="76"/>
      <c r="AV136" s="76"/>
      <c r="AW136" s="76"/>
      <c r="AX136" s="76"/>
      <c r="AY136" s="76"/>
      <c r="AZ136" s="76"/>
      <c r="BA136" s="76"/>
      <c r="BB136" s="76">
        <f t="shared" ref="BB136:CG136" si="260">BB87*BB139</f>
        <v>45.907401501831281</v>
      </c>
      <c r="BC136" s="76">
        <f t="shared" si="260"/>
        <v>68.479664697177441</v>
      </c>
      <c r="BD136" s="76">
        <f t="shared" si="260"/>
        <v>73.060601020742922</v>
      </c>
      <c r="BE136" s="76">
        <f t="shared" si="260"/>
        <v>68.924529913299651</v>
      </c>
      <c r="BF136" s="76">
        <f t="shared" si="260"/>
        <v>69.895395308427453</v>
      </c>
      <c r="BG136" s="76">
        <f t="shared" si="260"/>
        <v>55.471769297484833</v>
      </c>
      <c r="BH136" s="76">
        <f t="shared" si="260"/>
        <v>62.263448275862075</v>
      </c>
      <c r="BI136" s="76">
        <f t="shared" si="260"/>
        <v>74.401284796573876</v>
      </c>
      <c r="BJ136" s="76">
        <f t="shared" si="260"/>
        <v>112.57551724137932</v>
      </c>
      <c r="BK136" s="76">
        <f t="shared" si="260"/>
        <v>119.29</v>
      </c>
      <c r="BL136" s="76">
        <f t="shared" si="260"/>
        <v>189.60000000000002</v>
      </c>
      <c r="BM136" s="76">
        <f t="shared" si="260"/>
        <v>233.84</v>
      </c>
      <c r="BN136" s="76">
        <f t="shared" si="260"/>
        <v>323.11</v>
      </c>
      <c r="BO136" s="76">
        <f t="shared" si="260"/>
        <v>328.64</v>
      </c>
      <c r="BP136" s="76">
        <f t="shared" si="260"/>
        <v>410.82</v>
      </c>
      <c r="BQ136" s="76">
        <f t="shared" si="260"/>
        <v>502.97999999999996</v>
      </c>
      <c r="BR136" s="76">
        <f t="shared" si="260"/>
        <v>588.84</v>
      </c>
      <c r="BS136" s="76">
        <f t="shared" si="260"/>
        <v>630.79999999999995</v>
      </c>
      <c r="BT136" s="76">
        <f t="shared" si="260"/>
        <v>645.4799999999999</v>
      </c>
      <c r="BU136" s="76">
        <f t="shared" si="260"/>
        <v>546.59500000000003</v>
      </c>
      <c r="BV136" s="76">
        <f t="shared" si="260"/>
        <v>510.37</v>
      </c>
      <c r="BW136" s="76">
        <f t="shared" si="260"/>
        <v>527.27499999999998</v>
      </c>
      <c r="BX136" s="76">
        <f t="shared" si="260"/>
        <v>588.06000000000006</v>
      </c>
      <c r="BY136" s="76">
        <f t="shared" si="260"/>
        <v>774.40000000000009</v>
      </c>
      <c r="BZ136" s="76">
        <f t="shared" si="260"/>
        <v>901.39</v>
      </c>
      <c r="CA136" s="76">
        <f t="shared" si="260"/>
        <v>969.6</v>
      </c>
      <c r="CB136" s="76">
        <f t="shared" si="260"/>
        <v>1028</v>
      </c>
      <c r="CC136" s="76">
        <f t="shared" si="260"/>
        <v>1124.3863680000002</v>
      </c>
      <c r="CD136" s="76">
        <f t="shared" si="260"/>
        <v>1209.6540000000002</v>
      </c>
      <c r="CE136" s="76">
        <f t="shared" si="260"/>
        <v>1374.4</v>
      </c>
      <c r="CF136" s="76">
        <f t="shared" si="260"/>
        <v>1830.4</v>
      </c>
      <c r="CG136" s="76">
        <f t="shared" si="260"/>
        <v>2040.1599999999999</v>
      </c>
      <c r="CH136" s="76">
        <f t="shared" ref="CH136:DQ136" si="261">CH87*CH139</f>
        <v>2392.24332</v>
      </c>
      <c r="CI136" s="76">
        <f t="shared" si="261"/>
        <v>1664.8637368</v>
      </c>
      <c r="CJ136" s="76">
        <f t="shared" si="261"/>
        <v>1699.1768999999999</v>
      </c>
      <c r="CK136" s="76">
        <f t="shared" si="261"/>
        <v>1974.9803727499998</v>
      </c>
      <c r="CL136" s="76">
        <f t="shared" si="261"/>
        <v>2584.89</v>
      </c>
      <c r="CM136" s="76">
        <f t="shared" si="261"/>
        <v>6631.24</v>
      </c>
      <c r="CN136" s="76">
        <f t="shared" si="261"/>
        <v>9648.4415625000001</v>
      </c>
      <c r="CO136" s="76">
        <f t="shared" si="261"/>
        <v>12284.494999999999</v>
      </c>
      <c r="CP136" s="76">
        <f t="shared" si="261"/>
        <v>16075.967999999999</v>
      </c>
      <c r="CQ136" s="76">
        <f t="shared" si="261"/>
        <v>17771.264800000001</v>
      </c>
      <c r="CR136" s="76">
        <f t="shared" si="261"/>
        <v>21424.100000000002</v>
      </c>
      <c r="CS136" s="76">
        <f t="shared" si="261"/>
        <v>24465.833999999999</v>
      </c>
      <c r="CT136" s="76">
        <f t="shared" si="261"/>
        <v>20288.07</v>
      </c>
      <c r="CU136" s="76">
        <f t="shared" si="261"/>
        <v>25044.560000000001</v>
      </c>
      <c r="CV136" s="76">
        <f t="shared" si="261"/>
        <v>32271</v>
      </c>
      <c r="CW136" s="76">
        <f t="shared" si="261"/>
        <v>39424.512000000002</v>
      </c>
      <c r="CX136" s="76">
        <f t="shared" si="261"/>
        <v>46120.298000000003</v>
      </c>
      <c r="CY136" s="78">
        <f t="shared" si="261"/>
        <v>52829.803999999996</v>
      </c>
      <c r="CZ136" s="78">
        <f t="shared" si="261"/>
        <v>63395.764799999997</v>
      </c>
      <c r="DA136" s="78">
        <f t="shared" si="261"/>
        <v>72271.171872000006</v>
      </c>
      <c r="DB136" s="78">
        <f t="shared" si="261"/>
        <v>79498.289059200019</v>
      </c>
      <c r="DC136" s="78">
        <f t="shared" si="261"/>
        <v>87448.117965120022</v>
      </c>
      <c r="DD136" s="78">
        <f t="shared" si="261"/>
        <v>97941.892120934441</v>
      </c>
      <c r="DE136" s="78">
        <f t="shared" si="261"/>
        <v>104797.82456939986</v>
      </c>
      <c r="DF136" s="78">
        <f t="shared" si="261"/>
        <v>107941.75930648186</v>
      </c>
      <c r="DG136" s="78">
        <f t="shared" si="261"/>
        <v>111180.01208567634</v>
      </c>
      <c r="DH136" s="78">
        <f t="shared" si="261"/>
        <v>118962.61293167369</v>
      </c>
      <c r="DI136" s="78">
        <f t="shared" si="261"/>
        <v>124910.74357825739</v>
      </c>
      <c r="DJ136" s="78">
        <f t="shared" si="261"/>
        <v>126159.85101403997</v>
      </c>
      <c r="DK136" s="78">
        <f t="shared" si="261"/>
        <v>127421.44952418037</v>
      </c>
      <c r="DL136" s="78">
        <f t="shared" si="261"/>
        <v>131244.09300990577</v>
      </c>
      <c r="DM136" s="78">
        <f t="shared" si="261"/>
        <v>133868.97487010388</v>
      </c>
      <c r="DN136" s="78">
        <f t="shared" si="261"/>
        <v>136546.35436750593</v>
      </c>
      <c r="DO136" s="78">
        <f t="shared" si="261"/>
        <v>140642.74499853113</v>
      </c>
      <c r="DP136" s="78">
        <f t="shared" si="261"/>
        <v>149081.30969844302</v>
      </c>
      <c r="DQ136" s="78">
        <f t="shared" si="261"/>
        <v>155044.56208638073</v>
      </c>
      <c r="DT136" s="77"/>
      <c r="DU136" s="77"/>
      <c r="DV136" s="77"/>
      <c r="DW136" s="77"/>
      <c r="DX136" s="77"/>
      <c r="DY136" s="77"/>
      <c r="DZ136" s="77"/>
      <c r="EA136" s="77"/>
      <c r="EB136" s="77"/>
      <c r="EC136" s="76"/>
      <c r="ED136" s="76"/>
      <c r="EE136" s="76"/>
      <c r="EF136" s="76"/>
      <c r="EG136" s="76">
        <f>SUM(BB136:BE136)</f>
        <v>256.37219713305132</v>
      </c>
      <c r="EH136" s="76">
        <f>SUM(BF136:BI136)</f>
        <v>262.03189767834823</v>
      </c>
      <c r="EI136" s="76">
        <f>SUM(BJ136:BM136)</f>
        <v>655.30551724137933</v>
      </c>
      <c r="EJ136" s="76">
        <f>SUM(BN136:BQ136)</f>
        <v>1565.55</v>
      </c>
      <c r="EK136" s="76">
        <f>SUM(BR136:BU136)</f>
        <v>2411.7150000000001</v>
      </c>
      <c r="EL136" s="76">
        <f>BV136+BW136+BX136+BY136</f>
        <v>2400.105</v>
      </c>
      <c r="EM136" s="76">
        <f>SUM(BZ136:CC136)</f>
        <v>4023.3763680000002</v>
      </c>
      <c r="EN136" s="76">
        <f>+CD136+CE136+CF136+CG136</f>
        <v>6454.6139999999996</v>
      </c>
      <c r="EO136" s="76">
        <f>SUM(CH136:CK136)</f>
        <v>7731.2643295500002</v>
      </c>
      <c r="EP136" s="76">
        <f>SUM(CL136:CO136)</f>
        <v>31149.0665625</v>
      </c>
      <c r="EQ136" s="76">
        <f>SUM(CP136:CS136)</f>
        <v>79737.166800000006</v>
      </c>
      <c r="ER136" s="76">
        <f>SUM(CT136:CW136)</f>
        <v>117028.14200000001</v>
      </c>
      <c r="ES136" s="78">
        <f>SUM(CX136:DA136)</f>
        <v>234617.038672</v>
      </c>
      <c r="ET136" s="78">
        <f>SUM(DB136:DE136)</f>
        <v>369686.12371465436</v>
      </c>
      <c r="EU136" s="78">
        <f>SUM(DF136:DI136)</f>
        <v>462995.12790208927</v>
      </c>
      <c r="EV136" s="78">
        <f>SUM(DJ136:DM136)</f>
        <v>518694.36841822998</v>
      </c>
      <c r="EW136" s="78">
        <f>SUM(DN136:DQ136)</f>
        <v>581314.97115086089</v>
      </c>
      <c r="EX136" s="50"/>
    </row>
    <row r="137" spans="1:155" s="49" customFormat="1" ht="11.25" customHeight="1">
      <c r="A137" s="69" t="s">
        <v>223</v>
      </c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52">
        <f t="shared" ref="BC137:DN137" si="262">BC136/BB136-1</f>
        <v>0.49169115342861947</v>
      </c>
      <c r="BD137" s="52">
        <f t="shared" si="262"/>
        <v>6.6894841612072042E-2</v>
      </c>
      <c r="BE137" s="52">
        <f t="shared" si="262"/>
        <v>-5.6611512219410631E-2</v>
      </c>
      <c r="BF137" s="52">
        <f t="shared" si="262"/>
        <v>1.4085919720439932E-2</v>
      </c>
      <c r="BG137" s="52">
        <f t="shared" si="262"/>
        <v>-0.20636017504866344</v>
      </c>
      <c r="BH137" s="52">
        <f t="shared" si="262"/>
        <v>0.1224348720870021</v>
      </c>
      <c r="BI137" s="52">
        <f t="shared" si="262"/>
        <v>0.19494321077326715</v>
      </c>
      <c r="BJ137" s="52">
        <f t="shared" si="262"/>
        <v>0.51308566174872472</v>
      </c>
      <c r="BK137" s="52">
        <f t="shared" si="262"/>
        <v>5.9644254125200247E-2</v>
      </c>
      <c r="BL137" s="52">
        <f t="shared" si="262"/>
        <v>0.5894039735099339</v>
      </c>
      <c r="BM137" s="52">
        <f t="shared" si="262"/>
        <v>0.23333333333333317</v>
      </c>
      <c r="BN137" s="52">
        <f t="shared" si="262"/>
        <v>0.3817567567567568</v>
      </c>
      <c r="BO137" s="52">
        <f t="shared" si="262"/>
        <v>1.7114914425427896E-2</v>
      </c>
      <c r="BP137" s="52">
        <f t="shared" si="262"/>
        <v>0.25006085686465429</v>
      </c>
      <c r="BQ137" s="52">
        <f t="shared" si="262"/>
        <v>0.22433182415656483</v>
      </c>
      <c r="BR137" s="52">
        <f t="shared" si="262"/>
        <v>0.1707026124299178</v>
      </c>
      <c r="BS137" s="52">
        <f t="shared" si="262"/>
        <v>7.1258746009102536E-2</v>
      </c>
      <c r="BT137" s="52">
        <f t="shared" si="262"/>
        <v>2.3272035510462752E-2</v>
      </c>
      <c r="BU137" s="52">
        <f t="shared" si="262"/>
        <v>-0.1531960711408562</v>
      </c>
      <c r="BV137" s="52">
        <f t="shared" si="262"/>
        <v>-6.6273932253313683E-2</v>
      </c>
      <c r="BW137" s="52">
        <f t="shared" si="262"/>
        <v>3.3123028391167209E-2</v>
      </c>
      <c r="BX137" s="52">
        <f t="shared" si="262"/>
        <v>0.11528139964913953</v>
      </c>
      <c r="BY137" s="52">
        <f t="shared" si="262"/>
        <v>0.3168724279835391</v>
      </c>
      <c r="BZ137" s="52">
        <f t="shared" si="262"/>
        <v>0.16398502066115683</v>
      </c>
      <c r="CA137" s="52">
        <f t="shared" si="262"/>
        <v>7.5672017661611468E-2</v>
      </c>
      <c r="CB137" s="52">
        <f t="shared" si="262"/>
        <v>6.0231023102310211E-2</v>
      </c>
      <c r="CC137" s="52">
        <f t="shared" si="262"/>
        <v>9.3761058365758876E-2</v>
      </c>
      <c r="CD137" s="52">
        <f t="shared" si="262"/>
        <v>7.583481481696519E-2</v>
      </c>
      <c r="CE137" s="52">
        <f t="shared" si="262"/>
        <v>0.13619266335662905</v>
      </c>
      <c r="CF137" s="52">
        <f t="shared" si="262"/>
        <v>0.33178114086146682</v>
      </c>
      <c r="CG137" s="52">
        <f t="shared" si="262"/>
        <v>0.11459790209790199</v>
      </c>
      <c r="CH137" s="52">
        <f t="shared" si="262"/>
        <v>0.17257632734687478</v>
      </c>
      <c r="CI137" s="52">
        <f t="shared" si="262"/>
        <v>-0.30405752505142325</v>
      </c>
      <c r="CJ137" s="52">
        <f t="shared" si="262"/>
        <v>2.0610193159683154E-2</v>
      </c>
      <c r="CK137" s="52">
        <f t="shared" si="262"/>
        <v>0.16231592646416027</v>
      </c>
      <c r="CL137" s="52">
        <f t="shared" si="262"/>
        <v>0.30881807012631235</v>
      </c>
      <c r="CM137" s="52">
        <f t="shared" si="262"/>
        <v>1.5653857610962167</v>
      </c>
      <c r="CN137" s="52">
        <f t="shared" si="262"/>
        <v>0.45499809424783311</v>
      </c>
      <c r="CO137" s="52">
        <f t="shared" si="262"/>
        <v>0.27321028172522532</v>
      </c>
      <c r="CP137" s="52">
        <f t="shared" si="262"/>
        <v>0.30863889805808054</v>
      </c>
      <c r="CQ137" s="52">
        <f t="shared" si="262"/>
        <v>0.10545534800765965</v>
      </c>
      <c r="CR137" s="52">
        <f t="shared" si="262"/>
        <v>0.2055472832749643</v>
      </c>
      <c r="CS137" s="52">
        <f t="shared" si="262"/>
        <v>0.14197721257835783</v>
      </c>
      <c r="CT137" s="52">
        <f t="shared" si="262"/>
        <v>-0.17075910839581432</v>
      </c>
      <c r="CU137" s="52">
        <f t="shared" si="262"/>
        <v>0.23444763351072839</v>
      </c>
      <c r="CV137" s="52">
        <f t="shared" si="262"/>
        <v>0.28854330042132892</v>
      </c>
      <c r="CW137" s="52">
        <f t="shared" si="262"/>
        <v>0.2216699823370829</v>
      </c>
      <c r="CX137" s="52">
        <f t="shared" si="262"/>
        <v>0.16983814536499531</v>
      </c>
      <c r="CY137" s="53">
        <f t="shared" si="262"/>
        <v>0.14547837483617276</v>
      </c>
      <c r="CZ137" s="53">
        <f t="shared" si="262"/>
        <v>0.19999999999999996</v>
      </c>
      <c r="DA137" s="53">
        <f t="shared" si="262"/>
        <v>0.14000000000000012</v>
      </c>
      <c r="DB137" s="53">
        <f t="shared" si="262"/>
        <v>0.10000000000000009</v>
      </c>
      <c r="DC137" s="53">
        <f t="shared" si="262"/>
        <v>0.10000000000000009</v>
      </c>
      <c r="DD137" s="53">
        <f t="shared" si="262"/>
        <v>0.12000000000000011</v>
      </c>
      <c r="DE137" s="53">
        <f t="shared" si="262"/>
        <v>7.0000000000000062E-2</v>
      </c>
      <c r="DF137" s="53">
        <f t="shared" si="262"/>
        <v>3.0000000000000027E-2</v>
      </c>
      <c r="DG137" s="53">
        <f t="shared" si="262"/>
        <v>3.0000000000000249E-2</v>
      </c>
      <c r="DH137" s="53">
        <f t="shared" si="262"/>
        <v>7.0000000000000062E-2</v>
      </c>
      <c r="DI137" s="53">
        <f t="shared" si="262"/>
        <v>5.0000000000000044E-2</v>
      </c>
      <c r="DJ137" s="53">
        <f t="shared" si="262"/>
        <v>1.0000000000000009E-2</v>
      </c>
      <c r="DK137" s="53">
        <f t="shared" si="262"/>
        <v>1.0000000000000009E-2</v>
      </c>
      <c r="DL137" s="53">
        <f t="shared" si="262"/>
        <v>3.0000000000000027E-2</v>
      </c>
      <c r="DM137" s="53">
        <f t="shared" si="262"/>
        <v>2.0000000000000018E-2</v>
      </c>
      <c r="DN137" s="53">
        <f t="shared" si="262"/>
        <v>1.9999999999999796E-2</v>
      </c>
      <c r="DO137" s="53">
        <f t="shared" ref="DO137:DQ137" si="263">DO136/DN136-1</f>
        <v>3.0000000000000027E-2</v>
      </c>
      <c r="DP137" s="53">
        <f t="shared" si="263"/>
        <v>6.0000000000000275E-2</v>
      </c>
      <c r="DQ137" s="53">
        <f t="shared" si="263"/>
        <v>4.0000000000000036E-2</v>
      </c>
      <c r="DT137" s="54" t="s">
        <v>224</v>
      </c>
      <c r="DU137" s="54" t="s">
        <v>224</v>
      </c>
      <c r="DV137" s="54" t="s">
        <v>224</v>
      </c>
      <c r="DW137" s="54" t="s">
        <v>224</v>
      </c>
      <c r="DX137" s="54" t="s">
        <v>224</v>
      </c>
      <c r="DY137" s="54" t="s">
        <v>224</v>
      </c>
      <c r="DZ137" s="54" t="s">
        <v>224</v>
      </c>
      <c r="EA137" s="54" t="s">
        <v>224</v>
      </c>
      <c r="EB137" s="54" t="s">
        <v>224</v>
      </c>
      <c r="EC137" s="54" t="s">
        <v>224</v>
      </c>
      <c r="ED137" s="54" t="s">
        <v>224</v>
      </c>
      <c r="EE137" s="54" t="s">
        <v>224</v>
      </c>
      <c r="EF137" s="54" t="s">
        <v>224</v>
      </c>
      <c r="EG137" s="54" t="s">
        <v>224</v>
      </c>
      <c r="EH137" s="54" t="s">
        <v>224</v>
      </c>
      <c r="EI137" s="54" t="s">
        <v>224</v>
      </c>
      <c r="EJ137" s="54" t="s">
        <v>224</v>
      </c>
      <c r="EK137" s="54" t="s">
        <v>224</v>
      </c>
      <c r="EL137" s="54" t="s">
        <v>224</v>
      </c>
      <c r="EM137" s="54" t="s">
        <v>224</v>
      </c>
      <c r="EN137" s="54" t="s">
        <v>224</v>
      </c>
      <c r="EO137" s="54" t="s">
        <v>224</v>
      </c>
      <c r="EP137" s="54" t="s">
        <v>224</v>
      </c>
      <c r="EQ137" s="54" t="s">
        <v>224</v>
      </c>
      <c r="ER137" s="54" t="s">
        <v>224</v>
      </c>
      <c r="ES137" s="55" t="s">
        <v>224</v>
      </c>
      <c r="ET137" s="55" t="s">
        <v>224</v>
      </c>
      <c r="EU137" s="55" t="s">
        <v>224</v>
      </c>
      <c r="EV137" s="55" t="s">
        <v>224</v>
      </c>
      <c r="EW137" s="55" t="s">
        <v>224</v>
      </c>
      <c r="EX137" s="50"/>
    </row>
    <row r="138" spans="1:155" s="49" customFormat="1" ht="12.75" customHeight="1">
      <c r="A138" s="69" t="s">
        <v>225</v>
      </c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91">
        <f t="shared" ref="BF138:DQ138" si="264">BF136/BB136-1</f>
        <v>0.52252998474852186</v>
      </c>
      <c r="BG138" s="91">
        <f t="shared" si="264"/>
        <v>-0.1899526736471997</v>
      </c>
      <c r="BH138" s="91">
        <f t="shared" si="264"/>
        <v>-0.14778351935286416</v>
      </c>
      <c r="BI138" s="91">
        <f t="shared" si="264"/>
        <v>7.9460170278468967E-2</v>
      </c>
      <c r="BJ138" s="91">
        <f t="shared" si="264"/>
        <v>0.61062852201661166</v>
      </c>
      <c r="BK138" s="91">
        <f t="shared" si="264"/>
        <v>1.1504632268040669</v>
      </c>
      <c r="BL138" s="91">
        <f t="shared" si="264"/>
        <v>2.0451252741410251</v>
      </c>
      <c r="BM138" s="91">
        <f t="shared" si="264"/>
        <v>2.1429564776920111</v>
      </c>
      <c r="BN138" s="91">
        <f t="shared" si="264"/>
        <v>1.8701622512397806</v>
      </c>
      <c r="BO138" s="91">
        <f t="shared" si="264"/>
        <v>1.7549668874172184</v>
      </c>
      <c r="BP138" s="91">
        <f t="shared" si="264"/>
        <v>1.166772151898734</v>
      </c>
      <c r="BQ138" s="91">
        <f t="shared" si="264"/>
        <v>1.1509579199452613</v>
      </c>
      <c r="BR138" s="91">
        <f t="shared" si="264"/>
        <v>0.8224134195784718</v>
      </c>
      <c r="BS138" s="91">
        <f t="shared" si="264"/>
        <v>0.91942551119766303</v>
      </c>
      <c r="BT138" s="91">
        <f t="shared" si="264"/>
        <v>0.57119906528406572</v>
      </c>
      <c r="BU138" s="91">
        <f t="shared" si="264"/>
        <v>8.6713189391228518E-2</v>
      </c>
      <c r="BV138" s="91">
        <f t="shared" si="264"/>
        <v>-0.13326200665715648</v>
      </c>
      <c r="BW138" s="91">
        <f t="shared" si="264"/>
        <v>-0.16411699429296134</v>
      </c>
      <c r="BX138" s="91">
        <f t="shared" si="264"/>
        <v>-8.8957055214723746E-2</v>
      </c>
      <c r="BY138" s="91">
        <f t="shared" si="264"/>
        <v>0.41677110108947213</v>
      </c>
      <c r="BZ138" s="91">
        <f t="shared" si="264"/>
        <v>0.76615004800438902</v>
      </c>
      <c r="CA138" s="91">
        <f t="shared" si="264"/>
        <v>0.83888862548006271</v>
      </c>
      <c r="CB138" s="91">
        <f t="shared" si="264"/>
        <v>0.74812094004013185</v>
      </c>
      <c r="CC138" s="91">
        <f t="shared" si="264"/>
        <v>0.45194520661157034</v>
      </c>
      <c r="CD138" s="91">
        <f t="shared" si="264"/>
        <v>0.34198737505408339</v>
      </c>
      <c r="CE138" s="91">
        <f t="shared" si="264"/>
        <v>0.41749174917491749</v>
      </c>
      <c r="CF138" s="91">
        <f t="shared" si="264"/>
        <v>0.78054474708171218</v>
      </c>
      <c r="CG138" s="91">
        <f t="shared" si="264"/>
        <v>0.81446525683954185</v>
      </c>
      <c r="CH138" s="91">
        <f t="shared" si="264"/>
        <v>0.97762609804125766</v>
      </c>
      <c r="CI138" s="91">
        <f t="shared" si="264"/>
        <v>0.21133857450523852</v>
      </c>
      <c r="CJ138" s="91">
        <f t="shared" si="264"/>
        <v>-7.169094187062941E-2</v>
      </c>
      <c r="CK138" s="91">
        <f t="shared" si="264"/>
        <v>-3.1948291923182492E-2</v>
      </c>
      <c r="CL138" s="91">
        <f t="shared" si="264"/>
        <v>8.0529718022161578E-2</v>
      </c>
      <c r="CM138" s="91">
        <f t="shared" si="264"/>
        <v>2.9830526988027071</v>
      </c>
      <c r="CN138" s="91">
        <f t="shared" si="264"/>
        <v>4.6783031610775785</v>
      </c>
      <c r="CO138" s="91">
        <f t="shared" si="264"/>
        <v>5.2200592823587595</v>
      </c>
      <c r="CP138" s="91">
        <f t="shared" si="264"/>
        <v>5.2192077806018826</v>
      </c>
      <c r="CQ138" s="91">
        <f t="shared" si="264"/>
        <v>1.6799308726573012</v>
      </c>
      <c r="CR138" s="91">
        <f t="shared" si="264"/>
        <v>1.2204725873313804</v>
      </c>
      <c r="CS138" s="91">
        <f t="shared" si="264"/>
        <v>0.99160274801691073</v>
      </c>
      <c r="CT138" s="91">
        <f t="shared" si="264"/>
        <v>0.26201234040774413</v>
      </c>
      <c r="CU138" s="91">
        <f t="shared" si="264"/>
        <v>0.40927279413449513</v>
      </c>
      <c r="CV138" s="91">
        <f t="shared" si="264"/>
        <v>0.50629431341339881</v>
      </c>
      <c r="CW138" s="91">
        <f t="shared" si="264"/>
        <v>0.61141091695463978</v>
      </c>
      <c r="CX138" s="91">
        <f t="shared" si="264"/>
        <v>1.2732718292080025</v>
      </c>
      <c r="CY138" s="100">
        <f t="shared" si="264"/>
        <v>1.1094323078544801</v>
      </c>
      <c r="CZ138" s="100">
        <f t="shared" si="264"/>
        <v>0.96448095193827266</v>
      </c>
      <c r="DA138" s="100">
        <f t="shared" si="264"/>
        <v>0.83315323908131078</v>
      </c>
      <c r="DB138" s="100">
        <f t="shared" si="264"/>
        <v>0.72371585845347353</v>
      </c>
      <c r="DC138" s="100">
        <f t="shared" si="264"/>
        <v>0.65528000000000053</v>
      </c>
      <c r="DD138" s="100">
        <f t="shared" si="264"/>
        <v>0.54492800000000075</v>
      </c>
      <c r="DE138" s="100">
        <f t="shared" si="264"/>
        <v>0.45006400000000069</v>
      </c>
      <c r="DF138" s="100">
        <f t="shared" si="264"/>
        <v>0.35778720000000042</v>
      </c>
      <c r="DG138" s="100">
        <f t="shared" si="264"/>
        <v>0.27138256000000061</v>
      </c>
      <c r="DH138" s="100">
        <f t="shared" si="264"/>
        <v>0.21462441000000054</v>
      </c>
      <c r="DI138" s="100">
        <f t="shared" si="264"/>
        <v>0.19192115000000043</v>
      </c>
      <c r="DJ138" s="100">
        <f t="shared" si="264"/>
        <v>0.16877705000000054</v>
      </c>
      <c r="DK138" s="100">
        <f t="shared" si="264"/>
        <v>0.14608235000000014</v>
      </c>
      <c r="DL138" s="100">
        <f t="shared" si="264"/>
        <v>0.10323815000000014</v>
      </c>
      <c r="DM138" s="100">
        <f t="shared" si="264"/>
        <v>7.1717059999999888E-2</v>
      </c>
      <c r="DN138" s="100">
        <f t="shared" si="264"/>
        <v>8.2328119999999672E-2</v>
      </c>
      <c r="DO138" s="100">
        <f t="shared" si="264"/>
        <v>0.10376035999999988</v>
      </c>
      <c r="DP138" s="100">
        <f t="shared" si="264"/>
        <v>0.13590871999999998</v>
      </c>
      <c r="DQ138" s="100">
        <f t="shared" si="264"/>
        <v>0.15818144000000012</v>
      </c>
      <c r="EC138" s="35"/>
      <c r="ED138" s="35"/>
      <c r="EE138" s="35"/>
      <c r="EF138" s="35"/>
      <c r="EG138" s="35"/>
      <c r="EH138" s="52">
        <f t="shared" ref="EH138:ET138" si="265">EH136/EG136-1</f>
        <v>2.2076108909577563E-2</v>
      </c>
      <c r="EI138" s="52">
        <f t="shared" si="265"/>
        <v>1.5008616242812769</v>
      </c>
      <c r="EJ138" s="52">
        <f t="shared" si="265"/>
        <v>1.3890383322125084</v>
      </c>
      <c r="EK138" s="52">
        <f t="shared" si="265"/>
        <v>0.5404905624221521</v>
      </c>
      <c r="EL138" s="52">
        <f t="shared" si="265"/>
        <v>-4.8140016544243602E-3</v>
      </c>
      <c r="EM138" s="52">
        <f t="shared" si="265"/>
        <v>0.67633348041023211</v>
      </c>
      <c r="EN138" s="52">
        <f t="shared" si="265"/>
        <v>0.60427795205462109</v>
      </c>
      <c r="EO138" s="52">
        <f t="shared" si="265"/>
        <v>0.19778879566617014</v>
      </c>
      <c r="EP138" s="52">
        <f t="shared" si="265"/>
        <v>3.0289744645573435</v>
      </c>
      <c r="EQ138" s="52">
        <f t="shared" si="265"/>
        <v>1.559857344039794</v>
      </c>
      <c r="ER138" s="52">
        <f t="shared" si="265"/>
        <v>0.46767369216333887</v>
      </c>
      <c r="ES138" s="53">
        <f t="shared" si="265"/>
        <v>1.0047916224458215</v>
      </c>
      <c r="ET138" s="53">
        <f t="shared" si="265"/>
        <v>0.57570023817189186</v>
      </c>
      <c r="EU138" s="53">
        <f>EU136/ET136-1</f>
        <v>0.25240061284922977</v>
      </c>
      <c r="EV138" s="53">
        <f>EV136/EU136-1</f>
        <v>0.12030200138071345</v>
      </c>
      <c r="EW138" s="53">
        <f>EW136/EV136-1</f>
        <v>0.1207273619021425</v>
      </c>
      <c r="EX138" s="50"/>
      <c r="EY138" s="660"/>
    </row>
    <row r="139" spans="1:155" s="52" customFormat="1" ht="12.75" customHeight="1">
      <c r="A139" s="107" t="s">
        <v>277</v>
      </c>
      <c r="B139" s="108"/>
      <c r="C139" s="108"/>
      <c r="D139" s="108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108"/>
      <c r="AV139" s="108"/>
      <c r="AW139" s="108"/>
      <c r="AX139" s="108"/>
      <c r="AY139" s="108"/>
      <c r="AZ139" s="108"/>
      <c r="BA139" s="108"/>
      <c r="BB139" s="100">
        <f>BB131*1.47</f>
        <v>0.80539300880405751</v>
      </c>
      <c r="BC139" s="100">
        <f>BC131*1.47</f>
        <v>0.82505620117081246</v>
      </c>
      <c r="BD139" s="100">
        <f>BD131*1.47</f>
        <v>0.81178445578603253</v>
      </c>
      <c r="BE139" s="100">
        <f>BE131*1.4</f>
        <v>0.78323329446931422</v>
      </c>
      <c r="BF139" s="100">
        <f>BF131*1.4</f>
        <v>0.79426585577758468</v>
      </c>
      <c r="BG139" s="100">
        <f>BG131*1.35</f>
        <v>0.75988725065047713</v>
      </c>
      <c r="BH139" s="100">
        <f>BH131*1.35</f>
        <v>0.7593103448275863</v>
      </c>
      <c r="BI139" s="100">
        <f>BI131*1.35</f>
        <v>0.76702355460385441</v>
      </c>
      <c r="BJ139" s="100">
        <f>BJ131*1.35</f>
        <v>0.78724137931034488</v>
      </c>
      <c r="BK139" s="100">
        <v>0.79</v>
      </c>
      <c r="BL139" s="100">
        <v>0.79</v>
      </c>
      <c r="BM139" s="100">
        <v>0.79</v>
      </c>
      <c r="BN139" s="100">
        <v>0.79</v>
      </c>
      <c r="BO139" s="100">
        <v>0.79</v>
      </c>
      <c r="BP139" s="100">
        <v>0.82</v>
      </c>
      <c r="BQ139" s="100">
        <v>0.83</v>
      </c>
      <c r="BR139" s="100">
        <v>0.84</v>
      </c>
      <c r="BS139" s="100">
        <v>0.83</v>
      </c>
      <c r="BT139" s="100">
        <v>0.81499999999999995</v>
      </c>
      <c r="BU139" s="100">
        <v>0.80500000000000005</v>
      </c>
      <c r="BV139" s="100">
        <v>0.80500000000000005</v>
      </c>
      <c r="BW139" s="100">
        <f>BV139</f>
        <v>0.80500000000000005</v>
      </c>
      <c r="BX139" s="100">
        <v>0.81</v>
      </c>
      <c r="BY139" s="100">
        <v>0.8</v>
      </c>
      <c r="BZ139" s="100">
        <f>BY139-0.01</f>
        <v>0.79</v>
      </c>
      <c r="CA139" s="100">
        <v>0.8</v>
      </c>
      <c r="CB139" s="100">
        <v>0.8</v>
      </c>
      <c r="CC139" s="100">
        <v>0.8</v>
      </c>
      <c r="CD139" s="100">
        <v>0.8</v>
      </c>
      <c r="CE139" s="100">
        <f>CD139</f>
        <v>0.8</v>
      </c>
      <c r="CF139" s="100">
        <v>0.8</v>
      </c>
      <c r="CG139" s="100">
        <v>0.8</v>
      </c>
      <c r="CH139" s="100">
        <v>0.79700000000000004</v>
      </c>
      <c r="CI139" s="100">
        <v>0.55400000000000005</v>
      </c>
      <c r="CJ139" s="100">
        <v>0.6</v>
      </c>
      <c r="CK139" s="100">
        <v>0.77</v>
      </c>
      <c r="CL139" s="100">
        <v>0.77</v>
      </c>
      <c r="CM139" s="100">
        <v>0.77</v>
      </c>
      <c r="CN139" s="100">
        <v>0.81</v>
      </c>
      <c r="CO139" s="100">
        <v>0.81499999999999995</v>
      </c>
      <c r="CP139" s="100">
        <v>0.82899999999999996</v>
      </c>
      <c r="CQ139" s="100">
        <v>0.78620000000000001</v>
      </c>
      <c r="CR139" s="100">
        <v>0.77500000000000002</v>
      </c>
      <c r="CS139" s="100">
        <v>0.75149999999999995</v>
      </c>
      <c r="CT139" s="100">
        <v>0.59399999999999997</v>
      </c>
      <c r="CU139" s="100">
        <v>0.74</v>
      </c>
      <c r="CV139" s="100">
        <v>0.75</v>
      </c>
      <c r="CW139" s="100">
        <v>0.76800000000000002</v>
      </c>
      <c r="CX139" s="100">
        <v>0.76300000000000001</v>
      </c>
      <c r="CY139" s="100">
        <v>0.76</v>
      </c>
      <c r="CZ139" s="100">
        <f>CY139</f>
        <v>0.76</v>
      </c>
      <c r="DA139" s="100">
        <f>CZ139</f>
        <v>0.76</v>
      </c>
      <c r="DB139" s="100">
        <v>0.76</v>
      </c>
      <c r="DC139" s="100">
        <v>0.76</v>
      </c>
      <c r="DD139" s="100">
        <v>0.76</v>
      </c>
      <c r="DE139" s="100">
        <v>0.76</v>
      </c>
      <c r="DF139" s="100">
        <v>0.76</v>
      </c>
      <c r="DG139" s="100">
        <v>0.76</v>
      </c>
      <c r="DH139" s="100">
        <v>0.76</v>
      </c>
      <c r="DI139" s="100">
        <v>0.76</v>
      </c>
      <c r="DJ139" s="100">
        <v>0.76</v>
      </c>
      <c r="DK139" s="100">
        <v>0.76</v>
      </c>
      <c r="DL139" s="100">
        <v>0.76</v>
      </c>
      <c r="DM139" s="100">
        <v>0.76</v>
      </c>
      <c r="DN139" s="100">
        <v>0.76</v>
      </c>
      <c r="DO139" s="100">
        <v>0.76</v>
      </c>
      <c r="DP139" s="100">
        <v>0.76</v>
      </c>
      <c r="DQ139" s="100">
        <v>0.76</v>
      </c>
      <c r="EC139" s="79"/>
      <c r="ED139" s="79"/>
      <c r="EE139" s="79"/>
      <c r="EG139" s="52">
        <f t="shared" ref="EG139:EW139" si="266">EG136/EG87</f>
        <v>0.8062018777768909</v>
      </c>
      <c r="EH139" s="52">
        <f t="shared" si="266"/>
        <v>0.77068205199514184</v>
      </c>
      <c r="EI139" s="52">
        <f t="shared" si="266"/>
        <v>0.78952471956792691</v>
      </c>
      <c r="EJ139" s="52">
        <f t="shared" si="266"/>
        <v>0.81032608695652175</v>
      </c>
      <c r="EK139" s="52">
        <f t="shared" si="266"/>
        <v>0.822549454297408</v>
      </c>
      <c r="EL139" s="52">
        <f t="shared" si="266"/>
        <v>0.80459436808581963</v>
      </c>
      <c r="EM139" s="52">
        <f t="shared" si="266"/>
        <v>0.79773767452165634</v>
      </c>
      <c r="EN139" s="52">
        <f t="shared" si="266"/>
        <v>0.79999999999999993</v>
      </c>
      <c r="EO139" s="52">
        <f t="shared" si="266"/>
        <v>0.67796697035226461</v>
      </c>
      <c r="EP139" s="52">
        <f t="shared" si="266"/>
        <v>0.79964423268996732</v>
      </c>
      <c r="EQ139" s="52">
        <f t="shared" si="266"/>
        <v>0.7802376492230616</v>
      </c>
      <c r="ER139" s="52">
        <f t="shared" si="266"/>
        <v>0.72078973398784196</v>
      </c>
      <c r="ES139" s="65">
        <f t="shared" si="266"/>
        <v>0.76058786643674547</v>
      </c>
      <c r="ET139" s="65">
        <f t="shared" si="266"/>
        <v>0.76</v>
      </c>
      <c r="EU139" s="65">
        <f t="shared" si="266"/>
        <v>0.76</v>
      </c>
      <c r="EV139" s="65">
        <f t="shared" si="266"/>
        <v>0.76</v>
      </c>
      <c r="EW139" s="65">
        <f t="shared" si="266"/>
        <v>0.76000000000000012</v>
      </c>
    </row>
    <row r="140" spans="1:155" s="49" customFormat="1" ht="12.75" customHeight="1">
      <c r="A140" s="76" t="s">
        <v>263</v>
      </c>
      <c r="B140" s="76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  <c r="AD140" s="76"/>
      <c r="AE140" s="76"/>
      <c r="AF140" s="76"/>
      <c r="AG140" s="76"/>
      <c r="AH140" s="76"/>
      <c r="AI140" s="76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6"/>
      <c r="AU140" s="76"/>
      <c r="AV140" s="76"/>
      <c r="AW140" s="76"/>
      <c r="AX140" s="76"/>
      <c r="AY140" s="76"/>
      <c r="AZ140" s="76"/>
      <c r="BA140" s="76"/>
      <c r="BB140" s="109">
        <v>64.927999999999997</v>
      </c>
      <c r="BC140" s="109">
        <v>68.162000000000006</v>
      </c>
      <c r="BD140" s="109">
        <v>81.207999999999998</v>
      </c>
      <c r="BE140" s="109">
        <v>99.984999999999999</v>
      </c>
      <c r="BF140" s="109">
        <v>105.741</v>
      </c>
      <c r="BG140" s="109">
        <v>116.02200000000001</v>
      </c>
      <c r="BH140" s="109">
        <v>122.28700000000001</v>
      </c>
      <c r="BI140" s="109">
        <v>125.125</v>
      </c>
      <c r="BJ140" s="109">
        <v>126.31699999999999</v>
      </c>
      <c r="BK140" s="109">
        <v>134.99600000000001</v>
      </c>
      <c r="BL140" s="109">
        <v>146.01599999999999</v>
      </c>
      <c r="BM140" s="109">
        <v>148.16900000000001</v>
      </c>
      <c r="BN140" s="109">
        <v>124.117</v>
      </c>
      <c r="BO140" s="109">
        <v>138.399</v>
      </c>
      <c r="BP140" s="109">
        <v>148.364</v>
      </c>
      <c r="BQ140" s="109">
        <v>152.32499999999999</v>
      </c>
      <c r="BR140" s="76">
        <f>162.002+10.883</f>
        <v>172.88500000000002</v>
      </c>
      <c r="BS140" s="76">
        <f>164.794+11.106</f>
        <v>175.9</v>
      </c>
      <c r="BT140" s="76">
        <f>183.649+10.226</f>
        <v>193.875</v>
      </c>
      <c r="BU140" s="76">
        <f>189.725+9.764</f>
        <v>199.489</v>
      </c>
      <c r="BV140" s="76">
        <f>197.131+9.708</f>
        <v>206.839</v>
      </c>
      <c r="BW140" s="76">
        <f>200.29+9.735</f>
        <v>210.02499999999998</v>
      </c>
      <c r="BX140" s="76">
        <f>217.534+9.763</f>
        <v>227.297</v>
      </c>
      <c r="BY140" s="76">
        <f>251.496+9.763</f>
        <v>261.25900000000001</v>
      </c>
      <c r="BZ140" s="76">
        <f>286.196+9.158</f>
        <v>295.35400000000004</v>
      </c>
      <c r="CA140" s="76">
        <f t="shared" ref="CA140:DQ140" si="267">+CA143*CA91</f>
        <v>372.59999999999997</v>
      </c>
      <c r="CB140" s="76">
        <f t="shared" si="267"/>
        <v>430.5</v>
      </c>
      <c r="CC140" s="76">
        <f t="shared" si="267"/>
        <v>348.26192800000001</v>
      </c>
      <c r="CD140" s="76">
        <f t="shared" si="267"/>
        <v>375.15274999999997</v>
      </c>
      <c r="CE140" s="76">
        <f t="shared" si="267"/>
        <v>453.59999999999997</v>
      </c>
      <c r="CF140" s="76">
        <f t="shared" si="267"/>
        <v>453.59999999999997</v>
      </c>
      <c r="CG140" s="76">
        <f t="shared" si="267"/>
        <v>484.70400000000006</v>
      </c>
      <c r="CH140" s="76">
        <f t="shared" si="267"/>
        <v>501.45480000000009</v>
      </c>
      <c r="CI140" s="76">
        <f t="shared" si="267"/>
        <v>536.55663600000003</v>
      </c>
      <c r="CJ140" s="76">
        <f t="shared" si="267"/>
        <v>670.69579500000009</v>
      </c>
      <c r="CK140" s="76">
        <f t="shared" si="267"/>
        <v>719.99694112500015</v>
      </c>
      <c r="CL140" s="76">
        <f t="shared" si="267"/>
        <v>648.9</v>
      </c>
      <c r="CM140" s="76">
        <f t="shared" si="267"/>
        <v>1231.9199999999998</v>
      </c>
      <c r="CN140" s="76">
        <f t="shared" si="267"/>
        <v>1912.72265625</v>
      </c>
      <c r="CO140" s="76">
        <f t="shared" si="267"/>
        <v>2498.25</v>
      </c>
      <c r="CP140" s="76">
        <f t="shared" si="267"/>
        <v>2409.96</v>
      </c>
      <c r="CQ140" s="76">
        <f t="shared" si="267"/>
        <v>2751</v>
      </c>
      <c r="CR140" s="76">
        <f t="shared" si="267"/>
        <v>2345.25</v>
      </c>
      <c r="CS140" s="76">
        <f t="shared" si="267"/>
        <v>2268</v>
      </c>
      <c r="CT140" s="76">
        <f t="shared" si="267"/>
        <v>3717.75</v>
      </c>
      <c r="CU140" s="76">
        <f t="shared" si="267"/>
        <v>5511.52</v>
      </c>
      <c r="CV140" s="76">
        <f t="shared" si="267"/>
        <v>6140.25</v>
      </c>
      <c r="CW140" s="76">
        <f t="shared" si="267"/>
        <v>8235</v>
      </c>
      <c r="CX140" s="76">
        <f t="shared" si="267"/>
        <v>11248</v>
      </c>
      <c r="CY140" s="78">
        <f t="shared" si="267"/>
        <v>12935.2</v>
      </c>
      <c r="CZ140" s="78">
        <f t="shared" si="267"/>
        <v>15318</v>
      </c>
      <c r="DA140" s="78">
        <f t="shared" si="267"/>
        <v>17462.520000000004</v>
      </c>
      <c r="DB140" s="78">
        <f t="shared" si="267"/>
        <v>19208.772000000004</v>
      </c>
      <c r="DC140" s="78">
        <f t="shared" si="267"/>
        <v>21129.649200000007</v>
      </c>
      <c r="DD140" s="78">
        <f t="shared" si="267"/>
        <v>23665.207104000012</v>
      </c>
      <c r="DE140" s="78">
        <f t="shared" si="267"/>
        <v>25085.119530240016</v>
      </c>
      <c r="DF140" s="78">
        <f t="shared" si="267"/>
        <v>25837.673116147216</v>
      </c>
      <c r="DG140" s="78">
        <f t="shared" si="267"/>
        <v>26612.803309631632</v>
      </c>
      <c r="DH140" s="78">
        <f t="shared" si="267"/>
        <v>28475.699541305847</v>
      </c>
      <c r="DI140" s="78">
        <f t="shared" si="267"/>
        <v>29899.484518371144</v>
      </c>
      <c r="DJ140" s="78">
        <f t="shared" si="267"/>
        <v>30198.479363554856</v>
      </c>
      <c r="DK140" s="78">
        <f t="shared" si="267"/>
        <v>30500.464157190403</v>
      </c>
      <c r="DL140" s="78">
        <f t="shared" si="267"/>
        <v>31415.478081906116</v>
      </c>
      <c r="DM140" s="78">
        <f t="shared" si="267"/>
        <v>32043.787643544241</v>
      </c>
      <c r="DN140" s="78">
        <f t="shared" si="267"/>
        <v>32684.663396415126</v>
      </c>
      <c r="DO140" s="78">
        <f t="shared" si="267"/>
        <v>33665.203298307577</v>
      </c>
      <c r="DP140" s="78">
        <f t="shared" si="267"/>
        <v>35685.115496206039</v>
      </c>
      <c r="DQ140" s="78">
        <f t="shared" si="267"/>
        <v>37112.520116054278</v>
      </c>
      <c r="DT140" s="77"/>
      <c r="DU140" s="77"/>
      <c r="DV140" s="77"/>
      <c r="DW140" s="77"/>
      <c r="DX140" s="77"/>
      <c r="DY140" s="77"/>
      <c r="DZ140" s="77"/>
      <c r="EA140" s="77"/>
      <c r="EB140" s="77"/>
      <c r="EC140" s="76"/>
      <c r="ED140" s="76"/>
      <c r="EE140" s="76"/>
      <c r="EF140" s="76"/>
      <c r="EG140" s="76">
        <f>SUM(BB140:BE140)</f>
        <v>314.28300000000002</v>
      </c>
      <c r="EH140" s="76">
        <f>SUM(BF140:BI140)</f>
        <v>469.17500000000001</v>
      </c>
      <c r="EI140" s="76">
        <f>SUM(BJ140:BM140)</f>
        <v>555.49799999999993</v>
      </c>
      <c r="EJ140" s="76">
        <f>SUM(BN140:BQ140)</f>
        <v>563.20499999999993</v>
      </c>
      <c r="EK140" s="76">
        <f>SUM(BR140:BU140)</f>
        <v>742.14900000000011</v>
      </c>
      <c r="EL140" s="76">
        <f>BV140+BW140+BX140+BY140</f>
        <v>905.42</v>
      </c>
      <c r="EM140" s="76">
        <f>SUM(BZ140:CC140)</f>
        <v>1446.7159280000001</v>
      </c>
      <c r="EN140" s="76">
        <f>+CD140+CE140+CF140+CG140</f>
        <v>1767.0567499999997</v>
      </c>
      <c r="EO140" s="76">
        <f>SUM(CH140:CK140)</f>
        <v>2428.7041721250007</v>
      </c>
      <c r="EP140" s="76">
        <f>SUM(CL140:CO140)</f>
        <v>6291.7926562499997</v>
      </c>
      <c r="EQ140" s="76">
        <f>SUM(CP140:CS140)</f>
        <v>9774.2099999999991</v>
      </c>
      <c r="ER140" s="76">
        <f>SUM(CT140:CW140)</f>
        <v>23604.52</v>
      </c>
      <c r="ES140" s="78">
        <f>SUM(CX140:DA140)</f>
        <v>56963.72</v>
      </c>
      <c r="ET140" s="78">
        <f>SUM(DB140:DE140)</f>
        <v>89088.747834240043</v>
      </c>
      <c r="EU140" s="78">
        <f>SUM(DF140:DI140)</f>
        <v>110825.66048545584</v>
      </c>
      <c r="EV140" s="78">
        <f>SUM(DJ140:DM140)</f>
        <v>124158.20924619562</v>
      </c>
      <c r="EW140" s="78">
        <f>SUM(DN140:DQ140)</f>
        <v>139147.50230698302</v>
      </c>
    </row>
    <row r="141" spans="1:155" s="49" customFormat="1">
      <c r="A141" s="69" t="s">
        <v>223</v>
      </c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52">
        <f t="shared" ref="BC141:DN141" si="268">BC140/BB140-1</f>
        <v>4.980901922129144E-2</v>
      </c>
      <c r="BD141" s="52">
        <f t="shared" si="268"/>
        <v>0.19139696605146539</v>
      </c>
      <c r="BE141" s="52">
        <f t="shared" si="268"/>
        <v>0.23122106196433845</v>
      </c>
      <c r="BF141" s="52">
        <f t="shared" si="268"/>
        <v>5.7568635295294213E-2</v>
      </c>
      <c r="BG141" s="52">
        <f t="shared" si="268"/>
        <v>9.7228132890742502E-2</v>
      </c>
      <c r="BH141" s="52">
        <f t="shared" si="268"/>
        <v>5.3998379617658632E-2</v>
      </c>
      <c r="BI141" s="52">
        <f t="shared" si="268"/>
        <v>2.3207699919042923E-2</v>
      </c>
      <c r="BJ141" s="52">
        <f t="shared" si="268"/>
        <v>9.5264735264735112E-3</v>
      </c>
      <c r="BK141" s="52">
        <f t="shared" si="268"/>
        <v>6.8708091547456052E-2</v>
      </c>
      <c r="BL141" s="52">
        <f t="shared" si="268"/>
        <v>8.1632048356988118E-2</v>
      </c>
      <c r="BM141" s="52">
        <f t="shared" si="268"/>
        <v>1.4744959456498119E-2</v>
      </c>
      <c r="BN141" s="52">
        <f t="shared" si="268"/>
        <v>-0.16232815231256204</v>
      </c>
      <c r="BO141" s="52">
        <f t="shared" si="268"/>
        <v>0.11506884633047854</v>
      </c>
      <c r="BP141" s="52">
        <f t="shared" si="268"/>
        <v>7.2001965332119555E-2</v>
      </c>
      <c r="BQ141" s="52">
        <f t="shared" si="268"/>
        <v>2.6697851230756742E-2</v>
      </c>
      <c r="BR141" s="52">
        <f t="shared" si="268"/>
        <v>0.13497456097160687</v>
      </c>
      <c r="BS141" s="52">
        <f t="shared" si="268"/>
        <v>1.7439338288457673E-2</v>
      </c>
      <c r="BT141" s="52">
        <f t="shared" si="268"/>
        <v>0.10218874360432051</v>
      </c>
      <c r="BU141" s="52">
        <f t="shared" si="268"/>
        <v>2.8956802063184961E-2</v>
      </c>
      <c r="BV141" s="52">
        <f t="shared" si="268"/>
        <v>3.6844136769445868E-2</v>
      </c>
      <c r="BW141" s="52">
        <f t="shared" si="268"/>
        <v>1.5403284680355123E-2</v>
      </c>
      <c r="BX141" s="52">
        <f t="shared" si="268"/>
        <v>8.2237828829901272E-2</v>
      </c>
      <c r="BY141" s="52">
        <f t="shared" si="268"/>
        <v>0.14941684228124452</v>
      </c>
      <c r="BZ141" s="52">
        <f t="shared" si="268"/>
        <v>0.13050268124734465</v>
      </c>
      <c r="CA141" s="52">
        <f t="shared" si="268"/>
        <v>0.2615370030539621</v>
      </c>
      <c r="CB141" s="52">
        <f t="shared" si="268"/>
        <v>0.15539452495974238</v>
      </c>
      <c r="CC141" s="52">
        <f t="shared" si="268"/>
        <v>-0.19102920325203254</v>
      </c>
      <c r="CD141" s="52">
        <f t="shared" si="268"/>
        <v>7.7214360336280929E-2</v>
      </c>
      <c r="CE141" s="52">
        <f t="shared" si="268"/>
        <v>0.20910749021565223</v>
      </c>
      <c r="CF141" s="52">
        <f t="shared" si="268"/>
        <v>0</v>
      </c>
      <c r="CG141" s="52">
        <f t="shared" si="268"/>
        <v>6.8571428571428727E-2</v>
      </c>
      <c r="CH141" s="52">
        <f t="shared" si="268"/>
        <v>3.4558823529411864E-2</v>
      </c>
      <c r="CI141" s="52">
        <f t="shared" si="268"/>
        <v>6.999999999999984E-2</v>
      </c>
      <c r="CJ141" s="52">
        <f t="shared" si="268"/>
        <v>0.25</v>
      </c>
      <c r="CK141" s="52">
        <f t="shared" si="268"/>
        <v>7.3507462686567271E-2</v>
      </c>
      <c r="CL141" s="52">
        <f t="shared" si="268"/>
        <v>-9.8746171079436396E-2</v>
      </c>
      <c r="CM141" s="52">
        <f t="shared" si="268"/>
        <v>0.89847434119278757</v>
      </c>
      <c r="CN141" s="52">
        <f t="shared" si="268"/>
        <v>0.55263544406292642</v>
      </c>
      <c r="CO141" s="52">
        <f t="shared" si="268"/>
        <v>0.30612244897959173</v>
      </c>
      <c r="CP141" s="52">
        <f t="shared" si="268"/>
        <v>-3.5340738516961845E-2</v>
      </c>
      <c r="CQ141" s="52">
        <f t="shared" si="268"/>
        <v>0.14151272220285804</v>
      </c>
      <c r="CR141" s="52">
        <f t="shared" si="268"/>
        <v>-0.14749182115594328</v>
      </c>
      <c r="CS141" s="52">
        <f t="shared" si="268"/>
        <v>-3.293891909178126E-2</v>
      </c>
      <c r="CT141" s="52">
        <f t="shared" si="268"/>
        <v>0.63921957671957674</v>
      </c>
      <c r="CU141" s="52">
        <f t="shared" si="268"/>
        <v>0.48248806401721489</v>
      </c>
      <c r="CV141" s="52">
        <f t="shared" si="268"/>
        <v>0.11407560890643587</v>
      </c>
      <c r="CW141" s="52">
        <f t="shared" si="268"/>
        <v>0.3411506046170758</v>
      </c>
      <c r="CX141" s="52">
        <f t="shared" si="268"/>
        <v>0.3658773527625987</v>
      </c>
      <c r="CY141" s="53">
        <f t="shared" si="268"/>
        <v>0.15000000000000013</v>
      </c>
      <c r="CZ141" s="53">
        <f t="shared" si="268"/>
        <v>0.18421052631578938</v>
      </c>
      <c r="DA141" s="53">
        <f t="shared" si="268"/>
        <v>0.14000000000000035</v>
      </c>
      <c r="DB141" s="53">
        <f t="shared" si="268"/>
        <v>0.10000000000000009</v>
      </c>
      <c r="DC141" s="53">
        <f t="shared" si="268"/>
        <v>0.10000000000000009</v>
      </c>
      <c r="DD141" s="53">
        <f t="shared" si="268"/>
        <v>0.12000000000000011</v>
      </c>
      <c r="DE141" s="53">
        <f t="shared" si="268"/>
        <v>6.0000000000000053E-2</v>
      </c>
      <c r="DF141" s="53">
        <f t="shared" si="268"/>
        <v>3.0000000000000027E-2</v>
      </c>
      <c r="DG141" s="53">
        <f t="shared" si="268"/>
        <v>3.0000000000000027E-2</v>
      </c>
      <c r="DH141" s="53">
        <f t="shared" si="268"/>
        <v>7.0000000000000062E-2</v>
      </c>
      <c r="DI141" s="53">
        <f t="shared" si="268"/>
        <v>5.0000000000000266E-2</v>
      </c>
      <c r="DJ141" s="53">
        <f t="shared" si="268"/>
        <v>1.0000000000000009E-2</v>
      </c>
      <c r="DK141" s="53">
        <f t="shared" si="268"/>
        <v>1.0000000000000009E-2</v>
      </c>
      <c r="DL141" s="53">
        <f t="shared" si="268"/>
        <v>3.0000000000000027E-2</v>
      </c>
      <c r="DM141" s="53">
        <f t="shared" si="268"/>
        <v>2.0000000000000018E-2</v>
      </c>
      <c r="DN141" s="53">
        <f t="shared" si="268"/>
        <v>2.0000000000000018E-2</v>
      </c>
      <c r="DO141" s="53">
        <f t="shared" ref="DO141:DQ141" si="269">DO140/DN140-1</f>
        <v>2.9999999999999805E-2</v>
      </c>
      <c r="DP141" s="53">
        <f t="shared" si="269"/>
        <v>6.0000000000000275E-2</v>
      </c>
      <c r="DQ141" s="53">
        <f t="shared" si="269"/>
        <v>4.0000000000000036E-2</v>
      </c>
      <c r="DT141" s="54" t="s">
        <v>224</v>
      </c>
      <c r="DU141" s="54" t="s">
        <v>224</v>
      </c>
      <c r="DV141" s="54" t="s">
        <v>224</v>
      </c>
      <c r="DW141" s="54" t="s">
        <v>224</v>
      </c>
      <c r="DX141" s="54" t="s">
        <v>224</v>
      </c>
      <c r="DY141" s="54" t="s">
        <v>224</v>
      </c>
      <c r="DZ141" s="54" t="s">
        <v>224</v>
      </c>
      <c r="EA141" s="54" t="s">
        <v>224</v>
      </c>
      <c r="EB141" s="54" t="s">
        <v>224</v>
      </c>
      <c r="EC141" s="54" t="s">
        <v>224</v>
      </c>
      <c r="ED141" s="54" t="s">
        <v>224</v>
      </c>
      <c r="EE141" s="54" t="s">
        <v>224</v>
      </c>
      <c r="EF141" s="54" t="s">
        <v>224</v>
      </c>
      <c r="EG141" s="54" t="s">
        <v>224</v>
      </c>
      <c r="EH141" s="54" t="s">
        <v>224</v>
      </c>
      <c r="EI141" s="54" t="s">
        <v>224</v>
      </c>
      <c r="EJ141" s="54" t="s">
        <v>224</v>
      </c>
      <c r="EK141" s="54" t="s">
        <v>224</v>
      </c>
      <c r="EL141" s="54" t="s">
        <v>224</v>
      </c>
      <c r="EM141" s="54" t="s">
        <v>224</v>
      </c>
      <c r="EN141" s="54" t="s">
        <v>224</v>
      </c>
      <c r="EO141" s="54" t="s">
        <v>224</v>
      </c>
      <c r="EP141" s="54" t="s">
        <v>224</v>
      </c>
      <c r="EQ141" s="54" t="s">
        <v>224</v>
      </c>
      <c r="ER141" s="54" t="s">
        <v>224</v>
      </c>
      <c r="ES141" s="55" t="s">
        <v>224</v>
      </c>
      <c r="ET141" s="55" t="s">
        <v>224</v>
      </c>
      <c r="EU141" s="55" t="s">
        <v>224</v>
      </c>
      <c r="EV141" s="55" t="s">
        <v>224</v>
      </c>
      <c r="EW141" s="55" t="s">
        <v>224</v>
      </c>
    </row>
    <row r="142" spans="1:155" s="49" customFormat="1">
      <c r="A142" s="69" t="s">
        <v>225</v>
      </c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91">
        <f t="shared" ref="BF142:DQ142" si="270">BF140/BB140-1</f>
        <v>0.62858859043863968</v>
      </c>
      <c r="BG142" s="91">
        <f t="shared" si="270"/>
        <v>0.7021507584871336</v>
      </c>
      <c r="BH142" s="91">
        <f t="shared" si="270"/>
        <v>0.50584917742094393</v>
      </c>
      <c r="BI142" s="91">
        <f t="shared" si="270"/>
        <v>0.25143771565734863</v>
      </c>
      <c r="BJ142" s="91">
        <f t="shared" si="270"/>
        <v>0.19458866475633863</v>
      </c>
      <c r="BK142" s="91">
        <f t="shared" si="270"/>
        <v>0.16353794969919511</v>
      </c>
      <c r="BL142" s="91">
        <f t="shared" si="270"/>
        <v>0.19404352057046115</v>
      </c>
      <c r="BM142" s="91">
        <f t="shared" si="270"/>
        <v>0.18416783216783217</v>
      </c>
      <c r="BN142" s="91">
        <f t="shared" si="270"/>
        <v>-1.7416499758543869E-2</v>
      </c>
      <c r="BO142" s="91">
        <f t="shared" si="270"/>
        <v>2.5208154315683462E-2</v>
      </c>
      <c r="BP142" s="91">
        <f t="shared" si="270"/>
        <v>1.6080429541968089E-2</v>
      </c>
      <c r="BQ142" s="91">
        <f t="shared" si="270"/>
        <v>2.8049052095917348E-2</v>
      </c>
      <c r="BR142" s="91">
        <f t="shared" si="270"/>
        <v>0.39291958394095894</v>
      </c>
      <c r="BS142" s="91">
        <f t="shared" si="270"/>
        <v>0.27096294048367398</v>
      </c>
      <c r="BT142" s="91">
        <f t="shared" si="270"/>
        <v>0.30675231188158847</v>
      </c>
      <c r="BU142" s="91">
        <f t="shared" si="270"/>
        <v>0.30962744132611197</v>
      </c>
      <c r="BV142" s="91">
        <f t="shared" si="270"/>
        <v>0.19639644850623239</v>
      </c>
      <c r="BW142" s="91">
        <f t="shared" si="270"/>
        <v>0.19400227401932901</v>
      </c>
      <c r="BX142" s="91">
        <f t="shared" si="270"/>
        <v>0.17238942617666031</v>
      </c>
      <c r="BY142" s="91">
        <f t="shared" si="270"/>
        <v>0.30964113309505792</v>
      </c>
      <c r="BZ142" s="91">
        <f t="shared" si="270"/>
        <v>0.42794153907145183</v>
      </c>
      <c r="CA142" s="91">
        <f t="shared" si="270"/>
        <v>0.77407451493869783</v>
      </c>
      <c r="CB142" s="91">
        <f t="shared" si="270"/>
        <v>0.8939977210433927</v>
      </c>
      <c r="CC142" s="91">
        <f t="shared" si="270"/>
        <v>0.33301408946677435</v>
      </c>
      <c r="CD142" s="91">
        <f t="shared" si="270"/>
        <v>0.2701800212626202</v>
      </c>
      <c r="CE142" s="91">
        <f t="shared" si="270"/>
        <v>0.21739130434782616</v>
      </c>
      <c r="CF142" s="91">
        <f t="shared" si="270"/>
        <v>5.3658536585365679E-2</v>
      </c>
      <c r="CG142" s="91">
        <f t="shared" si="270"/>
        <v>0.39178003976363462</v>
      </c>
      <c r="CH142" s="91">
        <f t="shared" si="270"/>
        <v>0.33666833043340372</v>
      </c>
      <c r="CI142" s="91">
        <f t="shared" si="270"/>
        <v>0.18288500000000019</v>
      </c>
      <c r="CJ142" s="91">
        <f t="shared" si="270"/>
        <v>0.47860625000000034</v>
      </c>
      <c r="CK142" s="91">
        <f t="shared" si="270"/>
        <v>0.48543635110294137</v>
      </c>
      <c r="CL142" s="91">
        <f t="shared" si="270"/>
        <v>0.29403487612442802</v>
      </c>
      <c r="CM142" s="91">
        <f t="shared" si="270"/>
        <v>1.2959738401222567</v>
      </c>
      <c r="CN142" s="91">
        <f t="shared" si="270"/>
        <v>1.8518482902520654</v>
      </c>
      <c r="CO142" s="91">
        <f t="shared" si="270"/>
        <v>2.4698064079223272</v>
      </c>
      <c r="CP142" s="91">
        <f t="shared" si="270"/>
        <v>2.7139158576051781</v>
      </c>
      <c r="CQ142" s="91">
        <f t="shared" si="270"/>
        <v>1.233099551918956</v>
      </c>
      <c r="CR142" s="91">
        <f t="shared" si="270"/>
        <v>0.22613176162088977</v>
      </c>
      <c r="CS142" s="91">
        <f t="shared" si="270"/>
        <v>-9.2164515160612415E-2</v>
      </c>
      <c r="CT142" s="91">
        <f t="shared" si="270"/>
        <v>0.5426604590947568</v>
      </c>
      <c r="CU142" s="91">
        <f t="shared" si="270"/>
        <v>1.0034605597964377</v>
      </c>
      <c r="CV142" s="91">
        <f t="shared" si="270"/>
        <v>1.618164374800128</v>
      </c>
      <c r="CW142" s="91">
        <f t="shared" si="270"/>
        <v>2.6309523809523809</v>
      </c>
      <c r="CX142" s="91">
        <f t="shared" si="270"/>
        <v>2.0254858449330913</v>
      </c>
      <c r="CY142" s="100">
        <f t="shared" si="270"/>
        <v>1.3469387755102042</v>
      </c>
      <c r="CZ142" s="100">
        <f t="shared" si="270"/>
        <v>1.4946866984243314</v>
      </c>
      <c r="DA142" s="100">
        <f t="shared" si="270"/>
        <v>1.1205245901639351</v>
      </c>
      <c r="DB142" s="100">
        <f t="shared" si="270"/>
        <v>0.70775000000000032</v>
      </c>
      <c r="DC142" s="100">
        <f t="shared" si="270"/>
        <v>0.6335000000000004</v>
      </c>
      <c r="DD142" s="100">
        <f t="shared" si="270"/>
        <v>0.54492800000000075</v>
      </c>
      <c r="DE142" s="100">
        <f t="shared" si="270"/>
        <v>0.43651200000000046</v>
      </c>
      <c r="DF142" s="100">
        <f t="shared" si="270"/>
        <v>0.34509760000000056</v>
      </c>
      <c r="DG142" s="100">
        <f t="shared" si="270"/>
        <v>0.25950048000000026</v>
      </c>
      <c r="DH142" s="100">
        <f t="shared" si="270"/>
        <v>0.20327278000000004</v>
      </c>
      <c r="DI142" s="100">
        <f t="shared" si="270"/>
        <v>0.19192115000000021</v>
      </c>
      <c r="DJ142" s="100">
        <f t="shared" si="270"/>
        <v>0.1687770500000001</v>
      </c>
      <c r="DK142" s="100">
        <f t="shared" si="270"/>
        <v>0.14608235000000014</v>
      </c>
      <c r="DL142" s="100">
        <f t="shared" si="270"/>
        <v>0.10323815000000014</v>
      </c>
      <c r="DM142" s="100">
        <f t="shared" si="270"/>
        <v>7.171706000000011E-2</v>
      </c>
      <c r="DN142" s="100">
        <f t="shared" si="270"/>
        <v>8.2328120000000116E-2</v>
      </c>
      <c r="DO142" s="100">
        <f t="shared" si="270"/>
        <v>0.10376036000000011</v>
      </c>
      <c r="DP142" s="100">
        <f t="shared" si="270"/>
        <v>0.1359087200000002</v>
      </c>
      <c r="DQ142" s="100">
        <f t="shared" si="270"/>
        <v>0.15818144000000012</v>
      </c>
      <c r="EC142" s="35"/>
      <c r="ED142" s="35"/>
      <c r="EE142" s="35"/>
      <c r="EF142" s="35"/>
      <c r="EG142" s="35"/>
      <c r="EH142" s="52">
        <f t="shared" ref="EH142:ET142" si="271">EH140/EG140-1</f>
        <v>0.49284243818469342</v>
      </c>
      <c r="EI142" s="52">
        <f t="shared" si="271"/>
        <v>0.1839889167155111</v>
      </c>
      <c r="EJ142" s="52">
        <f t="shared" si="271"/>
        <v>1.3874037350269486E-2</v>
      </c>
      <c r="EK142" s="52">
        <f t="shared" si="271"/>
        <v>0.31772445202013522</v>
      </c>
      <c r="EL142" s="52">
        <f t="shared" si="271"/>
        <v>0.21999760155979442</v>
      </c>
      <c r="EM142" s="52">
        <f t="shared" si="271"/>
        <v>0.59783959709306189</v>
      </c>
      <c r="EN142" s="52">
        <f t="shared" si="271"/>
        <v>0.22142620800674528</v>
      </c>
      <c r="EO142" s="52">
        <f t="shared" si="271"/>
        <v>0.37443473285450568</v>
      </c>
      <c r="EP142" s="52">
        <f t="shared" si="271"/>
        <v>1.5905965528708177</v>
      </c>
      <c r="EQ142" s="52">
        <f t="shared" si="271"/>
        <v>0.55348571289785164</v>
      </c>
      <c r="ER142" s="52">
        <f t="shared" si="271"/>
        <v>1.4149798295719043</v>
      </c>
      <c r="ES142" s="53">
        <f t="shared" si="271"/>
        <v>1.4132547495140759</v>
      </c>
      <c r="ET142" s="53">
        <f t="shared" si="271"/>
        <v>0.56395593255215837</v>
      </c>
      <c r="EU142" s="53">
        <f>EU140/ET140-1</f>
        <v>0.24399167324317816</v>
      </c>
      <c r="EV142" s="53">
        <f>EV140/EU140-1</f>
        <v>0.12030200138071345</v>
      </c>
      <c r="EW142" s="53">
        <f>EW140/EV140-1</f>
        <v>0.1207273619021425</v>
      </c>
    </row>
    <row r="143" spans="1:155" s="52" customFormat="1">
      <c r="A143" s="107" t="s">
        <v>277</v>
      </c>
      <c r="B143" s="108"/>
      <c r="C143" s="108"/>
      <c r="D143" s="108"/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108"/>
      <c r="AV143" s="108"/>
      <c r="AW143" s="108"/>
      <c r="AX143" s="108"/>
      <c r="AY143" s="108"/>
      <c r="AZ143" s="108"/>
      <c r="BA143" s="108"/>
      <c r="BB143" s="91">
        <f t="shared" ref="BB143:BZ143" si="272">+BB140/BB91</f>
        <v>0.65779849045134486</v>
      </c>
      <c r="BC143" s="91">
        <f t="shared" si="272"/>
        <v>0.66451537426638341</v>
      </c>
      <c r="BD143" s="91">
        <f t="shared" si="272"/>
        <v>0.67276402558239723</v>
      </c>
      <c r="BE143" s="91">
        <f t="shared" si="272"/>
        <v>0.7085305705944045</v>
      </c>
      <c r="BF143" s="91">
        <f t="shared" si="272"/>
        <v>0.72092040224987208</v>
      </c>
      <c r="BG143" s="91">
        <f t="shared" si="272"/>
        <v>0.71114570819133549</v>
      </c>
      <c r="BH143" s="91">
        <f t="shared" si="272"/>
        <v>0.71355549461129553</v>
      </c>
      <c r="BI143" s="91">
        <f t="shared" si="272"/>
        <v>0.70716061941901209</v>
      </c>
      <c r="BJ143" s="91">
        <f t="shared" si="272"/>
        <v>0.64182206188709923</v>
      </c>
      <c r="BK143" s="91">
        <f t="shared" si="272"/>
        <v>0.62847007229947727</v>
      </c>
      <c r="BL143" s="91">
        <f t="shared" si="272"/>
        <v>0.65124369455557485</v>
      </c>
      <c r="BM143" s="91">
        <f t="shared" si="272"/>
        <v>0.66840343564481508</v>
      </c>
      <c r="BN143" s="91">
        <f t="shared" si="272"/>
        <v>0.65791859041298484</v>
      </c>
      <c r="BO143" s="91">
        <f t="shared" si="272"/>
        <v>0.65294250856285563</v>
      </c>
      <c r="BP143" s="91">
        <f t="shared" si="272"/>
        <v>0.65735337772874491</v>
      </c>
      <c r="BQ143" s="91">
        <f t="shared" si="272"/>
        <v>0.6411497552413703</v>
      </c>
      <c r="BR143" s="91">
        <f t="shared" si="272"/>
        <v>0.688784860557769</v>
      </c>
      <c r="BS143" s="91">
        <f t="shared" si="272"/>
        <v>0.65521377327145003</v>
      </c>
      <c r="BT143" s="91">
        <f t="shared" si="272"/>
        <v>0.69436734226087082</v>
      </c>
      <c r="BU143" s="91">
        <f t="shared" si="272"/>
        <v>0.68772710035508677</v>
      </c>
      <c r="BV143" s="91">
        <f t="shared" si="272"/>
        <v>0.67767850414623043</v>
      </c>
      <c r="BW143" s="91">
        <f t="shared" si="272"/>
        <v>0.67679264252845406</v>
      </c>
      <c r="BX143" s="91">
        <f t="shared" si="272"/>
        <v>0.67799052053536013</v>
      </c>
      <c r="BY143" s="91">
        <f t="shared" si="272"/>
        <v>0.68791470941377209</v>
      </c>
      <c r="BZ143" s="91">
        <f t="shared" si="272"/>
        <v>0.68887873006395406</v>
      </c>
      <c r="CA143" s="91">
        <v>0.69</v>
      </c>
      <c r="CB143" s="100">
        <v>0.7</v>
      </c>
      <c r="CC143" s="100">
        <f>CB143</f>
        <v>0.7</v>
      </c>
      <c r="CD143" s="100">
        <f t="shared" ref="CD143:CI143" si="273">CC143</f>
        <v>0.7</v>
      </c>
      <c r="CE143" s="100">
        <f t="shared" si="273"/>
        <v>0.7</v>
      </c>
      <c r="CF143" s="100">
        <v>0.7</v>
      </c>
      <c r="CG143" s="100">
        <v>0.68</v>
      </c>
      <c r="CH143" s="100">
        <v>0.67</v>
      </c>
      <c r="CI143" s="100">
        <f t="shared" si="273"/>
        <v>0.67</v>
      </c>
      <c r="CJ143" s="100">
        <v>0.67</v>
      </c>
      <c r="CK143" s="100">
        <v>0.68500000000000005</v>
      </c>
      <c r="CL143" s="100">
        <v>0.7</v>
      </c>
      <c r="CM143" s="100">
        <v>0.72</v>
      </c>
      <c r="CN143" s="100">
        <v>0.73499999999999999</v>
      </c>
      <c r="CO143" s="100">
        <v>0.75</v>
      </c>
      <c r="CP143" s="100">
        <v>0.76</v>
      </c>
      <c r="CQ143" s="100">
        <v>0.75</v>
      </c>
      <c r="CR143" s="100">
        <f t="shared" ref="CR143:DQ143" si="274">CQ143</f>
        <v>0.75</v>
      </c>
      <c r="CS143" s="100">
        <f t="shared" si="274"/>
        <v>0.75</v>
      </c>
      <c r="CT143" s="100">
        <f t="shared" si="274"/>
        <v>0.75</v>
      </c>
      <c r="CU143" s="100">
        <v>0.76</v>
      </c>
      <c r="CV143" s="100">
        <v>0.75</v>
      </c>
      <c r="CW143" s="100">
        <v>0.75</v>
      </c>
      <c r="CX143" s="100">
        <v>0.76</v>
      </c>
      <c r="CY143" s="100">
        <f t="shared" si="274"/>
        <v>0.76</v>
      </c>
      <c r="CZ143" s="100">
        <v>0.75</v>
      </c>
      <c r="DA143" s="100">
        <f t="shared" si="274"/>
        <v>0.75</v>
      </c>
      <c r="DB143" s="100">
        <f t="shared" si="274"/>
        <v>0.75</v>
      </c>
      <c r="DC143" s="100">
        <f t="shared" si="274"/>
        <v>0.75</v>
      </c>
      <c r="DD143" s="100">
        <f t="shared" si="274"/>
        <v>0.75</v>
      </c>
      <c r="DE143" s="100">
        <f t="shared" si="274"/>
        <v>0.75</v>
      </c>
      <c r="DF143" s="100">
        <f t="shared" si="274"/>
        <v>0.75</v>
      </c>
      <c r="DG143" s="100">
        <f t="shared" si="274"/>
        <v>0.75</v>
      </c>
      <c r="DH143" s="100">
        <f t="shared" si="274"/>
        <v>0.75</v>
      </c>
      <c r="DI143" s="100">
        <f t="shared" si="274"/>
        <v>0.75</v>
      </c>
      <c r="DJ143" s="100">
        <f t="shared" si="274"/>
        <v>0.75</v>
      </c>
      <c r="DK143" s="100">
        <f t="shared" si="274"/>
        <v>0.75</v>
      </c>
      <c r="DL143" s="100">
        <f t="shared" si="274"/>
        <v>0.75</v>
      </c>
      <c r="DM143" s="100">
        <f t="shared" si="274"/>
        <v>0.75</v>
      </c>
      <c r="DN143" s="100">
        <f t="shared" si="274"/>
        <v>0.75</v>
      </c>
      <c r="DO143" s="100">
        <f t="shared" si="274"/>
        <v>0.75</v>
      </c>
      <c r="DP143" s="100">
        <f t="shared" si="274"/>
        <v>0.75</v>
      </c>
      <c r="DQ143" s="100">
        <f t="shared" si="274"/>
        <v>0.75</v>
      </c>
      <c r="EC143" s="79"/>
      <c r="ED143" s="79"/>
      <c r="EE143" s="79"/>
      <c r="EG143" s="52">
        <f t="shared" ref="EG143:EW143" si="275">EG140/EG91</f>
        <v>0.67864600315696522</v>
      </c>
      <c r="EH143" s="52">
        <f t="shared" si="275"/>
        <v>0.7128802382471815</v>
      </c>
      <c r="EI143" s="52">
        <f t="shared" si="275"/>
        <v>0.64781258965035471</v>
      </c>
      <c r="EJ143" s="52">
        <f t="shared" si="275"/>
        <v>0.65193837662766096</v>
      </c>
      <c r="EK143" s="52">
        <f t="shared" si="275"/>
        <v>0.68165673625456158</v>
      </c>
      <c r="EL143" s="52">
        <f t="shared" si="275"/>
        <v>0.68047221654381251</v>
      </c>
      <c r="EM143" s="52">
        <f t="shared" si="275"/>
        <v>0.69511440898888011</v>
      </c>
      <c r="EN143" s="52">
        <f t="shared" si="275"/>
        <v>0.6943978394585677</v>
      </c>
      <c r="EO143" s="52">
        <f t="shared" si="275"/>
        <v>0.6743778412780882</v>
      </c>
      <c r="EP143" s="52">
        <f t="shared" si="275"/>
        <v>0.73404974059639128</v>
      </c>
      <c r="EQ143" s="52">
        <f t="shared" si="275"/>
        <v>0.75244110854503454</v>
      </c>
      <c r="ER143" s="52">
        <f t="shared" si="275"/>
        <v>0.75231132075471696</v>
      </c>
      <c r="ES143" s="65">
        <f t="shared" si="275"/>
        <v>0.75421304279667656</v>
      </c>
      <c r="ET143" s="65">
        <f t="shared" si="275"/>
        <v>0.75000000000000011</v>
      </c>
      <c r="EU143" s="65">
        <f t="shared" si="275"/>
        <v>0.75</v>
      </c>
      <c r="EV143" s="65">
        <f t="shared" si="275"/>
        <v>0.75000000000000011</v>
      </c>
      <c r="EW143" s="65">
        <f t="shared" si="275"/>
        <v>0.74999999999999989</v>
      </c>
    </row>
    <row r="144" spans="1:155" s="49" customFormat="1">
      <c r="A144" s="76" t="s">
        <v>264</v>
      </c>
      <c r="B144" s="76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  <c r="AA144" s="76"/>
      <c r="AB144" s="76"/>
      <c r="AC144" s="76"/>
      <c r="AD144" s="76"/>
      <c r="AE144" s="76"/>
      <c r="AF144" s="76"/>
      <c r="AG144" s="76"/>
      <c r="AH144" s="76"/>
      <c r="AI144" s="76"/>
      <c r="AJ144" s="76"/>
      <c r="AK144" s="76"/>
      <c r="AL144" s="76"/>
      <c r="AM144" s="76"/>
      <c r="AN144" s="76"/>
      <c r="AO144" s="76"/>
      <c r="AP144" s="76"/>
      <c r="AQ144" s="76"/>
      <c r="AR144" s="76"/>
      <c r="AS144" s="76"/>
      <c r="AT144" s="76"/>
      <c r="AU144" s="76"/>
      <c r="AV144" s="76"/>
      <c r="AW144" s="76"/>
      <c r="AX144" s="76"/>
      <c r="AY144" s="76"/>
      <c r="AZ144" s="76"/>
      <c r="BA144" s="76"/>
      <c r="BB144" s="76">
        <f t="shared" ref="BB144:CG144" si="276">BB95*BB147</f>
        <v>11.505614411486537</v>
      </c>
      <c r="BC144" s="76">
        <f t="shared" si="276"/>
        <v>13.470305325237755</v>
      </c>
      <c r="BD144" s="76">
        <f t="shared" si="276"/>
        <v>17.229710898315794</v>
      </c>
      <c r="BE144" s="76">
        <f t="shared" si="276"/>
        <v>17.231132478324916</v>
      </c>
      <c r="BF144" s="76">
        <f t="shared" si="276"/>
        <v>24.026542137271942</v>
      </c>
      <c r="BG144" s="76">
        <f t="shared" si="276"/>
        <v>19.982220294882914</v>
      </c>
      <c r="BH144" s="76">
        <f t="shared" si="276"/>
        <v>24.438544061302686</v>
      </c>
      <c r="BI144" s="76">
        <f t="shared" si="276"/>
        <v>29.061670235546039</v>
      </c>
      <c r="BJ144" s="76">
        <f t="shared" si="276"/>
        <v>32.947509578544057</v>
      </c>
      <c r="BK144" s="76">
        <f t="shared" si="276"/>
        <v>34.51</v>
      </c>
      <c r="BL144" s="76">
        <f t="shared" si="276"/>
        <v>36.83</v>
      </c>
      <c r="BM144" s="76">
        <f t="shared" si="276"/>
        <v>38.4</v>
      </c>
      <c r="BN144" s="76">
        <f t="shared" si="276"/>
        <v>42</v>
      </c>
      <c r="BO144" s="76">
        <f t="shared" si="276"/>
        <v>44.02</v>
      </c>
      <c r="BP144" s="76">
        <f t="shared" si="276"/>
        <v>47.52</v>
      </c>
      <c r="BQ144" s="76">
        <f t="shared" si="276"/>
        <v>43.56</v>
      </c>
      <c r="BR144" s="76">
        <f t="shared" si="276"/>
        <v>50.75</v>
      </c>
      <c r="BS144" s="76">
        <f t="shared" si="276"/>
        <v>49.91</v>
      </c>
      <c r="BT144" s="76">
        <f t="shared" si="276"/>
        <v>53.32</v>
      </c>
      <c r="BU144" s="76">
        <f t="shared" si="276"/>
        <v>52.160000000000004</v>
      </c>
      <c r="BV144" s="76">
        <f t="shared" si="276"/>
        <v>53.120000000000005</v>
      </c>
      <c r="BW144" s="76">
        <f t="shared" si="276"/>
        <v>73.149999999999991</v>
      </c>
      <c r="BX144" s="76">
        <f t="shared" si="276"/>
        <v>64.8</v>
      </c>
      <c r="BY144" s="76">
        <f t="shared" si="276"/>
        <v>65.2</v>
      </c>
      <c r="BZ144" s="76">
        <f t="shared" si="276"/>
        <v>57.35</v>
      </c>
      <c r="CA144" s="76">
        <f t="shared" si="276"/>
        <v>44.400000000000006</v>
      </c>
      <c r="CB144" s="76">
        <f t="shared" si="276"/>
        <v>50</v>
      </c>
      <c r="CC144" s="76">
        <f t="shared" si="276"/>
        <v>58</v>
      </c>
      <c r="CD144" s="76">
        <f t="shared" si="276"/>
        <v>61.6</v>
      </c>
      <c r="CE144" s="76">
        <f t="shared" si="276"/>
        <v>60.800000000000004</v>
      </c>
      <c r="CF144" s="76">
        <f t="shared" si="276"/>
        <v>54</v>
      </c>
      <c r="CG144" s="76">
        <f t="shared" si="276"/>
        <v>50</v>
      </c>
      <c r="CH144" s="76">
        <f t="shared" ref="CH144:DQ144" si="277">CH95*CH147</f>
        <v>55.2</v>
      </c>
      <c r="CI144" s="76">
        <f t="shared" si="277"/>
        <v>92.399999999999991</v>
      </c>
      <c r="CJ144" s="76">
        <f t="shared" si="277"/>
        <v>105.42</v>
      </c>
      <c r="CK144" s="76">
        <f t="shared" si="277"/>
        <v>129.36000000000001</v>
      </c>
      <c r="CL144" s="76">
        <f t="shared" si="277"/>
        <v>130.24</v>
      </c>
      <c r="CM144" s="76">
        <f t="shared" si="277"/>
        <v>111.32000000000001</v>
      </c>
      <c r="CN144" s="76">
        <f t="shared" si="277"/>
        <v>117.45</v>
      </c>
      <c r="CO144" s="76">
        <f t="shared" si="277"/>
        <v>129.26000000000002</v>
      </c>
      <c r="CP144" s="76">
        <f t="shared" si="277"/>
        <v>157.91999999999999</v>
      </c>
      <c r="CQ144" s="76">
        <f t="shared" si="277"/>
        <v>166.07999999999998</v>
      </c>
      <c r="CR144" s="76">
        <f t="shared" si="277"/>
        <v>220.01</v>
      </c>
      <c r="CS144" s="76">
        <f t="shared" si="277"/>
        <v>290.7</v>
      </c>
      <c r="CT144" s="76">
        <f t="shared" si="277"/>
        <v>283.5</v>
      </c>
      <c r="CU144" s="76">
        <f t="shared" si="277"/>
        <v>293</v>
      </c>
      <c r="CV144" s="76">
        <f t="shared" si="277"/>
        <v>301.92</v>
      </c>
      <c r="CW144" s="76">
        <f t="shared" si="277"/>
        <v>314.08</v>
      </c>
      <c r="CX144" s="76">
        <f t="shared" si="277"/>
        <v>374.54039999999998</v>
      </c>
      <c r="CY144" s="78">
        <f t="shared" si="277"/>
        <v>410.3462608940132</v>
      </c>
      <c r="CZ144" s="78">
        <f t="shared" si="277"/>
        <v>463.06481673320013</v>
      </c>
      <c r="DA144" s="78">
        <f t="shared" si="277"/>
        <v>517.84561257354153</v>
      </c>
      <c r="DB144" s="78">
        <f t="shared" si="277"/>
        <v>604.97926193515821</v>
      </c>
      <c r="DC144" s="78">
        <f t="shared" si="277"/>
        <v>682.4041953401902</v>
      </c>
      <c r="DD144" s="78">
        <f t="shared" si="277"/>
        <v>769.70021300585654</v>
      </c>
      <c r="DE144" s="78">
        <f t="shared" si="277"/>
        <v>821.43881026358804</v>
      </c>
      <c r="DF144" s="78">
        <f t="shared" si="277"/>
        <v>862.07517210658216</v>
      </c>
      <c r="DG144" s="78">
        <f t="shared" si="277"/>
        <v>904.7520636151296</v>
      </c>
      <c r="DH144" s="78">
        <f t="shared" si="277"/>
        <v>949.57133704104001</v>
      </c>
      <c r="DI144" s="78">
        <f t="shared" si="277"/>
        <v>996.639940733343</v>
      </c>
      <c r="DJ144" s="78">
        <f t="shared" si="277"/>
        <v>1046.070173873456</v>
      </c>
      <c r="DK144" s="78">
        <f t="shared" si="277"/>
        <v>1097.9799539485059</v>
      </c>
      <c r="DL144" s="78">
        <f t="shared" si="277"/>
        <v>1152.4930975996808</v>
      </c>
      <c r="DM144" s="78">
        <f t="shared" si="277"/>
        <v>1209.7396155143392</v>
      </c>
      <c r="DN144" s="78">
        <f t="shared" si="277"/>
        <v>1269.8560220640372</v>
      </c>
      <c r="DO144" s="78">
        <f t="shared" si="277"/>
        <v>1332.9856604257404</v>
      </c>
      <c r="DP144" s="78">
        <f t="shared" si="277"/>
        <v>1399.2790439603591</v>
      </c>
      <c r="DQ144" s="78">
        <f t="shared" si="277"/>
        <v>1468.8942146614418</v>
      </c>
      <c r="DT144" s="77"/>
      <c r="DU144" s="77"/>
      <c r="DV144" s="77"/>
      <c r="DW144" s="77"/>
      <c r="DX144" s="77"/>
      <c r="DY144" s="77"/>
      <c r="DZ144" s="77"/>
      <c r="EA144" s="77"/>
      <c r="EB144" s="77"/>
      <c r="EC144" s="76"/>
      <c r="ED144" s="76"/>
      <c r="EE144" s="76"/>
      <c r="EF144" s="76"/>
      <c r="EG144" s="76">
        <f>SUM(BB144:BE144)</f>
        <v>59.436763113365004</v>
      </c>
      <c r="EH144" s="76">
        <f>SUM(BF144:BI144)</f>
        <v>97.508976729003592</v>
      </c>
      <c r="EI144" s="76">
        <f>SUM(BJ144:BM144)</f>
        <v>142.68750957854405</v>
      </c>
      <c r="EJ144" s="76">
        <f>SUM(BN144:BQ144)</f>
        <v>177.10000000000002</v>
      </c>
      <c r="EK144" s="76">
        <f>SUM(BR144:BU144)</f>
        <v>206.14</v>
      </c>
      <c r="EL144" s="76">
        <f>BV144+BW144+BX144+BY144</f>
        <v>256.27</v>
      </c>
      <c r="EM144" s="76">
        <f>SUM(BZ144:CC144)</f>
        <v>209.75</v>
      </c>
      <c r="EN144" s="76">
        <f>+CD144+CE144+CF144+CG144</f>
        <v>226.4</v>
      </c>
      <c r="EO144" s="76">
        <f>SUM(CH144:CK144)</f>
        <v>382.38</v>
      </c>
      <c r="EP144" s="76">
        <f>SUM(CL144:CO144)</f>
        <v>488.27</v>
      </c>
      <c r="EQ144" s="76">
        <f>SUM(CP144:CS144)</f>
        <v>834.71</v>
      </c>
      <c r="ER144" s="76">
        <f>SUM(CT144:CW144)</f>
        <v>1192.5</v>
      </c>
      <c r="ES144" s="78">
        <f>SUM(CX144:DA144)</f>
        <v>1765.7970902007548</v>
      </c>
      <c r="ET144" s="78">
        <f>SUM(DB144:DE144)</f>
        <v>2878.5224805447929</v>
      </c>
      <c r="EU144" s="78">
        <f>SUM(DF144:DI144)</f>
        <v>3713.0385134960948</v>
      </c>
      <c r="EV144" s="78">
        <f>SUM(DJ144:DM144)</f>
        <v>4506.2828409359818</v>
      </c>
      <c r="EW144" s="78">
        <f>SUM(DN144:DQ144)</f>
        <v>5471.0149411115781</v>
      </c>
    </row>
    <row r="145" spans="1:153" s="49" customFormat="1">
      <c r="A145" s="69" t="s">
        <v>223</v>
      </c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52">
        <f t="shared" ref="BC145:DN145" si="278">BC144/BB144-1</f>
        <v>0.17075932179595599</v>
      </c>
      <c r="BD145" s="52">
        <f t="shared" si="278"/>
        <v>0.27908837122158436</v>
      </c>
      <c r="BE145" s="52">
        <f t="shared" si="278"/>
        <v>8.2507478942117629E-5</v>
      </c>
      <c r="BF145" s="52">
        <f t="shared" si="278"/>
        <v>0.39436813961560491</v>
      </c>
      <c r="BG145" s="52">
        <f t="shared" si="278"/>
        <v>-0.16832725322197506</v>
      </c>
      <c r="BH145" s="52">
        <f t="shared" si="278"/>
        <v>0.22301444487432431</v>
      </c>
      <c r="BI145" s="52">
        <f t="shared" si="278"/>
        <v>0.18917355152772219</v>
      </c>
      <c r="BJ145" s="52">
        <f t="shared" si="278"/>
        <v>0.13371011753636775</v>
      </c>
      <c r="BK145" s="52">
        <f t="shared" si="278"/>
        <v>4.7423627504564303E-2</v>
      </c>
      <c r="BL145" s="52">
        <f t="shared" si="278"/>
        <v>6.7226890756302504E-2</v>
      </c>
      <c r="BM145" s="52">
        <f t="shared" si="278"/>
        <v>4.2628292153136016E-2</v>
      </c>
      <c r="BN145" s="52">
        <f t="shared" si="278"/>
        <v>9.375E-2</v>
      </c>
      <c r="BO145" s="52">
        <f t="shared" si="278"/>
        <v>4.8095238095238191E-2</v>
      </c>
      <c r="BP145" s="52">
        <f t="shared" si="278"/>
        <v>7.9509313948205262E-2</v>
      </c>
      <c r="BQ145" s="52">
        <f t="shared" si="278"/>
        <v>-8.333333333333337E-2</v>
      </c>
      <c r="BR145" s="52">
        <f t="shared" si="278"/>
        <v>0.16505968778696056</v>
      </c>
      <c r="BS145" s="52">
        <f t="shared" si="278"/>
        <v>-1.6551724137931156E-2</v>
      </c>
      <c r="BT145" s="52">
        <f t="shared" si="278"/>
        <v>6.8322981366459645E-2</v>
      </c>
      <c r="BU145" s="52">
        <f t="shared" si="278"/>
        <v>-2.1755438859714871E-2</v>
      </c>
      <c r="BV145" s="52">
        <f t="shared" si="278"/>
        <v>1.8404907975460238E-2</v>
      </c>
      <c r="BW145" s="52">
        <f t="shared" si="278"/>
        <v>0.37707078313252995</v>
      </c>
      <c r="BX145" s="52">
        <f t="shared" si="278"/>
        <v>-0.11414900888585089</v>
      </c>
      <c r="BY145" s="52">
        <f t="shared" si="278"/>
        <v>6.1728395061728669E-3</v>
      </c>
      <c r="BZ145" s="52">
        <f t="shared" si="278"/>
        <v>-0.120398773006135</v>
      </c>
      <c r="CA145" s="52">
        <f t="shared" si="278"/>
        <v>-0.22580645161290314</v>
      </c>
      <c r="CB145" s="52">
        <f t="shared" si="278"/>
        <v>0.12612612612612595</v>
      </c>
      <c r="CC145" s="52">
        <f t="shared" si="278"/>
        <v>0.15999999999999992</v>
      </c>
      <c r="CD145" s="52">
        <f t="shared" si="278"/>
        <v>6.2068965517241503E-2</v>
      </c>
      <c r="CE145" s="52">
        <f t="shared" si="278"/>
        <v>-1.2987012987012991E-2</v>
      </c>
      <c r="CF145" s="52">
        <f t="shared" si="278"/>
        <v>-0.11184210526315796</v>
      </c>
      <c r="CG145" s="52">
        <f t="shared" si="278"/>
        <v>-7.407407407407407E-2</v>
      </c>
      <c r="CH145" s="52">
        <f t="shared" si="278"/>
        <v>0.10400000000000009</v>
      </c>
      <c r="CI145" s="52">
        <f t="shared" si="278"/>
        <v>0.67391304347826053</v>
      </c>
      <c r="CJ145" s="52">
        <f t="shared" si="278"/>
        <v>0.14090909090909109</v>
      </c>
      <c r="CK145" s="52">
        <f t="shared" si="278"/>
        <v>0.22709163346613548</v>
      </c>
      <c r="CL145" s="52">
        <f t="shared" si="278"/>
        <v>6.8027210884353817E-3</v>
      </c>
      <c r="CM145" s="52">
        <f t="shared" si="278"/>
        <v>-0.14527027027027029</v>
      </c>
      <c r="CN145" s="52">
        <f t="shared" si="278"/>
        <v>5.5066475026949391E-2</v>
      </c>
      <c r="CO145" s="52">
        <f t="shared" si="278"/>
        <v>0.10055342699020864</v>
      </c>
      <c r="CP145" s="52">
        <f t="shared" si="278"/>
        <v>0.22172365774408132</v>
      </c>
      <c r="CQ145" s="52">
        <f t="shared" si="278"/>
        <v>5.1671732522796443E-2</v>
      </c>
      <c r="CR145" s="52">
        <f t="shared" si="278"/>
        <v>0.32472302504816963</v>
      </c>
      <c r="CS145" s="52">
        <f t="shared" si="278"/>
        <v>0.32130357711013136</v>
      </c>
      <c r="CT145" s="52">
        <f t="shared" si="278"/>
        <v>-2.4767801857585092E-2</v>
      </c>
      <c r="CU145" s="52">
        <f t="shared" si="278"/>
        <v>3.3509700176366897E-2</v>
      </c>
      <c r="CV145" s="52">
        <f t="shared" si="278"/>
        <v>3.044368600682601E-2</v>
      </c>
      <c r="CW145" s="52">
        <f t="shared" si="278"/>
        <v>4.0275569687334256E-2</v>
      </c>
      <c r="CX145" s="52">
        <f t="shared" si="278"/>
        <v>0.19249999999999989</v>
      </c>
      <c r="CY145" s="53">
        <f t="shared" si="278"/>
        <v>9.5599462418508807E-2</v>
      </c>
      <c r="CZ145" s="53">
        <f t="shared" si="278"/>
        <v>0.12847334279184142</v>
      </c>
      <c r="DA145" s="53">
        <f t="shared" si="278"/>
        <v>0.11830049241660245</v>
      </c>
      <c r="DB145" s="53">
        <f t="shared" si="278"/>
        <v>0.16826182793861655</v>
      </c>
      <c r="DC145" s="53">
        <f t="shared" si="278"/>
        <v>0.12797948339149912</v>
      </c>
      <c r="DD145" s="53">
        <f t="shared" si="278"/>
        <v>0.12792421011149813</v>
      </c>
      <c r="DE145" s="53">
        <f t="shared" si="278"/>
        <v>6.7219154137531545E-2</v>
      </c>
      <c r="DF145" s="53">
        <f t="shared" si="278"/>
        <v>4.9469736924110608E-2</v>
      </c>
      <c r="DG145" s="53">
        <f t="shared" si="278"/>
        <v>4.9504837732725182E-2</v>
      </c>
      <c r="DH145" s="53">
        <f t="shared" si="278"/>
        <v>4.9537630504898233E-2</v>
      </c>
      <c r="DI145" s="53">
        <f t="shared" si="278"/>
        <v>4.9568265022587488E-2</v>
      </c>
      <c r="DJ145" s="53">
        <f t="shared" si="278"/>
        <v>4.9596881601736253E-2</v>
      </c>
      <c r="DK145" s="53">
        <f t="shared" si="278"/>
        <v>4.9623611657748423E-2</v>
      </c>
      <c r="DL145" s="53">
        <f t="shared" si="278"/>
        <v>4.9648578241467067E-2</v>
      </c>
      <c r="DM145" s="53">
        <f t="shared" si="278"/>
        <v>4.9671896546614303E-2</v>
      </c>
      <c r="DN145" s="53">
        <f t="shared" si="278"/>
        <v>4.9693674389706288E-2</v>
      </c>
      <c r="DO145" s="53">
        <f t="shared" ref="DO145:DQ145" si="279">DO144/DN144-1</f>
        <v>4.9714012663492069E-2</v>
      </c>
      <c r="DP145" s="53">
        <f t="shared" si="279"/>
        <v>4.9733005765002281E-2</v>
      </c>
      <c r="DQ145" s="53">
        <f t="shared" si="279"/>
        <v>4.9750741999288417E-2</v>
      </c>
      <c r="DT145" s="54" t="s">
        <v>224</v>
      </c>
      <c r="DU145" s="54" t="s">
        <v>224</v>
      </c>
      <c r="DV145" s="54" t="s">
        <v>224</v>
      </c>
      <c r="DW145" s="54" t="s">
        <v>224</v>
      </c>
      <c r="DX145" s="54" t="s">
        <v>224</v>
      </c>
      <c r="DY145" s="54" t="s">
        <v>224</v>
      </c>
      <c r="DZ145" s="54" t="s">
        <v>224</v>
      </c>
      <c r="EA145" s="54" t="s">
        <v>224</v>
      </c>
      <c r="EB145" s="54" t="s">
        <v>224</v>
      </c>
      <c r="EC145" s="54" t="s">
        <v>224</v>
      </c>
      <c r="ED145" s="54" t="s">
        <v>224</v>
      </c>
      <c r="EE145" s="54" t="s">
        <v>224</v>
      </c>
      <c r="EF145" s="54" t="s">
        <v>224</v>
      </c>
      <c r="EG145" s="54" t="s">
        <v>224</v>
      </c>
      <c r="EH145" s="54" t="s">
        <v>224</v>
      </c>
      <c r="EI145" s="54" t="s">
        <v>224</v>
      </c>
      <c r="EJ145" s="54" t="s">
        <v>224</v>
      </c>
      <c r="EK145" s="54" t="s">
        <v>224</v>
      </c>
      <c r="EL145" s="54" t="s">
        <v>224</v>
      </c>
      <c r="EM145" s="54" t="s">
        <v>224</v>
      </c>
      <c r="EN145" s="54" t="s">
        <v>224</v>
      </c>
      <c r="EO145" s="54" t="s">
        <v>224</v>
      </c>
      <c r="EP145" s="54" t="s">
        <v>224</v>
      </c>
      <c r="EQ145" s="54" t="s">
        <v>224</v>
      </c>
      <c r="ER145" s="54" t="s">
        <v>224</v>
      </c>
      <c r="ES145" s="55" t="s">
        <v>224</v>
      </c>
      <c r="ET145" s="55" t="s">
        <v>224</v>
      </c>
      <c r="EU145" s="55" t="s">
        <v>224</v>
      </c>
      <c r="EV145" s="55" t="s">
        <v>224</v>
      </c>
      <c r="EW145" s="55" t="s">
        <v>224</v>
      </c>
    </row>
    <row r="146" spans="1:153" s="49" customFormat="1">
      <c r="A146" s="69" t="s">
        <v>225</v>
      </c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91">
        <f t="shared" ref="BF146:DQ146" si="280">BF144/BB144-1</f>
        <v>1.088245032206645</v>
      </c>
      <c r="BG146" s="91">
        <f t="shared" si="280"/>
        <v>0.48342742145900264</v>
      </c>
      <c r="BH146" s="91">
        <f t="shared" si="280"/>
        <v>0.41839548008269567</v>
      </c>
      <c r="BI146" s="91">
        <f t="shared" si="280"/>
        <v>0.6865792351200819</v>
      </c>
      <c r="BJ146" s="91">
        <f t="shared" si="280"/>
        <v>0.37129635177228337</v>
      </c>
      <c r="BK146" s="91">
        <f t="shared" si="280"/>
        <v>0.7270353089259749</v>
      </c>
      <c r="BL146" s="91">
        <f t="shared" si="280"/>
        <v>0.50704558780646081</v>
      </c>
      <c r="BM146" s="91">
        <f t="shared" si="280"/>
        <v>0.32132804786395308</v>
      </c>
      <c r="BN146" s="91">
        <f t="shared" si="280"/>
        <v>0.27475492191224893</v>
      </c>
      <c r="BO146" s="91">
        <f t="shared" si="280"/>
        <v>0.2755722978846713</v>
      </c>
      <c r="BP146" s="91">
        <f t="shared" si="280"/>
        <v>0.29025251153950604</v>
      </c>
      <c r="BQ146" s="91">
        <f t="shared" si="280"/>
        <v>0.13437500000000013</v>
      </c>
      <c r="BR146" s="91">
        <f t="shared" si="280"/>
        <v>0.20833333333333326</v>
      </c>
      <c r="BS146" s="91">
        <f t="shared" si="280"/>
        <v>0.13380281690140827</v>
      </c>
      <c r="BT146" s="91">
        <f t="shared" si="280"/>
        <v>0.12205387205387197</v>
      </c>
      <c r="BU146" s="91">
        <f t="shared" si="280"/>
        <v>0.19742883379247012</v>
      </c>
      <c r="BV146" s="91">
        <f t="shared" si="280"/>
        <v>4.6699507389162731E-2</v>
      </c>
      <c r="BW146" s="91">
        <f t="shared" si="280"/>
        <v>0.46563814866760156</v>
      </c>
      <c r="BX146" s="91">
        <f t="shared" si="280"/>
        <v>0.215303825956489</v>
      </c>
      <c r="BY146" s="91">
        <f t="shared" si="280"/>
        <v>0.25</v>
      </c>
      <c r="BZ146" s="91">
        <f t="shared" si="280"/>
        <v>7.9631024096385561E-2</v>
      </c>
      <c r="CA146" s="91">
        <f t="shared" si="280"/>
        <v>-0.39302802460697184</v>
      </c>
      <c r="CB146" s="91">
        <f t="shared" si="280"/>
        <v>-0.22839506172839508</v>
      </c>
      <c r="CC146" s="91">
        <f t="shared" si="280"/>
        <v>-0.11042944785276076</v>
      </c>
      <c r="CD146" s="91">
        <f t="shared" si="280"/>
        <v>7.4106364428945026E-2</v>
      </c>
      <c r="CE146" s="91">
        <f t="shared" si="280"/>
        <v>0.36936936936936937</v>
      </c>
      <c r="CF146" s="91">
        <f t="shared" si="280"/>
        <v>8.0000000000000071E-2</v>
      </c>
      <c r="CG146" s="91">
        <f t="shared" si="280"/>
        <v>-0.13793103448275867</v>
      </c>
      <c r="CH146" s="91">
        <f t="shared" si="280"/>
        <v>-0.10389610389610382</v>
      </c>
      <c r="CI146" s="91">
        <f t="shared" si="280"/>
        <v>0.51973684210526283</v>
      </c>
      <c r="CJ146" s="91">
        <f t="shared" si="280"/>
        <v>0.9522222222222223</v>
      </c>
      <c r="CK146" s="91">
        <f t="shared" si="280"/>
        <v>1.5872000000000002</v>
      </c>
      <c r="CL146" s="91">
        <f t="shared" si="280"/>
        <v>1.3594202898550725</v>
      </c>
      <c r="CM146" s="91">
        <f t="shared" si="280"/>
        <v>0.20476190476190492</v>
      </c>
      <c r="CN146" s="91">
        <f t="shared" si="280"/>
        <v>0.11411496869664206</v>
      </c>
      <c r="CO146" s="91">
        <f t="shared" si="280"/>
        <v>-7.7303648732218733E-4</v>
      </c>
      <c r="CP146" s="91">
        <f t="shared" si="280"/>
        <v>0.21253071253071232</v>
      </c>
      <c r="CQ146" s="91">
        <f t="shared" si="280"/>
        <v>0.49191519942508055</v>
      </c>
      <c r="CR146" s="91">
        <f t="shared" si="280"/>
        <v>0.87322264793529158</v>
      </c>
      <c r="CS146" s="91">
        <f t="shared" si="280"/>
        <v>1.2489555933776879</v>
      </c>
      <c r="CT146" s="91">
        <f t="shared" si="280"/>
        <v>0.79521276595744705</v>
      </c>
      <c r="CU146" s="91">
        <f t="shared" si="280"/>
        <v>0.76421001926782295</v>
      </c>
      <c r="CV146" s="91">
        <f t="shared" si="280"/>
        <v>0.3723012590336805</v>
      </c>
      <c r="CW146" s="91">
        <f t="shared" si="280"/>
        <v>8.0426556587547271E-2</v>
      </c>
      <c r="CX146" s="91">
        <f t="shared" si="280"/>
        <v>0.32113015873015871</v>
      </c>
      <c r="CY146" s="100">
        <f t="shared" si="280"/>
        <v>0.40049918393861161</v>
      </c>
      <c r="CZ146" s="100">
        <f t="shared" si="280"/>
        <v>0.53373349474430354</v>
      </c>
      <c r="DA146" s="100">
        <f t="shared" si="280"/>
        <v>0.64876978022650778</v>
      </c>
      <c r="DB146" s="100">
        <f t="shared" si="280"/>
        <v>0.61525769165397981</v>
      </c>
      <c r="DC146" s="100">
        <f t="shared" si="280"/>
        <v>0.66299601183997581</v>
      </c>
      <c r="DD146" s="100">
        <f t="shared" si="280"/>
        <v>0.66218677211516108</v>
      </c>
      <c r="DE146" s="100">
        <f t="shared" si="280"/>
        <v>0.58626198681355413</v>
      </c>
      <c r="DF146" s="100">
        <f t="shared" si="280"/>
        <v>0.42496648455196073</v>
      </c>
      <c r="DG146" s="100">
        <f t="shared" si="280"/>
        <v>0.32583016017962074</v>
      </c>
      <c r="DH146" s="100">
        <f t="shared" si="280"/>
        <v>0.23368984572934615</v>
      </c>
      <c r="DI146" s="100">
        <f t="shared" si="280"/>
        <v>0.21328567421051781</v>
      </c>
      <c r="DJ146" s="100">
        <f t="shared" si="280"/>
        <v>0.21343266541044259</v>
      </c>
      <c r="DK146" s="100">
        <f t="shared" si="280"/>
        <v>0.21356999127616594</v>
      </c>
      <c r="DL146" s="100">
        <f t="shared" si="280"/>
        <v>0.21369827904764427</v>
      </c>
      <c r="DM146" s="100">
        <f t="shared" si="280"/>
        <v>0.21381811632413017</v>
      </c>
      <c r="DN146" s="100">
        <f t="shared" si="280"/>
        <v>0.21393005343220195</v>
      </c>
      <c r="DO146" s="100">
        <f t="shared" si="280"/>
        <v>0.21403460567027444</v>
      </c>
      <c r="DP146" s="100">
        <f t="shared" si="280"/>
        <v>0.21413225543360226</v>
      </c>
      <c r="DQ146" s="100">
        <f t="shared" si="280"/>
        <v>0.21422345422400579</v>
      </c>
      <c r="EC146" s="35"/>
      <c r="ED146" s="35"/>
      <c r="EE146" s="35"/>
      <c r="EF146" s="35"/>
      <c r="EG146" s="35"/>
      <c r="EH146" s="52">
        <f t="shared" ref="EH146:ET146" si="281">EH144/EG144-1</f>
        <v>0.64054991593372357</v>
      </c>
      <c r="EI146" s="52">
        <f t="shared" si="281"/>
        <v>0.46332690963520617</v>
      </c>
      <c r="EJ146" s="52">
        <f t="shared" si="281"/>
        <v>0.24117381067971611</v>
      </c>
      <c r="EK146" s="52">
        <f t="shared" si="281"/>
        <v>0.16397515527950279</v>
      </c>
      <c r="EL146" s="52">
        <f t="shared" si="281"/>
        <v>0.24318424371786174</v>
      </c>
      <c r="EM146" s="52">
        <f t="shared" si="281"/>
        <v>-0.18152729543060053</v>
      </c>
      <c r="EN146" s="52">
        <f t="shared" si="281"/>
        <v>7.9380214541120431E-2</v>
      </c>
      <c r="EO146" s="52">
        <f t="shared" si="281"/>
        <v>0.68895759717314475</v>
      </c>
      <c r="EP146" s="52">
        <f t="shared" si="281"/>
        <v>0.27692347926146765</v>
      </c>
      <c r="EQ146" s="52">
        <f t="shared" si="281"/>
        <v>0.70952546746677059</v>
      </c>
      <c r="ER146" s="52">
        <f t="shared" si="281"/>
        <v>0.42863988690682975</v>
      </c>
      <c r="ES146" s="53">
        <f t="shared" si="281"/>
        <v>0.48075227689790756</v>
      </c>
      <c r="ET146" s="53">
        <f t="shared" si="281"/>
        <v>0.63015473098187713</v>
      </c>
      <c r="EU146" s="53">
        <f>EU144/ET144-1</f>
        <v>0.28991124390779821</v>
      </c>
      <c r="EV146" s="53">
        <f>EV144/EU144-1</f>
        <v>0.21363751670137954</v>
      </c>
      <c r="EW146" s="53">
        <f>EW144/EV144-1</f>
        <v>0.21408600707700276</v>
      </c>
    </row>
    <row r="147" spans="1:153" s="52" customFormat="1">
      <c r="A147" s="107" t="s">
        <v>277</v>
      </c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108"/>
      <c r="AV147" s="108"/>
      <c r="AW147" s="108"/>
      <c r="AX147" s="108"/>
      <c r="AY147" s="108"/>
      <c r="AZ147" s="108"/>
      <c r="BA147" s="108"/>
      <c r="BB147" s="100">
        <f>BB131*0.6</f>
        <v>0.32873184032818675</v>
      </c>
      <c r="BC147" s="100">
        <f>BC131*0.6</f>
        <v>0.33675763313094387</v>
      </c>
      <c r="BD147" s="100">
        <f>BD131*0.6</f>
        <v>0.33134059419838063</v>
      </c>
      <c r="BE147" s="100">
        <f>BE131*0.55</f>
        <v>0.30769879425580204</v>
      </c>
      <c r="BF147" s="100">
        <f>BF131*0.55</f>
        <v>0.31203301476976547</v>
      </c>
      <c r="BG147" s="100">
        <f>BG131*0.5</f>
        <v>0.28143972246313964</v>
      </c>
      <c r="BH147" s="100">
        <f>BH131*0.55</f>
        <v>0.30934865900383146</v>
      </c>
      <c r="BI147" s="100">
        <f>BI131*0.55</f>
        <v>0.31249107780157032</v>
      </c>
      <c r="BJ147" s="100">
        <f>BJ131*0.5</f>
        <v>0.29157088122605362</v>
      </c>
      <c r="BK147" s="100">
        <v>0.28999999999999998</v>
      </c>
      <c r="BL147" s="100">
        <v>0.28999999999999998</v>
      </c>
      <c r="BM147" s="100">
        <v>0.3</v>
      </c>
      <c r="BN147" s="100">
        <v>0.3</v>
      </c>
      <c r="BO147" s="100">
        <v>0.31</v>
      </c>
      <c r="BP147" s="100">
        <v>0.33</v>
      </c>
      <c r="BQ147" s="100">
        <v>0.33</v>
      </c>
      <c r="BR147" s="100">
        <v>0.35</v>
      </c>
      <c r="BS147" s="100">
        <v>0.31</v>
      </c>
      <c r="BT147" s="100">
        <f>BS147</f>
        <v>0.31</v>
      </c>
      <c r="BU147" s="100">
        <v>0.32</v>
      </c>
      <c r="BV147" s="100">
        <v>0.32</v>
      </c>
      <c r="BW147" s="100">
        <v>0.35</v>
      </c>
      <c r="BX147" s="100">
        <v>0.4</v>
      </c>
      <c r="BY147" s="100">
        <v>0.4</v>
      </c>
      <c r="BZ147" s="100">
        <v>0.37</v>
      </c>
      <c r="CA147" s="100">
        <v>0.4</v>
      </c>
      <c r="CB147" s="100">
        <v>0.4</v>
      </c>
      <c r="CC147" s="100">
        <v>0.4</v>
      </c>
      <c r="CD147" s="100">
        <f>CC147</f>
        <v>0.4</v>
      </c>
      <c r="CE147" s="100">
        <f>CD147</f>
        <v>0.4</v>
      </c>
      <c r="CF147" s="100">
        <f>CE147</f>
        <v>0.4</v>
      </c>
      <c r="CG147" s="100">
        <f>CF147</f>
        <v>0.4</v>
      </c>
      <c r="CH147" s="100">
        <f>CG147</f>
        <v>0.4</v>
      </c>
      <c r="CI147" s="100">
        <v>0.42</v>
      </c>
      <c r="CJ147" s="100">
        <v>0.42</v>
      </c>
      <c r="CK147" s="100">
        <v>0.44</v>
      </c>
      <c r="CL147" s="100">
        <v>0.44</v>
      </c>
      <c r="CM147" s="100">
        <v>0.44</v>
      </c>
      <c r="CN147" s="100">
        <v>0.45</v>
      </c>
      <c r="CO147" s="100">
        <f>CN147+0.01</f>
        <v>0.46</v>
      </c>
      <c r="CP147" s="100">
        <v>0.48</v>
      </c>
      <c r="CQ147" s="100">
        <v>0.48</v>
      </c>
      <c r="CR147" s="100">
        <f>CQ147+0.01</f>
        <v>0.49</v>
      </c>
      <c r="CS147" s="100">
        <f>CR147+0.02</f>
        <v>0.51</v>
      </c>
      <c r="CT147" s="100">
        <v>0.5</v>
      </c>
      <c r="CU147" s="100">
        <v>0.5</v>
      </c>
      <c r="CV147" s="100">
        <f>CU147+0.01</f>
        <v>0.51</v>
      </c>
      <c r="CW147" s="100">
        <v>0.52</v>
      </c>
      <c r="CX147" s="100">
        <v>0.53</v>
      </c>
      <c r="CY147" s="100">
        <f t="shared" ref="CY147:DE147" si="282">CX147+0.01</f>
        <v>0.54</v>
      </c>
      <c r="CZ147" s="100">
        <f t="shared" si="282"/>
        <v>0.55000000000000004</v>
      </c>
      <c r="DA147" s="100">
        <f t="shared" si="282"/>
        <v>0.56000000000000005</v>
      </c>
      <c r="DB147" s="100">
        <f t="shared" si="282"/>
        <v>0.57000000000000006</v>
      </c>
      <c r="DC147" s="100">
        <f t="shared" si="282"/>
        <v>0.58000000000000007</v>
      </c>
      <c r="DD147" s="100">
        <f t="shared" si="282"/>
        <v>0.59000000000000008</v>
      </c>
      <c r="DE147" s="100">
        <f t="shared" si="282"/>
        <v>0.60000000000000009</v>
      </c>
      <c r="DF147" s="100">
        <f>DE147</f>
        <v>0.60000000000000009</v>
      </c>
      <c r="DG147" s="100">
        <f t="shared" ref="DG147:DQ147" si="283">DF147</f>
        <v>0.60000000000000009</v>
      </c>
      <c r="DH147" s="100">
        <f t="shared" si="283"/>
        <v>0.60000000000000009</v>
      </c>
      <c r="DI147" s="100">
        <f t="shared" si="283"/>
        <v>0.60000000000000009</v>
      </c>
      <c r="DJ147" s="100">
        <f t="shared" si="283"/>
        <v>0.60000000000000009</v>
      </c>
      <c r="DK147" s="100">
        <f t="shared" si="283"/>
        <v>0.60000000000000009</v>
      </c>
      <c r="DL147" s="100">
        <f t="shared" si="283"/>
        <v>0.60000000000000009</v>
      </c>
      <c r="DM147" s="100">
        <f t="shared" si="283"/>
        <v>0.60000000000000009</v>
      </c>
      <c r="DN147" s="100">
        <f t="shared" si="283"/>
        <v>0.60000000000000009</v>
      </c>
      <c r="DO147" s="100">
        <f t="shared" si="283"/>
        <v>0.60000000000000009</v>
      </c>
      <c r="DP147" s="100">
        <f t="shared" si="283"/>
        <v>0.60000000000000009</v>
      </c>
      <c r="DQ147" s="100">
        <f t="shared" si="283"/>
        <v>0.60000000000000009</v>
      </c>
      <c r="EC147" s="79"/>
      <c r="ED147" s="79"/>
      <c r="EE147" s="79"/>
      <c r="EG147" s="52">
        <f t="shared" ref="EG147:EW147" si="284">EG144/EG95</f>
        <v>0.32479105526428964</v>
      </c>
      <c r="EH147" s="52">
        <f t="shared" si="284"/>
        <v>0.30471555227813624</v>
      </c>
      <c r="EI147" s="52">
        <f t="shared" si="284"/>
        <v>0.29299283281015204</v>
      </c>
      <c r="EJ147" s="52">
        <f t="shared" si="284"/>
        <v>0.3173835125448029</v>
      </c>
      <c r="EK147" s="52">
        <f t="shared" si="284"/>
        <v>0.32159126365054602</v>
      </c>
      <c r="EL147" s="52">
        <f t="shared" si="284"/>
        <v>0.36609999999999998</v>
      </c>
      <c r="EM147" s="52">
        <f t="shared" si="284"/>
        <v>0.39132462686567165</v>
      </c>
      <c r="EN147" s="52">
        <f t="shared" si="284"/>
        <v>0.4</v>
      </c>
      <c r="EO147" s="52">
        <f t="shared" si="284"/>
        <v>0.42345514950166113</v>
      </c>
      <c r="EP147" s="52">
        <f t="shared" si="284"/>
        <v>0.44754353803849678</v>
      </c>
      <c r="EQ147" s="52">
        <f t="shared" si="284"/>
        <v>0.49274498229043684</v>
      </c>
      <c r="ER147" s="52">
        <f t="shared" si="284"/>
        <v>0.5076628352490421</v>
      </c>
      <c r="ES147" s="65">
        <f t="shared" si="284"/>
        <v>0.54613843742606627</v>
      </c>
      <c r="ET147" s="65">
        <f t="shared" si="284"/>
        <v>0.58607003555271642</v>
      </c>
      <c r="EU147" s="65">
        <f t="shared" si="284"/>
        <v>0.60000000000000009</v>
      </c>
      <c r="EV147" s="65">
        <f t="shared" si="284"/>
        <v>0.60000000000000009</v>
      </c>
      <c r="EW147" s="65">
        <f t="shared" si="284"/>
        <v>0.60000000000000009</v>
      </c>
    </row>
    <row r="148" spans="1:153" s="49" customFormat="1">
      <c r="A148" s="76" t="s">
        <v>279</v>
      </c>
      <c r="B148" s="76"/>
      <c r="C148" s="76"/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  <c r="AA148" s="76"/>
      <c r="AB148" s="76"/>
      <c r="AC148" s="76"/>
      <c r="AD148" s="76"/>
      <c r="AE148" s="76"/>
      <c r="AF148" s="76"/>
      <c r="AG148" s="76"/>
      <c r="AH148" s="76"/>
      <c r="AI148" s="76"/>
      <c r="AJ148" s="76"/>
      <c r="AK148" s="76"/>
      <c r="AL148" s="76"/>
      <c r="AM148" s="76"/>
      <c r="AN148" s="76"/>
      <c r="AO148" s="76"/>
      <c r="AP148" s="76"/>
      <c r="AQ148" s="76"/>
      <c r="AR148" s="76"/>
      <c r="AS148" s="76"/>
      <c r="AT148" s="76"/>
      <c r="AU148" s="76"/>
      <c r="AV148" s="76"/>
      <c r="AW148" s="76"/>
      <c r="AX148" s="76"/>
      <c r="AY148" s="76"/>
      <c r="AZ148" s="76"/>
      <c r="BA148" s="76"/>
      <c r="BB148" s="76" t="e">
        <f t="shared" ref="BB148:CG148" si="285">BB99*BB151</f>
        <v>#REF!</v>
      </c>
      <c r="BC148" s="76" t="e">
        <f t="shared" si="285"/>
        <v>#REF!</v>
      </c>
      <c r="BD148" s="76" t="e">
        <f t="shared" si="285"/>
        <v>#REF!</v>
      </c>
      <c r="BE148" s="76" t="e">
        <f t="shared" si="285"/>
        <v>#REF!</v>
      </c>
      <c r="BF148" s="76" t="e">
        <f t="shared" si="285"/>
        <v>#REF!</v>
      </c>
      <c r="BG148" s="76" t="e">
        <f t="shared" si="285"/>
        <v>#REF!</v>
      </c>
      <c r="BH148" s="76" t="e">
        <f t="shared" si="285"/>
        <v>#REF!</v>
      </c>
      <c r="BI148" s="76" t="e">
        <f t="shared" si="285"/>
        <v>#REF!</v>
      </c>
      <c r="BJ148" s="76" t="e">
        <f t="shared" si="285"/>
        <v>#REF!</v>
      </c>
      <c r="BK148" s="76" t="e">
        <f t="shared" si="285"/>
        <v>#REF!</v>
      </c>
      <c r="BL148" s="76" t="e">
        <f t="shared" si="285"/>
        <v>#REF!</v>
      </c>
      <c r="BM148" s="76" t="e">
        <f t="shared" si="285"/>
        <v>#REF!</v>
      </c>
      <c r="BN148" s="76" t="e">
        <f t="shared" si="285"/>
        <v>#REF!</v>
      </c>
      <c r="BO148" s="76">
        <f t="shared" si="285"/>
        <v>102.91</v>
      </c>
      <c r="BP148" s="76">
        <f t="shared" si="285"/>
        <v>78.31</v>
      </c>
      <c r="BQ148" s="76">
        <f t="shared" si="285"/>
        <v>73.8</v>
      </c>
      <c r="BR148" s="76">
        <f t="shared" si="285"/>
        <v>201.24</v>
      </c>
      <c r="BS148" s="76">
        <f t="shared" si="285"/>
        <v>47.559999999999995</v>
      </c>
      <c r="BT148" s="76">
        <f t="shared" si="285"/>
        <v>44.4</v>
      </c>
      <c r="BU148" s="76">
        <f t="shared" si="285"/>
        <v>34.799999999999997</v>
      </c>
      <c r="BV148" s="76">
        <f t="shared" si="285"/>
        <v>29.7</v>
      </c>
      <c r="BW148" s="76">
        <f t="shared" si="285"/>
        <v>33.299999999999997</v>
      </c>
      <c r="BX148" s="76">
        <f t="shared" si="285"/>
        <v>42.9</v>
      </c>
      <c r="BY148" s="76">
        <f t="shared" si="285"/>
        <v>45.6</v>
      </c>
      <c r="BZ148" s="76">
        <f t="shared" si="285"/>
        <v>41.4</v>
      </c>
      <c r="CA148" s="76">
        <f t="shared" si="285"/>
        <v>43.8</v>
      </c>
      <c r="CB148" s="76">
        <f t="shared" si="285"/>
        <v>58.199999999999996</v>
      </c>
      <c r="CC148" s="76">
        <f t="shared" si="285"/>
        <v>45.9</v>
      </c>
      <c r="CD148" s="76">
        <f t="shared" si="285"/>
        <v>163.5</v>
      </c>
      <c r="CE148" s="76">
        <f t="shared" si="285"/>
        <v>192.23</v>
      </c>
      <c r="CF148" s="76">
        <f t="shared" si="285"/>
        <v>84.24</v>
      </c>
      <c r="CG148" s="76">
        <f t="shared" si="285"/>
        <v>57.599999999999994</v>
      </c>
      <c r="CH148" s="76">
        <f t="shared" ref="CH148:DQ148" si="286">CH99*CH151</f>
        <v>45.82</v>
      </c>
      <c r="CI148" s="76">
        <f t="shared" si="286"/>
        <v>37.800000000000004</v>
      </c>
      <c r="CJ148" s="76">
        <f t="shared" si="286"/>
        <v>10.95</v>
      </c>
      <c r="CK148" s="76">
        <f t="shared" si="286"/>
        <v>12.6</v>
      </c>
      <c r="CL148" s="76">
        <f t="shared" si="286"/>
        <v>11.549999999999999</v>
      </c>
      <c r="CM148" s="76">
        <f t="shared" si="286"/>
        <v>9.9</v>
      </c>
      <c r="CN148" s="76">
        <f t="shared" si="286"/>
        <v>18.25</v>
      </c>
      <c r="CO148" s="76">
        <f t="shared" si="286"/>
        <v>27</v>
      </c>
      <c r="CP148" s="76">
        <f t="shared" si="286"/>
        <v>23.4</v>
      </c>
      <c r="CQ148" s="76">
        <f t="shared" si="286"/>
        <v>26.4</v>
      </c>
      <c r="CR148" s="76">
        <f t="shared" si="286"/>
        <v>29.099999999999998</v>
      </c>
      <c r="CS148" s="76">
        <f t="shared" si="286"/>
        <v>37.799999999999997</v>
      </c>
      <c r="CT148" s="76">
        <f t="shared" si="286"/>
        <v>33.299999999999997</v>
      </c>
      <c r="CU148" s="76">
        <f t="shared" si="286"/>
        <v>51.9</v>
      </c>
      <c r="CV148" s="76">
        <f t="shared" si="286"/>
        <v>52.199999999999996</v>
      </c>
      <c r="CW148" s="76">
        <f t="shared" si="286"/>
        <v>48.3</v>
      </c>
      <c r="CX148" s="76">
        <f t="shared" si="286"/>
        <v>49.977000000003315</v>
      </c>
      <c r="CY148" s="78">
        <f t="shared" si="286"/>
        <v>49.977000000003315</v>
      </c>
      <c r="CZ148" s="78">
        <f t="shared" si="286"/>
        <v>49.977000000003315</v>
      </c>
      <c r="DA148" s="78">
        <f t="shared" si="286"/>
        <v>49.977000000003315</v>
      </c>
      <c r="DB148" s="78">
        <f t="shared" si="286"/>
        <v>49.977000000003315</v>
      </c>
      <c r="DC148" s="78">
        <f t="shared" si="286"/>
        <v>49.977000000003315</v>
      </c>
      <c r="DD148" s="78">
        <f t="shared" si="286"/>
        <v>49.977000000003315</v>
      </c>
      <c r="DE148" s="78">
        <f t="shared" si="286"/>
        <v>49.977000000003315</v>
      </c>
      <c r="DF148" s="78">
        <f t="shared" si="286"/>
        <v>49.977000000003315</v>
      </c>
      <c r="DG148" s="78">
        <f t="shared" si="286"/>
        <v>49.977000000003315</v>
      </c>
      <c r="DH148" s="78">
        <f t="shared" si="286"/>
        <v>49.977000000003315</v>
      </c>
      <c r="DI148" s="78">
        <f t="shared" si="286"/>
        <v>49.977000000003315</v>
      </c>
      <c r="DJ148" s="78">
        <f t="shared" si="286"/>
        <v>49.977000000003315</v>
      </c>
      <c r="DK148" s="78">
        <f t="shared" si="286"/>
        <v>49.977000000003315</v>
      </c>
      <c r="DL148" s="78">
        <f t="shared" si="286"/>
        <v>49.977000000003315</v>
      </c>
      <c r="DM148" s="78">
        <f t="shared" si="286"/>
        <v>49.977000000003315</v>
      </c>
      <c r="DN148" s="78">
        <f t="shared" si="286"/>
        <v>49.977000000003315</v>
      </c>
      <c r="DO148" s="78">
        <f t="shared" si="286"/>
        <v>49.977000000003315</v>
      </c>
      <c r="DP148" s="78">
        <f t="shared" si="286"/>
        <v>49.977000000003315</v>
      </c>
      <c r="DQ148" s="78">
        <f t="shared" si="286"/>
        <v>49.977000000003315</v>
      </c>
      <c r="DT148" s="77"/>
      <c r="DU148" s="77"/>
      <c r="DV148" s="77"/>
      <c r="DW148" s="77"/>
      <c r="DX148" s="77"/>
      <c r="DY148" s="77"/>
      <c r="DZ148" s="77"/>
      <c r="EA148" s="77"/>
      <c r="EB148" s="77"/>
      <c r="EC148" s="76"/>
      <c r="ED148" s="76"/>
      <c r="EE148" s="76"/>
      <c r="EF148" s="76"/>
      <c r="EG148" s="76" t="e">
        <f>SUM(BB148:BE148)</f>
        <v>#REF!</v>
      </c>
      <c r="EH148" s="76" t="e">
        <f>SUM(BF148:BI148)</f>
        <v>#REF!</v>
      </c>
      <c r="EI148" s="76" t="e">
        <f>SUM(BJ148:BM148)</f>
        <v>#REF!</v>
      </c>
      <c r="EJ148" s="76" t="e">
        <f>SUM(BN148:BQ148)</f>
        <v>#REF!</v>
      </c>
      <c r="EK148" s="76">
        <f>SUM(BR148:BU148)</f>
        <v>328</v>
      </c>
      <c r="EL148" s="76">
        <f>BV148+BW148+BX148+BY148</f>
        <v>151.5</v>
      </c>
      <c r="EM148" s="76">
        <f>SUM(BZ148:CC148)</f>
        <v>189.29999999999998</v>
      </c>
      <c r="EN148" s="76">
        <f>+CD148+CE148+CF148+CG148</f>
        <v>497.57000000000005</v>
      </c>
      <c r="EO148" s="76">
        <f>SUM(CH148:CK148)</f>
        <v>107.17</v>
      </c>
      <c r="EP148" s="76">
        <f>SUM(CL148:CO148)</f>
        <v>66.7</v>
      </c>
      <c r="EQ148" s="76">
        <f>SUM(CP148:CS148)</f>
        <v>116.69999999999999</v>
      </c>
      <c r="ER148" s="76">
        <f>SUM(CT148:CW148)</f>
        <v>185.7</v>
      </c>
      <c r="ES148" s="78">
        <f>SUM(CX148:DA148)</f>
        <v>199.90800000001326</v>
      </c>
      <c r="ET148" s="78">
        <f>SUM(DB148:DE148)</f>
        <v>199.90800000001326</v>
      </c>
      <c r="EU148" s="78">
        <f>SUM(DF148:DI148)</f>
        <v>199.90800000001326</v>
      </c>
      <c r="EV148" s="78">
        <f>SUM(DJ148:DM148)</f>
        <v>199.90800000001326</v>
      </c>
      <c r="EW148" s="78">
        <f>SUM(DN148:DQ148)</f>
        <v>199.90800000001326</v>
      </c>
    </row>
    <row r="149" spans="1:153" s="49" customFormat="1">
      <c r="A149" s="69" t="s">
        <v>223</v>
      </c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52" t="e">
        <f t="shared" ref="BC149:DN149" si="287">BC148/BB148-1</f>
        <v>#REF!</v>
      </c>
      <c r="BD149" s="52" t="e">
        <f t="shared" si="287"/>
        <v>#REF!</v>
      </c>
      <c r="BE149" s="52" t="e">
        <f t="shared" si="287"/>
        <v>#REF!</v>
      </c>
      <c r="BF149" s="52" t="e">
        <f t="shared" si="287"/>
        <v>#REF!</v>
      </c>
      <c r="BG149" s="52" t="e">
        <f t="shared" si="287"/>
        <v>#REF!</v>
      </c>
      <c r="BH149" s="52" t="e">
        <f t="shared" si="287"/>
        <v>#REF!</v>
      </c>
      <c r="BI149" s="52" t="e">
        <f t="shared" si="287"/>
        <v>#REF!</v>
      </c>
      <c r="BJ149" s="52" t="e">
        <f t="shared" si="287"/>
        <v>#REF!</v>
      </c>
      <c r="BK149" s="52" t="e">
        <f t="shared" si="287"/>
        <v>#REF!</v>
      </c>
      <c r="BL149" s="52" t="e">
        <f t="shared" si="287"/>
        <v>#REF!</v>
      </c>
      <c r="BM149" s="52" t="e">
        <f t="shared" si="287"/>
        <v>#REF!</v>
      </c>
      <c r="BN149" s="52" t="e">
        <f t="shared" si="287"/>
        <v>#REF!</v>
      </c>
      <c r="BO149" s="52" t="e">
        <f t="shared" si="287"/>
        <v>#REF!</v>
      </c>
      <c r="BP149" s="52">
        <f t="shared" si="287"/>
        <v>-0.23904382470119512</v>
      </c>
      <c r="BQ149" s="52">
        <f t="shared" si="287"/>
        <v>-5.7591623036649331E-2</v>
      </c>
      <c r="BR149" s="52">
        <f t="shared" si="287"/>
        <v>1.7268292682926831</v>
      </c>
      <c r="BS149" s="52">
        <f t="shared" si="287"/>
        <v>-0.76366527529318229</v>
      </c>
      <c r="BT149" s="52">
        <f t="shared" si="287"/>
        <v>-6.6442388561816612E-2</v>
      </c>
      <c r="BU149" s="52">
        <f t="shared" si="287"/>
        <v>-0.21621621621621623</v>
      </c>
      <c r="BV149" s="52">
        <f t="shared" si="287"/>
        <v>-0.14655172413793094</v>
      </c>
      <c r="BW149" s="52">
        <f t="shared" si="287"/>
        <v>0.1212121212121211</v>
      </c>
      <c r="BX149" s="52">
        <f t="shared" si="287"/>
        <v>0.28828828828828845</v>
      </c>
      <c r="BY149" s="52">
        <f t="shared" si="287"/>
        <v>6.2937062937062915E-2</v>
      </c>
      <c r="BZ149" s="52">
        <f t="shared" si="287"/>
        <v>-9.2105263157894801E-2</v>
      </c>
      <c r="CA149" s="52">
        <f t="shared" si="287"/>
        <v>5.7971014492753659E-2</v>
      </c>
      <c r="CB149" s="52">
        <f t="shared" si="287"/>
        <v>0.32876712328767121</v>
      </c>
      <c r="CC149" s="52">
        <f t="shared" si="287"/>
        <v>-0.21134020618556693</v>
      </c>
      <c r="CD149" s="52">
        <f t="shared" si="287"/>
        <v>2.5620915032679741</v>
      </c>
      <c r="CE149" s="52">
        <f t="shared" si="287"/>
        <v>0.17571865443425061</v>
      </c>
      <c r="CF149" s="52">
        <f t="shared" si="287"/>
        <v>-0.56177495708266134</v>
      </c>
      <c r="CG149" s="52">
        <f t="shared" si="287"/>
        <v>-0.31623931623931623</v>
      </c>
      <c r="CH149" s="52">
        <f t="shared" si="287"/>
        <v>-0.20451388888888877</v>
      </c>
      <c r="CI149" s="52">
        <f t="shared" si="287"/>
        <v>-0.17503273679615883</v>
      </c>
      <c r="CJ149" s="52">
        <f t="shared" si="287"/>
        <v>-0.71031746031746035</v>
      </c>
      <c r="CK149" s="52">
        <f t="shared" si="287"/>
        <v>0.15068493150684925</v>
      </c>
      <c r="CL149" s="52">
        <f t="shared" si="287"/>
        <v>-8.333333333333337E-2</v>
      </c>
      <c r="CM149" s="52">
        <f t="shared" si="287"/>
        <v>-0.14285714285714279</v>
      </c>
      <c r="CN149" s="52">
        <f t="shared" si="287"/>
        <v>0.84343434343434343</v>
      </c>
      <c r="CO149" s="52">
        <f t="shared" si="287"/>
        <v>0.47945205479452047</v>
      </c>
      <c r="CP149" s="52">
        <f t="shared" si="287"/>
        <v>-0.13333333333333341</v>
      </c>
      <c r="CQ149" s="52">
        <f t="shared" si="287"/>
        <v>0.12820512820512819</v>
      </c>
      <c r="CR149" s="52">
        <f t="shared" si="287"/>
        <v>0.10227272727272729</v>
      </c>
      <c r="CS149" s="52">
        <f t="shared" si="287"/>
        <v>0.2989690721649485</v>
      </c>
      <c r="CT149" s="52">
        <f t="shared" si="287"/>
        <v>-0.11904761904761907</v>
      </c>
      <c r="CU149" s="52">
        <f t="shared" si="287"/>
        <v>0.55855855855855863</v>
      </c>
      <c r="CV149" s="52">
        <f t="shared" si="287"/>
        <v>5.7803468208093012E-3</v>
      </c>
      <c r="CW149" s="52">
        <f t="shared" si="287"/>
        <v>-7.4712643678160884E-2</v>
      </c>
      <c r="CX149" s="52">
        <f t="shared" si="287"/>
        <v>3.4720496894478536E-2</v>
      </c>
      <c r="CY149" s="53">
        <f t="shared" si="287"/>
        <v>0</v>
      </c>
      <c r="CZ149" s="53">
        <f t="shared" si="287"/>
        <v>0</v>
      </c>
      <c r="DA149" s="53">
        <f t="shared" si="287"/>
        <v>0</v>
      </c>
      <c r="DB149" s="53">
        <f t="shared" si="287"/>
        <v>0</v>
      </c>
      <c r="DC149" s="53">
        <f t="shared" si="287"/>
        <v>0</v>
      </c>
      <c r="DD149" s="53">
        <f t="shared" si="287"/>
        <v>0</v>
      </c>
      <c r="DE149" s="53">
        <f t="shared" si="287"/>
        <v>0</v>
      </c>
      <c r="DF149" s="53">
        <f t="shared" si="287"/>
        <v>0</v>
      </c>
      <c r="DG149" s="53">
        <f t="shared" si="287"/>
        <v>0</v>
      </c>
      <c r="DH149" s="53">
        <f t="shared" si="287"/>
        <v>0</v>
      </c>
      <c r="DI149" s="53">
        <f t="shared" si="287"/>
        <v>0</v>
      </c>
      <c r="DJ149" s="53">
        <f t="shared" si="287"/>
        <v>0</v>
      </c>
      <c r="DK149" s="53">
        <f t="shared" si="287"/>
        <v>0</v>
      </c>
      <c r="DL149" s="53">
        <f t="shared" si="287"/>
        <v>0</v>
      </c>
      <c r="DM149" s="53">
        <f t="shared" si="287"/>
        <v>0</v>
      </c>
      <c r="DN149" s="53">
        <f t="shared" si="287"/>
        <v>0</v>
      </c>
      <c r="DO149" s="53">
        <f t="shared" ref="DO149:DQ149" si="288">DO148/DN148-1</f>
        <v>0</v>
      </c>
      <c r="DP149" s="53">
        <f t="shared" si="288"/>
        <v>0</v>
      </c>
      <c r="DQ149" s="53">
        <f t="shared" si="288"/>
        <v>0</v>
      </c>
      <c r="DT149" s="54" t="s">
        <v>224</v>
      </c>
      <c r="DU149" s="54" t="s">
        <v>224</v>
      </c>
      <c r="DV149" s="54" t="s">
        <v>224</v>
      </c>
      <c r="DW149" s="54" t="s">
        <v>224</v>
      </c>
      <c r="DX149" s="54" t="s">
        <v>224</v>
      </c>
      <c r="DY149" s="54" t="s">
        <v>224</v>
      </c>
      <c r="DZ149" s="54" t="s">
        <v>224</v>
      </c>
      <c r="EA149" s="54" t="s">
        <v>224</v>
      </c>
      <c r="EB149" s="54" t="s">
        <v>224</v>
      </c>
      <c r="EC149" s="54" t="s">
        <v>224</v>
      </c>
      <c r="ED149" s="54" t="s">
        <v>224</v>
      </c>
      <c r="EE149" s="54" t="s">
        <v>224</v>
      </c>
      <c r="EF149" s="54" t="s">
        <v>224</v>
      </c>
      <c r="EG149" s="54" t="s">
        <v>224</v>
      </c>
      <c r="EH149" s="54" t="s">
        <v>224</v>
      </c>
      <c r="EI149" s="54" t="s">
        <v>224</v>
      </c>
      <c r="EJ149" s="54" t="s">
        <v>224</v>
      </c>
      <c r="EK149" s="54" t="s">
        <v>224</v>
      </c>
      <c r="EL149" s="54" t="s">
        <v>224</v>
      </c>
      <c r="EM149" s="54" t="s">
        <v>224</v>
      </c>
      <c r="EN149" s="54" t="s">
        <v>224</v>
      </c>
      <c r="EO149" s="54" t="s">
        <v>224</v>
      </c>
      <c r="EP149" s="54" t="s">
        <v>224</v>
      </c>
      <c r="EQ149" s="54" t="s">
        <v>224</v>
      </c>
      <c r="ER149" s="54" t="s">
        <v>224</v>
      </c>
      <c r="ES149" s="55" t="s">
        <v>224</v>
      </c>
      <c r="ET149" s="55" t="s">
        <v>224</v>
      </c>
      <c r="EU149" s="55" t="s">
        <v>224</v>
      </c>
      <c r="EV149" s="55" t="s">
        <v>224</v>
      </c>
      <c r="EW149" s="55" t="s">
        <v>224</v>
      </c>
    </row>
    <row r="150" spans="1:153" s="49" customFormat="1">
      <c r="A150" s="69" t="s">
        <v>225</v>
      </c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91" t="e">
        <f t="shared" ref="BF150:DQ150" si="289">BF148/BB148-1</f>
        <v>#REF!</v>
      </c>
      <c r="BG150" s="91" t="e">
        <f t="shared" si="289"/>
        <v>#REF!</v>
      </c>
      <c r="BH150" s="91" t="e">
        <f t="shared" si="289"/>
        <v>#REF!</v>
      </c>
      <c r="BI150" s="91" t="e">
        <f t="shared" si="289"/>
        <v>#REF!</v>
      </c>
      <c r="BJ150" s="91" t="e">
        <f t="shared" si="289"/>
        <v>#REF!</v>
      </c>
      <c r="BK150" s="91" t="e">
        <f t="shared" si="289"/>
        <v>#REF!</v>
      </c>
      <c r="BL150" s="91" t="e">
        <f t="shared" si="289"/>
        <v>#REF!</v>
      </c>
      <c r="BM150" s="91" t="e">
        <f t="shared" si="289"/>
        <v>#REF!</v>
      </c>
      <c r="BN150" s="91" t="e">
        <f t="shared" si="289"/>
        <v>#REF!</v>
      </c>
      <c r="BO150" s="91" t="e">
        <f t="shared" si="289"/>
        <v>#REF!</v>
      </c>
      <c r="BP150" s="91" t="e">
        <f t="shared" si="289"/>
        <v>#REF!</v>
      </c>
      <c r="BQ150" s="91" t="e">
        <f t="shared" si="289"/>
        <v>#REF!</v>
      </c>
      <c r="BR150" s="91" t="e">
        <f t="shared" si="289"/>
        <v>#REF!</v>
      </c>
      <c r="BS150" s="91">
        <f t="shared" si="289"/>
        <v>-0.53784860557768921</v>
      </c>
      <c r="BT150" s="91">
        <f t="shared" si="289"/>
        <v>-0.43302260247733371</v>
      </c>
      <c r="BU150" s="91">
        <f t="shared" si="289"/>
        <v>-0.52845528455284563</v>
      </c>
      <c r="BV150" s="91">
        <f t="shared" si="289"/>
        <v>-0.85241502683363146</v>
      </c>
      <c r="BW150" s="91">
        <f t="shared" si="289"/>
        <v>-0.29983179142136251</v>
      </c>
      <c r="BX150" s="91">
        <f t="shared" si="289"/>
        <v>-3.3783783783783772E-2</v>
      </c>
      <c r="BY150" s="91">
        <f t="shared" si="289"/>
        <v>0.31034482758620707</v>
      </c>
      <c r="BZ150" s="91">
        <f t="shared" si="289"/>
        <v>0.39393939393939403</v>
      </c>
      <c r="CA150" s="91">
        <f t="shared" si="289"/>
        <v>0.31531531531531543</v>
      </c>
      <c r="CB150" s="91">
        <f t="shared" si="289"/>
        <v>0.35664335664335667</v>
      </c>
      <c r="CC150" s="91">
        <f t="shared" si="289"/>
        <v>6.5789473684210176E-3</v>
      </c>
      <c r="CD150" s="91">
        <f t="shared" si="289"/>
        <v>2.9492753623188408</v>
      </c>
      <c r="CE150" s="91">
        <f t="shared" si="289"/>
        <v>3.3888127853881276</v>
      </c>
      <c r="CF150" s="91">
        <f t="shared" si="289"/>
        <v>0.4474226804123711</v>
      </c>
      <c r="CG150" s="91">
        <f t="shared" si="289"/>
        <v>0.25490196078431371</v>
      </c>
      <c r="CH150" s="91">
        <f t="shared" si="289"/>
        <v>-0.71975535168195726</v>
      </c>
      <c r="CI150" s="91">
        <f t="shared" si="289"/>
        <v>-0.80336055766529668</v>
      </c>
      <c r="CJ150" s="91">
        <f t="shared" si="289"/>
        <v>-0.87001424501424496</v>
      </c>
      <c r="CK150" s="91">
        <f t="shared" si="289"/>
        <v>-0.78125</v>
      </c>
      <c r="CL150" s="91">
        <f t="shared" si="289"/>
        <v>-0.74792666957660414</v>
      </c>
      <c r="CM150" s="91">
        <f t="shared" si="289"/>
        <v>-0.73809523809523814</v>
      </c>
      <c r="CN150" s="91">
        <f t="shared" si="289"/>
        <v>0.66666666666666674</v>
      </c>
      <c r="CO150" s="91">
        <f t="shared" si="289"/>
        <v>1.1428571428571428</v>
      </c>
      <c r="CP150" s="91">
        <f t="shared" si="289"/>
        <v>1.0259740259740262</v>
      </c>
      <c r="CQ150" s="91">
        <f t="shared" si="289"/>
        <v>1.6666666666666665</v>
      </c>
      <c r="CR150" s="91">
        <f t="shared" si="289"/>
        <v>0.59452054794520537</v>
      </c>
      <c r="CS150" s="91">
        <f t="shared" si="289"/>
        <v>0.39999999999999991</v>
      </c>
      <c r="CT150" s="91">
        <f t="shared" si="289"/>
        <v>0.42307692307692313</v>
      </c>
      <c r="CU150" s="91">
        <f t="shared" si="289"/>
        <v>0.96590909090909105</v>
      </c>
      <c r="CV150" s="91">
        <f t="shared" si="289"/>
        <v>0.79381443298969079</v>
      </c>
      <c r="CW150" s="91">
        <f t="shared" si="289"/>
        <v>0.2777777777777779</v>
      </c>
      <c r="CX150" s="91">
        <f t="shared" si="289"/>
        <v>0.50081081081091039</v>
      </c>
      <c r="CY150" s="100">
        <f t="shared" si="289"/>
        <v>-3.7052023121323385E-2</v>
      </c>
      <c r="CZ150" s="100">
        <f t="shared" si="289"/>
        <v>-4.2586206896488177E-2</v>
      </c>
      <c r="DA150" s="100">
        <f t="shared" si="289"/>
        <v>3.4720496894478536E-2</v>
      </c>
      <c r="DB150" s="100">
        <f t="shared" si="289"/>
        <v>0</v>
      </c>
      <c r="DC150" s="100">
        <f t="shared" si="289"/>
        <v>0</v>
      </c>
      <c r="DD150" s="100">
        <f t="shared" si="289"/>
        <v>0</v>
      </c>
      <c r="DE150" s="100">
        <f t="shared" si="289"/>
        <v>0</v>
      </c>
      <c r="DF150" s="100">
        <f t="shared" si="289"/>
        <v>0</v>
      </c>
      <c r="DG150" s="100">
        <f t="shared" si="289"/>
        <v>0</v>
      </c>
      <c r="DH150" s="100">
        <f t="shared" si="289"/>
        <v>0</v>
      </c>
      <c r="DI150" s="100">
        <f t="shared" si="289"/>
        <v>0</v>
      </c>
      <c r="DJ150" s="100">
        <f t="shared" si="289"/>
        <v>0</v>
      </c>
      <c r="DK150" s="100">
        <f t="shared" si="289"/>
        <v>0</v>
      </c>
      <c r="DL150" s="100">
        <f t="shared" si="289"/>
        <v>0</v>
      </c>
      <c r="DM150" s="100">
        <f t="shared" si="289"/>
        <v>0</v>
      </c>
      <c r="DN150" s="100">
        <f t="shared" si="289"/>
        <v>0</v>
      </c>
      <c r="DO150" s="100">
        <f t="shared" si="289"/>
        <v>0</v>
      </c>
      <c r="DP150" s="100">
        <f t="shared" si="289"/>
        <v>0</v>
      </c>
      <c r="DQ150" s="100">
        <f t="shared" si="289"/>
        <v>0</v>
      </c>
      <c r="EC150" s="35"/>
      <c r="ED150" s="35"/>
      <c r="EE150" s="35"/>
      <c r="EF150" s="35"/>
      <c r="EG150" s="35"/>
      <c r="EH150" s="52" t="e">
        <f t="shared" ref="EH150:ET150" si="290">EH148/EG148-1</f>
        <v>#REF!</v>
      </c>
      <c r="EI150" s="52" t="e">
        <f t="shared" si="290"/>
        <v>#REF!</v>
      </c>
      <c r="EJ150" s="52" t="e">
        <f t="shared" si="290"/>
        <v>#REF!</v>
      </c>
      <c r="EK150" s="52" t="e">
        <f t="shared" si="290"/>
        <v>#REF!</v>
      </c>
      <c r="EL150" s="52">
        <f t="shared" si="290"/>
        <v>-0.53810975609756095</v>
      </c>
      <c r="EM150" s="52">
        <f t="shared" si="290"/>
        <v>0.24950495049504928</v>
      </c>
      <c r="EN150" s="52">
        <f t="shared" si="290"/>
        <v>1.6284733227680936</v>
      </c>
      <c r="EO150" s="52">
        <f t="shared" si="290"/>
        <v>-0.78461322025041702</v>
      </c>
      <c r="EP150" s="52">
        <f t="shared" si="290"/>
        <v>-0.37762433516842397</v>
      </c>
      <c r="EQ150" s="52">
        <f t="shared" si="290"/>
        <v>0.74962518740629669</v>
      </c>
      <c r="ER150" s="52">
        <f t="shared" si="290"/>
        <v>0.59125964010282783</v>
      </c>
      <c r="ES150" s="53">
        <f t="shared" si="290"/>
        <v>7.6510500807825954E-2</v>
      </c>
      <c r="ET150" s="53">
        <f t="shared" si="290"/>
        <v>0</v>
      </c>
      <c r="EU150" s="53">
        <f>EU148/ET148-1</f>
        <v>0</v>
      </c>
      <c r="EV150" s="53">
        <f>EV148/EU148-1</f>
        <v>0</v>
      </c>
      <c r="EW150" s="53">
        <f>EW148/EV148-1</f>
        <v>0</v>
      </c>
    </row>
    <row r="151" spans="1:153" s="52" customFormat="1">
      <c r="A151" s="107" t="s">
        <v>277</v>
      </c>
      <c r="B151" s="108"/>
      <c r="C151" s="108"/>
      <c r="D151" s="108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108"/>
      <c r="AV151" s="108"/>
      <c r="AW151" s="108"/>
      <c r="AX151" s="108"/>
      <c r="AY151" s="108"/>
      <c r="AZ151" s="108"/>
      <c r="BA151" s="108"/>
      <c r="BB151" s="100">
        <f>BB131*0.55</f>
        <v>0.30133752030083788</v>
      </c>
      <c r="BC151" s="100">
        <f>BC131*0.55</f>
        <v>0.30869449703669855</v>
      </c>
      <c r="BD151" s="100">
        <f>BD131*0.55</f>
        <v>0.30372887801518228</v>
      </c>
      <c r="BE151" s="100">
        <f>BE131*0.55</f>
        <v>0.30769879425580204</v>
      </c>
      <c r="BF151" s="100">
        <f>BF131*0.5</f>
        <v>0.28366637706342313</v>
      </c>
      <c r="BG151" s="100">
        <f>BG131*0.45</f>
        <v>0.25329575021682571</v>
      </c>
      <c r="BH151" s="100">
        <f>BH131*0.45</f>
        <v>0.25310344827586212</v>
      </c>
      <c r="BI151" s="100">
        <f>BI131*0.45</f>
        <v>0.25567451820128478</v>
      </c>
      <c r="BJ151" s="100">
        <f>BJ131*0.45</f>
        <v>0.26241379310344826</v>
      </c>
      <c r="BK151" s="100">
        <f>BK131*0.45</f>
        <v>0.2560975352112676</v>
      </c>
      <c r="BL151" s="100">
        <v>0.26</v>
      </c>
      <c r="BM151" s="100">
        <v>0.28000000000000003</v>
      </c>
      <c r="BN151" s="100">
        <v>0.28000000000000003</v>
      </c>
      <c r="BO151" s="100">
        <v>0.41</v>
      </c>
      <c r="BP151" s="100">
        <v>0.41</v>
      </c>
      <c r="BQ151" s="100">
        <v>0.41</v>
      </c>
      <c r="BR151" s="100">
        <v>0.52</v>
      </c>
      <c r="BS151" s="100">
        <v>0.41</v>
      </c>
      <c r="BT151" s="100">
        <v>0.3</v>
      </c>
      <c r="BU151" s="100">
        <f>BT151</f>
        <v>0.3</v>
      </c>
      <c r="BV151" s="100">
        <v>0.3</v>
      </c>
      <c r="BW151" s="100">
        <f t="shared" ref="BW151:CB151" si="291">BV151</f>
        <v>0.3</v>
      </c>
      <c r="BX151" s="100">
        <f t="shared" si="291"/>
        <v>0.3</v>
      </c>
      <c r="BY151" s="100">
        <f t="shared" si="291"/>
        <v>0.3</v>
      </c>
      <c r="BZ151" s="100">
        <f t="shared" si="291"/>
        <v>0.3</v>
      </c>
      <c r="CA151" s="100">
        <f t="shared" si="291"/>
        <v>0.3</v>
      </c>
      <c r="CB151" s="100">
        <f t="shared" si="291"/>
        <v>0.3</v>
      </c>
      <c r="CC151" s="100">
        <v>0.3</v>
      </c>
      <c r="CD151" s="100">
        <v>0.5</v>
      </c>
      <c r="CE151" s="100">
        <v>0.47</v>
      </c>
      <c r="CF151" s="100">
        <v>0.36</v>
      </c>
      <c r="CG151" s="100">
        <v>0.3</v>
      </c>
      <c r="CH151" s="100">
        <v>0.28999999999999998</v>
      </c>
      <c r="CI151" s="100">
        <v>0.27</v>
      </c>
      <c r="CJ151" s="100">
        <v>0.15</v>
      </c>
      <c r="CK151" s="100">
        <f>CJ151</f>
        <v>0.15</v>
      </c>
      <c r="CL151" s="100">
        <v>0.15</v>
      </c>
      <c r="CM151" s="100">
        <v>0.15</v>
      </c>
      <c r="CN151" s="100">
        <v>0.25</v>
      </c>
      <c r="CO151" s="100">
        <v>0.3</v>
      </c>
      <c r="CP151" s="100">
        <v>0.3</v>
      </c>
      <c r="CQ151" s="100">
        <v>0.3</v>
      </c>
      <c r="CR151" s="100">
        <f t="shared" ref="CR151:CW151" si="292">CQ151</f>
        <v>0.3</v>
      </c>
      <c r="CS151" s="100">
        <f t="shared" si="292"/>
        <v>0.3</v>
      </c>
      <c r="CT151" s="100">
        <f t="shared" si="292"/>
        <v>0.3</v>
      </c>
      <c r="CU151" s="100">
        <v>0.3</v>
      </c>
      <c r="CV151" s="100">
        <f t="shared" si="292"/>
        <v>0.3</v>
      </c>
      <c r="CW151" s="100">
        <f t="shared" si="292"/>
        <v>0.3</v>
      </c>
      <c r="CX151" s="100">
        <v>0.3</v>
      </c>
      <c r="CY151" s="100">
        <f t="shared" ref="CY151:DQ151" si="293">CX151</f>
        <v>0.3</v>
      </c>
      <c r="CZ151" s="100">
        <f t="shared" si="293"/>
        <v>0.3</v>
      </c>
      <c r="DA151" s="100">
        <f t="shared" si="293"/>
        <v>0.3</v>
      </c>
      <c r="DB151" s="100">
        <f t="shared" si="293"/>
        <v>0.3</v>
      </c>
      <c r="DC151" s="100">
        <f t="shared" si="293"/>
        <v>0.3</v>
      </c>
      <c r="DD151" s="100">
        <f t="shared" si="293"/>
        <v>0.3</v>
      </c>
      <c r="DE151" s="100">
        <f t="shared" si="293"/>
        <v>0.3</v>
      </c>
      <c r="DF151" s="100">
        <f t="shared" si="293"/>
        <v>0.3</v>
      </c>
      <c r="DG151" s="100">
        <f t="shared" si="293"/>
        <v>0.3</v>
      </c>
      <c r="DH151" s="100">
        <f t="shared" si="293"/>
        <v>0.3</v>
      </c>
      <c r="DI151" s="100">
        <f t="shared" si="293"/>
        <v>0.3</v>
      </c>
      <c r="DJ151" s="100">
        <f t="shared" si="293"/>
        <v>0.3</v>
      </c>
      <c r="DK151" s="100">
        <f t="shared" si="293"/>
        <v>0.3</v>
      </c>
      <c r="DL151" s="100">
        <f t="shared" si="293"/>
        <v>0.3</v>
      </c>
      <c r="DM151" s="100">
        <f t="shared" si="293"/>
        <v>0.3</v>
      </c>
      <c r="DN151" s="100">
        <f t="shared" si="293"/>
        <v>0.3</v>
      </c>
      <c r="DO151" s="100">
        <f t="shared" si="293"/>
        <v>0.3</v>
      </c>
      <c r="DP151" s="100">
        <f t="shared" si="293"/>
        <v>0.3</v>
      </c>
      <c r="DQ151" s="100">
        <f t="shared" si="293"/>
        <v>0.3</v>
      </c>
      <c r="EC151" s="79"/>
      <c r="ED151" s="79"/>
      <c r="EE151" s="79"/>
      <c r="EG151" s="52" t="e">
        <f t="shared" ref="EG151:EW151" si="294">EG148/EG99</f>
        <v>#REF!</v>
      </c>
      <c r="EH151" s="52" t="e">
        <f t="shared" si="294"/>
        <v>#REF!</v>
      </c>
      <c r="EI151" s="52" t="e">
        <f t="shared" si="294"/>
        <v>#REF!</v>
      </c>
      <c r="EJ151" s="52" t="e">
        <f t="shared" si="294"/>
        <v>#REF!</v>
      </c>
      <c r="EK151" s="52">
        <f t="shared" si="294"/>
        <v>0.42764015645371578</v>
      </c>
      <c r="EL151" s="52">
        <f t="shared" si="294"/>
        <v>0.3</v>
      </c>
      <c r="EM151" s="52">
        <f t="shared" si="294"/>
        <v>0.3</v>
      </c>
      <c r="EN151" s="52">
        <f t="shared" si="294"/>
        <v>0.42820137693631671</v>
      </c>
      <c r="EO151" s="52">
        <f t="shared" si="294"/>
        <v>0.23553846153846153</v>
      </c>
      <c r="EP151" s="52">
        <f t="shared" si="294"/>
        <v>0.21797385620915033</v>
      </c>
      <c r="EQ151" s="52">
        <f t="shared" si="294"/>
        <v>0.3</v>
      </c>
      <c r="ER151" s="52">
        <f t="shared" si="294"/>
        <v>0.3</v>
      </c>
      <c r="ES151" s="65">
        <f t="shared" si="294"/>
        <v>0.3</v>
      </c>
      <c r="ET151" s="65">
        <f t="shared" si="294"/>
        <v>0.3</v>
      </c>
      <c r="EU151" s="65">
        <f t="shared" si="294"/>
        <v>0.3</v>
      </c>
      <c r="EV151" s="65">
        <f t="shared" si="294"/>
        <v>0.3</v>
      </c>
      <c r="EW151" s="65">
        <f t="shared" si="294"/>
        <v>0.3</v>
      </c>
    </row>
    <row r="152" spans="1:153" s="49" customFormat="1">
      <c r="A152" s="76" t="s">
        <v>271</v>
      </c>
      <c r="B152" s="76"/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  <c r="AA152" s="76"/>
      <c r="AB152" s="76"/>
      <c r="AC152" s="76"/>
      <c r="AD152" s="76"/>
      <c r="AE152" s="76"/>
      <c r="AF152" s="76"/>
      <c r="AG152" s="76"/>
      <c r="AH152" s="76"/>
      <c r="AI152" s="76"/>
      <c r="AJ152" s="76"/>
      <c r="AK152" s="76"/>
      <c r="AL152" s="76"/>
      <c r="AM152" s="76"/>
      <c r="AN152" s="76"/>
      <c r="AO152" s="76"/>
      <c r="AP152" s="76"/>
      <c r="AQ152" s="76"/>
      <c r="AR152" s="76"/>
      <c r="AS152" s="76"/>
      <c r="AT152" s="76"/>
      <c r="AU152" s="76"/>
      <c r="AV152" s="76"/>
      <c r="AW152" s="76"/>
      <c r="AX152" s="76"/>
      <c r="AY152" s="76"/>
      <c r="AZ152" s="76"/>
      <c r="BA152" s="76"/>
      <c r="BB152" s="76">
        <f t="shared" ref="BB152:BN152" si="295">BB115*BB155</f>
        <v>66</v>
      </c>
      <c r="BC152" s="76">
        <f t="shared" si="295"/>
        <v>66</v>
      </c>
      <c r="BD152" s="76">
        <f t="shared" si="295"/>
        <v>66</v>
      </c>
      <c r="BE152" s="76">
        <f t="shared" si="295"/>
        <v>66</v>
      </c>
      <c r="BF152" s="76">
        <f t="shared" si="295"/>
        <v>66</v>
      </c>
      <c r="BG152" s="76">
        <f t="shared" si="295"/>
        <v>66</v>
      </c>
      <c r="BH152" s="76">
        <f t="shared" si="295"/>
        <v>66</v>
      </c>
      <c r="BI152" s="76">
        <f t="shared" si="295"/>
        <v>66</v>
      </c>
      <c r="BJ152" s="76">
        <f t="shared" si="295"/>
        <v>66</v>
      </c>
      <c r="BK152" s="76">
        <f t="shared" si="295"/>
        <v>66</v>
      </c>
      <c r="BL152" s="76">
        <f t="shared" si="295"/>
        <v>66</v>
      </c>
      <c r="BM152" s="76">
        <f t="shared" si="295"/>
        <v>66</v>
      </c>
      <c r="BN152" s="76">
        <f t="shared" si="295"/>
        <v>43</v>
      </c>
      <c r="BO152" s="76"/>
      <c r="BP152" s="76"/>
      <c r="BQ152" s="76"/>
      <c r="BR152" s="76"/>
      <c r="BS152" s="76"/>
      <c r="BT152" s="76"/>
      <c r="BU152" s="76"/>
      <c r="BV152" s="76"/>
      <c r="BW152" s="76"/>
      <c r="BX152" s="76"/>
      <c r="BY152" s="76"/>
      <c r="BZ152" s="76"/>
      <c r="CA152" s="76"/>
      <c r="CB152" s="76"/>
      <c r="CC152" s="76"/>
      <c r="CD152" s="76"/>
      <c r="CE152" s="76"/>
      <c r="CF152" s="76"/>
      <c r="CG152" s="76"/>
      <c r="CH152" s="76"/>
      <c r="CI152" s="76"/>
      <c r="CJ152" s="76"/>
      <c r="CK152" s="76"/>
      <c r="CL152" s="76"/>
      <c r="CM152" s="76"/>
      <c r="CN152" s="76"/>
      <c r="CO152" s="76"/>
      <c r="CP152" s="76"/>
      <c r="CQ152" s="76"/>
      <c r="CR152" s="76"/>
      <c r="CS152" s="76"/>
      <c r="CT152" s="76"/>
      <c r="CU152" s="76"/>
      <c r="CV152" s="76"/>
      <c r="CW152" s="76"/>
      <c r="CX152" s="76"/>
      <c r="CY152" s="76"/>
      <c r="CZ152" s="76"/>
      <c r="DA152" s="76"/>
      <c r="DB152" s="76"/>
      <c r="DC152" s="76"/>
      <c r="DD152" s="76"/>
      <c r="DE152" s="76"/>
      <c r="DF152" s="76"/>
      <c r="DG152" s="76"/>
      <c r="DH152" s="76"/>
      <c r="DI152" s="76"/>
      <c r="DJ152" s="76"/>
      <c r="DK152" s="76"/>
      <c r="DL152" s="76"/>
      <c r="DM152" s="76"/>
      <c r="DN152" s="76"/>
      <c r="DO152" s="76"/>
      <c r="DP152" s="76"/>
      <c r="DQ152" s="76"/>
      <c r="DT152" s="77"/>
      <c r="DU152" s="77"/>
      <c r="DV152" s="77"/>
      <c r="DW152" s="77"/>
      <c r="DX152" s="77"/>
      <c r="DY152" s="77"/>
      <c r="DZ152" s="77"/>
      <c r="EA152" s="77"/>
      <c r="EB152" s="77"/>
      <c r="EC152" s="76"/>
      <c r="ED152" s="76"/>
      <c r="EE152" s="76"/>
      <c r="EF152" s="76"/>
      <c r="EG152" s="76">
        <f>SUM(BB152:BE152)</f>
        <v>264</v>
      </c>
      <c r="EH152" s="76">
        <f>SUM(BF152:BI152)</f>
        <v>264</v>
      </c>
      <c r="EI152" s="76">
        <f>SUM(BJ152:BM152)</f>
        <v>264</v>
      </c>
      <c r="EJ152" s="76">
        <f>SUM(BN152:BQ152)</f>
        <v>43</v>
      </c>
      <c r="EK152" s="76"/>
      <c r="EL152" s="76"/>
      <c r="EM152" s="76"/>
      <c r="EN152" s="76"/>
      <c r="EO152" s="76"/>
      <c r="EP152" s="76"/>
      <c r="EQ152" s="76"/>
      <c r="ER152" s="76"/>
      <c r="ES152" s="78"/>
      <c r="ET152" s="78"/>
      <c r="EU152" s="78"/>
      <c r="EV152" s="78"/>
      <c r="EW152" s="78"/>
    </row>
    <row r="153" spans="1:153" s="49" customFormat="1">
      <c r="A153" s="69" t="s">
        <v>223</v>
      </c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52">
        <f t="shared" ref="BC153:BN153" si="296">BC152/BB152-1</f>
        <v>0</v>
      </c>
      <c r="BD153" s="52">
        <f t="shared" si="296"/>
        <v>0</v>
      </c>
      <c r="BE153" s="52">
        <f t="shared" si="296"/>
        <v>0</v>
      </c>
      <c r="BF153" s="52">
        <f t="shared" si="296"/>
        <v>0</v>
      </c>
      <c r="BG153" s="52">
        <f t="shared" si="296"/>
        <v>0</v>
      </c>
      <c r="BH153" s="52">
        <f t="shared" si="296"/>
        <v>0</v>
      </c>
      <c r="BI153" s="52">
        <f t="shared" si="296"/>
        <v>0</v>
      </c>
      <c r="BJ153" s="52">
        <f t="shared" si="296"/>
        <v>0</v>
      </c>
      <c r="BK153" s="52">
        <f t="shared" si="296"/>
        <v>0</v>
      </c>
      <c r="BL153" s="52">
        <f t="shared" si="296"/>
        <v>0</v>
      </c>
      <c r="BM153" s="52">
        <f t="shared" si="296"/>
        <v>0</v>
      </c>
      <c r="BN153" s="52">
        <f t="shared" si="296"/>
        <v>-0.34848484848484851</v>
      </c>
      <c r="BO153" s="52"/>
      <c r="BP153" s="53"/>
      <c r="BQ153" s="53"/>
      <c r="BR153" s="53"/>
      <c r="BS153" s="53"/>
      <c r="BT153" s="53"/>
      <c r="BU153" s="53"/>
      <c r="BV153" s="53"/>
      <c r="BW153" s="53"/>
      <c r="BX153" s="53"/>
      <c r="BY153" s="53"/>
      <c r="BZ153" s="53"/>
      <c r="CA153" s="53"/>
      <c r="CB153" s="53"/>
      <c r="CC153" s="53"/>
      <c r="CD153" s="53"/>
      <c r="CE153" s="53"/>
      <c r="CF153" s="53"/>
      <c r="CG153" s="53"/>
      <c r="CH153" s="53"/>
      <c r="CI153" s="110"/>
      <c r="CJ153" s="110"/>
      <c r="CK153" s="53"/>
      <c r="CL153" s="53"/>
      <c r="CM153" s="53"/>
      <c r="CN153" s="53"/>
      <c r="CO153" s="53"/>
      <c r="CP153" s="53"/>
      <c r="CQ153" s="53"/>
      <c r="CR153" s="53"/>
      <c r="CS153" s="53"/>
      <c r="CT153" s="53"/>
      <c r="CU153" s="53"/>
      <c r="CV153" s="53"/>
      <c r="CW153" s="53"/>
      <c r="CX153" s="53"/>
      <c r="CY153" s="53"/>
      <c r="CZ153" s="53"/>
      <c r="DA153" s="53"/>
      <c r="DB153" s="53"/>
      <c r="DC153" s="53"/>
      <c r="DD153" s="53"/>
      <c r="DE153" s="53"/>
      <c r="DF153" s="53"/>
      <c r="DG153" s="53"/>
      <c r="DH153" s="53"/>
      <c r="DI153" s="53"/>
      <c r="DJ153" s="53"/>
      <c r="DK153" s="53"/>
      <c r="DL153" s="53"/>
      <c r="DM153" s="53"/>
      <c r="DN153" s="53"/>
      <c r="DO153" s="53"/>
      <c r="DP153" s="53"/>
      <c r="DQ153" s="53"/>
      <c r="DT153" s="54" t="s">
        <v>224</v>
      </c>
      <c r="DU153" s="54" t="s">
        <v>224</v>
      </c>
      <c r="DV153" s="54" t="s">
        <v>224</v>
      </c>
      <c r="DW153" s="54" t="s">
        <v>224</v>
      </c>
      <c r="DX153" s="54" t="s">
        <v>224</v>
      </c>
      <c r="DY153" s="54" t="s">
        <v>224</v>
      </c>
      <c r="DZ153" s="54" t="s">
        <v>224</v>
      </c>
      <c r="EA153" s="54" t="s">
        <v>224</v>
      </c>
      <c r="EB153" s="54" t="s">
        <v>224</v>
      </c>
      <c r="EC153" s="54" t="s">
        <v>224</v>
      </c>
      <c r="ED153" s="54" t="s">
        <v>224</v>
      </c>
      <c r="EE153" s="54" t="s">
        <v>224</v>
      </c>
      <c r="EF153" s="54" t="s">
        <v>224</v>
      </c>
      <c r="EG153" s="54" t="s">
        <v>224</v>
      </c>
      <c r="EH153" s="54" t="s">
        <v>224</v>
      </c>
      <c r="EI153" s="54" t="s">
        <v>224</v>
      </c>
      <c r="EJ153" s="54" t="s">
        <v>224</v>
      </c>
      <c r="EK153" s="54" t="s">
        <v>224</v>
      </c>
      <c r="EL153" s="54" t="s">
        <v>224</v>
      </c>
      <c r="EM153" s="54" t="s">
        <v>224</v>
      </c>
      <c r="EN153" s="54" t="s">
        <v>224</v>
      </c>
      <c r="EO153" s="54" t="s">
        <v>224</v>
      </c>
      <c r="EP153" s="54" t="s">
        <v>224</v>
      </c>
      <c r="EQ153" s="54" t="s">
        <v>224</v>
      </c>
      <c r="ER153" s="54" t="s">
        <v>224</v>
      </c>
      <c r="ES153" s="55" t="s">
        <v>224</v>
      </c>
      <c r="ET153" s="55" t="s">
        <v>224</v>
      </c>
      <c r="EU153" s="55" t="s">
        <v>224</v>
      </c>
      <c r="EV153" s="55" t="s">
        <v>224</v>
      </c>
      <c r="EW153" s="55" t="s">
        <v>224</v>
      </c>
    </row>
    <row r="154" spans="1:153" s="49" customFormat="1">
      <c r="A154" s="69" t="s">
        <v>225</v>
      </c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91">
        <f t="shared" ref="BF154:BN154" si="297">BF152/BB152-1</f>
        <v>0</v>
      </c>
      <c r="BG154" s="91">
        <f t="shared" si="297"/>
        <v>0</v>
      </c>
      <c r="BH154" s="91">
        <f t="shared" si="297"/>
        <v>0</v>
      </c>
      <c r="BI154" s="91">
        <f t="shared" si="297"/>
        <v>0</v>
      </c>
      <c r="BJ154" s="91">
        <f t="shared" si="297"/>
        <v>0</v>
      </c>
      <c r="BK154" s="91">
        <f t="shared" si="297"/>
        <v>0</v>
      </c>
      <c r="BL154" s="91">
        <f t="shared" si="297"/>
        <v>0</v>
      </c>
      <c r="BM154" s="91">
        <f t="shared" si="297"/>
        <v>0</v>
      </c>
      <c r="BN154" s="91">
        <f t="shared" si="297"/>
        <v>-0.34848484848484851</v>
      </c>
      <c r="BO154" s="91"/>
      <c r="BP154" s="100"/>
      <c r="BQ154" s="100"/>
      <c r="BR154" s="100"/>
      <c r="BS154" s="100"/>
      <c r="BT154" s="100"/>
      <c r="BU154" s="100"/>
      <c r="BV154" s="100"/>
      <c r="BW154" s="100"/>
      <c r="BX154" s="100"/>
      <c r="BY154" s="100"/>
      <c r="BZ154" s="100"/>
      <c r="CA154" s="100"/>
      <c r="CB154" s="100"/>
      <c r="CC154" s="100"/>
      <c r="CD154" s="100"/>
      <c r="CE154" s="100"/>
      <c r="CF154" s="100"/>
      <c r="CG154" s="100"/>
      <c r="CH154" s="100"/>
      <c r="CI154" s="111"/>
      <c r="CJ154" s="111"/>
      <c r="CK154" s="111"/>
      <c r="CL154" s="100"/>
      <c r="CM154" s="100"/>
      <c r="CN154" s="100"/>
      <c r="CO154" s="100"/>
      <c r="CP154" s="100"/>
      <c r="CQ154" s="100"/>
      <c r="CR154" s="100"/>
      <c r="CS154" s="100"/>
      <c r="CT154" s="100"/>
      <c r="CU154" s="100"/>
      <c r="CV154" s="100"/>
      <c r="CW154" s="100"/>
      <c r="CX154" s="100"/>
      <c r="CY154" s="112"/>
      <c r="CZ154" s="112"/>
      <c r="DA154" s="112"/>
      <c r="DB154" s="112"/>
      <c r="DC154" s="112"/>
      <c r="DD154" s="112"/>
      <c r="DE154" s="112"/>
      <c r="DF154" s="112"/>
      <c r="DG154" s="112"/>
      <c r="DH154" s="112"/>
      <c r="DI154" s="112"/>
      <c r="DJ154" s="112"/>
      <c r="DK154" s="112"/>
      <c r="DL154" s="112"/>
      <c r="DM154" s="112"/>
      <c r="DN154" s="112"/>
      <c r="DO154" s="112"/>
      <c r="DP154" s="112"/>
      <c r="DQ154" s="112"/>
      <c r="EC154" s="35"/>
      <c r="ED154" s="35"/>
      <c r="EE154" s="35"/>
      <c r="EF154" s="35"/>
      <c r="EG154" s="35"/>
      <c r="EH154" s="52">
        <f>EH152/EG152-1</f>
        <v>0</v>
      </c>
      <c r="EI154" s="52">
        <f>EI152/EH152-1</f>
        <v>0</v>
      </c>
      <c r="EJ154" s="52">
        <f>EJ152/EI152-1</f>
        <v>-0.83712121212121215</v>
      </c>
      <c r="EK154" s="52"/>
      <c r="EL154" s="52"/>
      <c r="EM154" s="52"/>
      <c r="EN154" s="53"/>
      <c r="EO154" s="53"/>
      <c r="EP154" s="53"/>
      <c r="EQ154" s="53"/>
      <c r="ER154" s="53"/>
      <c r="ES154" s="53"/>
      <c r="ET154" s="53"/>
      <c r="EU154" s="53"/>
      <c r="EV154" s="53"/>
      <c r="EW154" s="53"/>
    </row>
    <row r="155" spans="1:153" s="52" customFormat="1">
      <c r="A155" s="107" t="s">
        <v>277</v>
      </c>
      <c r="B155" s="108"/>
      <c r="C155" s="108"/>
      <c r="D155" s="108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108"/>
      <c r="AV155" s="108"/>
      <c r="AW155" s="108"/>
      <c r="AX155" s="108"/>
      <c r="AY155" s="108"/>
      <c r="AZ155" s="108"/>
      <c r="BA155" s="108"/>
      <c r="BB155" s="100">
        <v>1</v>
      </c>
      <c r="BC155" s="100">
        <f>BB155</f>
        <v>1</v>
      </c>
      <c r="BD155" s="100">
        <f t="shared" ref="BD155:BN155" si="298">BC155</f>
        <v>1</v>
      </c>
      <c r="BE155" s="100">
        <f t="shared" si="298"/>
        <v>1</v>
      </c>
      <c r="BF155" s="100">
        <f t="shared" si="298"/>
        <v>1</v>
      </c>
      <c r="BG155" s="100">
        <f t="shared" si="298"/>
        <v>1</v>
      </c>
      <c r="BH155" s="100">
        <f t="shared" si="298"/>
        <v>1</v>
      </c>
      <c r="BI155" s="100">
        <f t="shared" si="298"/>
        <v>1</v>
      </c>
      <c r="BJ155" s="100">
        <f t="shared" si="298"/>
        <v>1</v>
      </c>
      <c r="BK155" s="100">
        <f t="shared" si="298"/>
        <v>1</v>
      </c>
      <c r="BL155" s="100">
        <f t="shared" si="298"/>
        <v>1</v>
      </c>
      <c r="BM155" s="100">
        <f t="shared" si="298"/>
        <v>1</v>
      </c>
      <c r="BN155" s="100">
        <f t="shared" si="298"/>
        <v>1</v>
      </c>
      <c r="BO155" s="100"/>
      <c r="BP155" s="100"/>
      <c r="BQ155" s="100"/>
      <c r="BR155" s="100"/>
      <c r="BS155" s="100"/>
      <c r="BT155" s="100"/>
      <c r="BU155" s="100"/>
      <c r="BV155" s="100"/>
      <c r="BW155" s="100"/>
      <c r="BX155" s="100"/>
      <c r="BY155" s="100"/>
      <c r="BZ155" s="100"/>
      <c r="CA155" s="100"/>
      <c r="CB155" s="100"/>
      <c r="CC155" s="100"/>
      <c r="CD155" s="100"/>
      <c r="CE155" s="100"/>
      <c r="CF155" s="100"/>
      <c r="CG155" s="100"/>
      <c r="CH155" s="100"/>
      <c r="CI155" s="100"/>
      <c r="CJ155" s="100"/>
      <c r="CK155" s="100"/>
      <c r="CL155" s="100"/>
      <c r="CM155" s="100"/>
      <c r="CN155" s="100"/>
      <c r="CO155" s="100"/>
      <c r="CP155" s="100"/>
      <c r="CQ155" s="100"/>
      <c r="CR155" s="100"/>
      <c r="CS155" s="100"/>
      <c r="CT155" s="100"/>
      <c r="CU155" s="100"/>
      <c r="CV155" s="100"/>
      <c r="CW155" s="100"/>
      <c r="CX155" s="100"/>
      <c r="CY155" s="100"/>
      <c r="CZ155" s="100"/>
      <c r="DA155" s="100"/>
      <c r="DB155" s="100"/>
      <c r="DC155" s="100"/>
      <c r="DD155" s="100"/>
      <c r="DE155" s="100"/>
      <c r="DF155" s="100"/>
      <c r="DG155" s="100"/>
      <c r="DH155" s="100"/>
      <c r="DI155" s="100"/>
      <c r="DJ155" s="100"/>
      <c r="DK155" s="100"/>
      <c r="DL155" s="100"/>
      <c r="DM155" s="100"/>
      <c r="DN155" s="100"/>
      <c r="DO155" s="100"/>
      <c r="DP155" s="100"/>
      <c r="DQ155" s="100"/>
      <c r="EC155" s="79"/>
      <c r="ED155" s="79"/>
      <c r="EE155" s="79"/>
      <c r="EG155" s="52">
        <f>EG152/EG115</f>
        <v>1</v>
      </c>
      <c r="EH155" s="52">
        <f>EH152/EH115</f>
        <v>1</v>
      </c>
      <c r="EI155" s="52">
        <f>EI152/EI115</f>
        <v>1</v>
      </c>
      <c r="EJ155" s="52">
        <f>EJ152/EJ115</f>
        <v>1</v>
      </c>
      <c r="EN155" s="53"/>
      <c r="EO155" s="53"/>
      <c r="EP155" s="53"/>
      <c r="EQ155" s="53"/>
      <c r="ER155" s="53"/>
      <c r="ES155" s="53"/>
      <c r="ET155" s="53"/>
      <c r="EU155" s="53"/>
      <c r="EV155" s="53"/>
      <c r="EW155" s="53"/>
    </row>
    <row r="156" spans="1:153" s="49" customFormat="1">
      <c r="A156" s="76" t="s">
        <v>272</v>
      </c>
      <c r="B156" s="76"/>
      <c r="C156" s="76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  <c r="AA156" s="76"/>
      <c r="AB156" s="76"/>
      <c r="AC156" s="76"/>
      <c r="AD156" s="76"/>
      <c r="AE156" s="76"/>
      <c r="AF156" s="76"/>
      <c r="AG156" s="76"/>
      <c r="AH156" s="76"/>
      <c r="AI156" s="76"/>
      <c r="AJ156" s="76"/>
      <c r="AK156" s="76"/>
      <c r="AL156" s="76"/>
      <c r="AM156" s="76"/>
      <c r="AN156" s="76"/>
      <c r="AO156" s="76"/>
      <c r="AP156" s="76"/>
      <c r="AQ156" s="76"/>
      <c r="AR156" s="76"/>
      <c r="AS156" s="76"/>
      <c r="AT156" s="76"/>
      <c r="AU156" s="76"/>
      <c r="AV156" s="76"/>
      <c r="AW156" s="76"/>
      <c r="AX156" s="76"/>
      <c r="AY156" s="76"/>
      <c r="AZ156" s="76"/>
      <c r="BA156" s="76"/>
      <c r="BB156" s="76" t="e">
        <f t="shared" ref="BB156:BZ156" si="299">BB152+BB148+BB144+BB136+BB132+BB128</f>
        <v>#REF!</v>
      </c>
      <c r="BC156" s="76" t="e">
        <f t="shared" si="299"/>
        <v>#REF!</v>
      </c>
      <c r="BD156" s="76" t="e">
        <f t="shared" si="299"/>
        <v>#REF!</v>
      </c>
      <c r="BE156" s="76" t="e">
        <f t="shared" si="299"/>
        <v>#REF!</v>
      </c>
      <c r="BF156" s="76" t="e">
        <f t="shared" si="299"/>
        <v>#REF!</v>
      </c>
      <c r="BG156" s="76" t="e">
        <f t="shared" si="299"/>
        <v>#REF!</v>
      </c>
      <c r="BH156" s="76" t="e">
        <f t="shared" si="299"/>
        <v>#REF!</v>
      </c>
      <c r="BI156" s="76" t="e">
        <f t="shared" si="299"/>
        <v>#REF!</v>
      </c>
      <c r="BJ156" s="76" t="e">
        <f t="shared" si="299"/>
        <v>#REF!</v>
      </c>
      <c r="BK156" s="76" t="e">
        <f t="shared" si="299"/>
        <v>#REF!</v>
      </c>
      <c r="BL156" s="76" t="e">
        <f t="shared" si="299"/>
        <v>#REF!</v>
      </c>
      <c r="BM156" s="76" t="e">
        <f t="shared" si="299"/>
        <v>#REF!</v>
      </c>
      <c r="BN156" s="76" t="e">
        <f t="shared" si="299"/>
        <v>#REF!</v>
      </c>
      <c r="BO156" s="76">
        <f t="shared" si="299"/>
        <v>1300.2016375999999</v>
      </c>
      <c r="BP156" s="76">
        <f t="shared" si="299"/>
        <v>1569.4137020399999</v>
      </c>
      <c r="BQ156" s="76">
        <f t="shared" si="299"/>
        <v>1801.4790870973998</v>
      </c>
      <c r="BR156" s="76">
        <f t="shared" si="299"/>
        <v>2069.3324924572398</v>
      </c>
      <c r="BS156" s="76">
        <f t="shared" si="299"/>
        <v>1973.626894437017</v>
      </c>
      <c r="BT156" s="76">
        <f t="shared" si="299"/>
        <v>1938.7223196535488</v>
      </c>
      <c r="BU156" s="76">
        <f t="shared" si="299"/>
        <v>1228.861903189124</v>
      </c>
      <c r="BV156" s="76">
        <f t="shared" si="299"/>
        <v>1305.9077489171584</v>
      </c>
      <c r="BW156" s="76">
        <f t="shared" si="299"/>
        <v>1541.3142742443179</v>
      </c>
      <c r="BX156" s="76">
        <f t="shared" si="299"/>
        <v>1914.7629597501893</v>
      </c>
      <c r="BY156" s="76">
        <f t="shared" si="299"/>
        <v>2015.9818169552841</v>
      </c>
      <c r="BZ156" s="76">
        <f t="shared" si="299"/>
        <v>2001.6848014993693</v>
      </c>
      <c r="CA156" s="76">
        <f t="shared" ref="CA156:DQ156" si="300">CA152+CA148+CA144+CA136+CA132+CA128+CA140</f>
        <v>2537.6941502676805</v>
      </c>
      <c r="CB156" s="76">
        <f t="shared" si="300"/>
        <v>3072.3836452430742</v>
      </c>
      <c r="CC156" s="76">
        <f t="shared" si="300"/>
        <v>3249.7703787697064</v>
      </c>
      <c r="CD156" s="76">
        <f t="shared" si="300"/>
        <v>3720.495057556901</v>
      </c>
      <c r="CE156" s="76">
        <f t="shared" si="300"/>
        <v>4304.398474939514</v>
      </c>
      <c r="CF156" s="76">
        <f t="shared" si="300"/>
        <v>4712.9644131488722</v>
      </c>
      <c r="CG156" s="76">
        <f t="shared" si="300"/>
        <v>5080.3360025821457</v>
      </c>
      <c r="CH156" s="76">
        <f t="shared" si="300"/>
        <v>5524.7027937085631</v>
      </c>
      <c r="CI156" s="76">
        <f t="shared" si="300"/>
        <v>3037.9252683828445</v>
      </c>
      <c r="CJ156" s="76">
        <f t="shared" si="300"/>
        <v>3296.6997170379168</v>
      </c>
      <c r="CK156" s="76">
        <f t="shared" si="300"/>
        <v>3970.0651683625038</v>
      </c>
      <c r="CL156" s="76">
        <f t="shared" si="300"/>
        <v>4801.5482870220585</v>
      </c>
      <c r="CM156" s="76">
        <f t="shared" si="300"/>
        <v>9582.1508764984301</v>
      </c>
      <c r="CN156" s="76">
        <f t="shared" si="300"/>
        <v>13544.567982469494</v>
      </c>
      <c r="CO156" s="76">
        <f t="shared" si="300"/>
        <v>16910.302405222377</v>
      </c>
      <c r="CP156" s="76">
        <f t="shared" si="300"/>
        <v>20522.550080934147</v>
      </c>
      <c r="CQ156" s="76">
        <f t="shared" si="300"/>
        <v>22700.540731384262</v>
      </c>
      <c r="CR156" s="76">
        <f t="shared" si="300"/>
        <v>26265.788334232951</v>
      </c>
      <c r="CS156" s="76">
        <f t="shared" si="300"/>
        <v>28847.374527167816</v>
      </c>
      <c r="CT156" s="76">
        <f t="shared" si="300"/>
        <v>26802.199975978496</v>
      </c>
      <c r="CU156" s="76">
        <f t="shared" si="300"/>
        <v>33866.672791710807</v>
      </c>
      <c r="CV156" s="76">
        <f t="shared" si="300"/>
        <v>41826.506070291223</v>
      </c>
      <c r="CW156" s="76">
        <f t="shared" si="300"/>
        <v>51154.714013204903</v>
      </c>
      <c r="CX156" s="76">
        <f t="shared" si="300"/>
        <v>61194.437227641967</v>
      </c>
      <c r="CY156" s="76">
        <f t="shared" si="300"/>
        <v>69762.329024745879</v>
      </c>
      <c r="CZ156" s="76">
        <f t="shared" si="300"/>
        <v>82897.341310481555</v>
      </c>
      <c r="DA156" s="76">
        <f t="shared" si="300"/>
        <v>94138.734017705268</v>
      </c>
      <c r="DB156" s="76">
        <f t="shared" si="300"/>
        <v>102911.14313286307</v>
      </c>
      <c r="DC156" s="76">
        <f t="shared" si="300"/>
        <v>113026.68517125474</v>
      </c>
      <c r="DD156" s="76">
        <f t="shared" si="300"/>
        <v>126402.8754569263</v>
      </c>
      <c r="DE156" s="76">
        <f t="shared" si="300"/>
        <v>134889.8051535016</v>
      </c>
      <c r="DF156" s="76">
        <f t="shared" si="300"/>
        <v>138478.6508492351</v>
      </c>
      <c r="DG156" s="76">
        <f t="shared" si="300"/>
        <v>142728.58288522091</v>
      </c>
      <c r="DH156" s="76">
        <f t="shared" si="300"/>
        <v>152727.92493096041</v>
      </c>
      <c r="DI156" s="76">
        <f t="shared" si="300"/>
        <v>160362.35926204207</v>
      </c>
      <c r="DJ156" s="76">
        <f t="shared" si="300"/>
        <v>161580.81841010327</v>
      </c>
      <c r="DK156" s="76">
        <f t="shared" si="300"/>
        <v>163390.34211770399</v>
      </c>
      <c r="DL156" s="76">
        <f t="shared" si="300"/>
        <v>168500.16568506835</v>
      </c>
      <c r="DM156" s="76">
        <f t="shared" si="300"/>
        <v>172044.64989220275</v>
      </c>
      <c r="DN156" s="76">
        <f t="shared" si="300"/>
        <v>175013.30682541861</v>
      </c>
      <c r="DO156" s="76">
        <f t="shared" si="300"/>
        <v>180363.14381941789</v>
      </c>
      <c r="DP156" s="76">
        <f t="shared" si="300"/>
        <v>191231.66255754282</v>
      </c>
      <c r="DQ156" s="76">
        <f t="shared" si="300"/>
        <v>198946.16427741846</v>
      </c>
      <c r="DT156" s="77"/>
      <c r="DU156" s="77"/>
      <c r="DV156" s="77"/>
      <c r="DW156" s="77"/>
      <c r="DX156" s="77"/>
      <c r="DY156" s="77"/>
      <c r="DZ156" s="77"/>
      <c r="EA156" s="77"/>
      <c r="EB156" s="77"/>
      <c r="EC156" s="76"/>
      <c r="ED156" s="76"/>
      <c r="EE156" s="76"/>
      <c r="EF156" s="76"/>
      <c r="EG156" s="76" t="e">
        <f>SUM(BB156:BE156)</f>
        <v>#REF!</v>
      </c>
      <c r="EH156" s="76" t="e">
        <f>SUM(BF156:BI156)</f>
        <v>#REF!</v>
      </c>
      <c r="EI156" s="76" t="e">
        <f>SUM(BJ156:BM156)</f>
        <v>#REF!</v>
      </c>
      <c r="EJ156" s="76" t="e">
        <f>SUM(BN156:BQ156)</f>
        <v>#REF!</v>
      </c>
      <c r="EK156" s="76">
        <f>SUM(BR156:BU156)</f>
        <v>7210.5436097369293</v>
      </c>
      <c r="EL156" s="76">
        <f>BV156+BW156+BX156+BY156</f>
        <v>6777.9667998669502</v>
      </c>
      <c r="EM156" s="76">
        <f>SUM(BZ156:CC156)</f>
        <v>10861.532975779832</v>
      </c>
      <c r="EN156" s="76">
        <f>+CD156+CE156+CF156+CG156</f>
        <v>17818.193948227432</v>
      </c>
      <c r="EO156" s="76">
        <f>SUM(CH156:CK156)</f>
        <v>15829.392947491828</v>
      </c>
      <c r="EP156" s="76">
        <f>SUM(CL156:CO156)</f>
        <v>44838.569551212364</v>
      </c>
      <c r="EQ156" s="76">
        <f>SUM(CP156:CS156)</f>
        <v>98336.253673719184</v>
      </c>
      <c r="ER156" s="76">
        <f>SUM(CT156:CW156)</f>
        <v>153650.09285118544</v>
      </c>
      <c r="ES156" s="78">
        <f>SUM(CX156:DA156)</f>
        <v>307992.84158057463</v>
      </c>
      <c r="ET156" s="78">
        <f>SUM(DB156:DE156)</f>
        <v>477230.50891454564</v>
      </c>
      <c r="EU156" s="78">
        <f>SUM(DF156:DI156)</f>
        <v>594297.51792745851</v>
      </c>
      <c r="EV156" s="78">
        <f>SUM(DJ156:DM156)</f>
        <v>665515.97610507836</v>
      </c>
      <c r="EW156" s="78">
        <f>SUM(DN156:DQ156)</f>
        <v>745554.27747979783</v>
      </c>
    </row>
    <row r="157" spans="1:153" s="49" customFormat="1">
      <c r="A157" s="69" t="s">
        <v>223</v>
      </c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52" t="e">
        <f t="shared" ref="BC157:DN157" si="301">BC156/BB156-1</f>
        <v>#REF!</v>
      </c>
      <c r="BD157" s="52" t="e">
        <f t="shared" si="301"/>
        <v>#REF!</v>
      </c>
      <c r="BE157" s="52" t="e">
        <f t="shared" si="301"/>
        <v>#REF!</v>
      </c>
      <c r="BF157" s="52" t="e">
        <f t="shared" si="301"/>
        <v>#REF!</v>
      </c>
      <c r="BG157" s="52" t="e">
        <f t="shared" si="301"/>
        <v>#REF!</v>
      </c>
      <c r="BH157" s="52" t="e">
        <f t="shared" si="301"/>
        <v>#REF!</v>
      </c>
      <c r="BI157" s="52" t="e">
        <f t="shared" si="301"/>
        <v>#REF!</v>
      </c>
      <c r="BJ157" s="52" t="e">
        <f t="shared" si="301"/>
        <v>#REF!</v>
      </c>
      <c r="BK157" s="52" t="e">
        <f t="shared" si="301"/>
        <v>#REF!</v>
      </c>
      <c r="BL157" s="52" t="e">
        <f t="shared" si="301"/>
        <v>#REF!</v>
      </c>
      <c r="BM157" s="52" t="e">
        <f t="shared" si="301"/>
        <v>#REF!</v>
      </c>
      <c r="BN157" s="52" t="e">
        <f t="shared" si="301"/>
        <v>#REF!</v>
      </c>
      <c r="BO157" s="52" t="e">
        <f t="shared" si="301"/>
        <v>#REF!</v>
      </c>
      <c r="BP157" s="52">
        <f t="shared" si="301"/>
        <v>0.2070540881158478</v>
      </c>
      <c r="BQ157" s="52">
        <f t="shared" si="301"/>
        <v>0.14786756656689692</v>
      </c>
      <c r="BR157" s="52">
        <f t="shared" si="301"/>
        <v>0.14868527049704139</v>
      </c>
      <c r="BS157" s="52">
        <f t="shared" si="301"/>
        <v>-4.6249502372901263E-2</v>
      </c>
      <c r="BT157" s="52">
        <f t="shared" si="301"/>
        <v>-1.7685498146509993E-2</v>
      </c>
      <c r="BU157" s="52">
        <f t="shared" si="301"/>
        <v>-0.36614857592977912</v>
      </c>
      <c r="BV157" s="52">
        <f t="shared" si="301"/>
        <v>6.2696911286846957E-2</v>
      </c>
      <c r="BW157" s="52">
        <f t="shared" si="301"/>
        <v>0.18026275249714652</v>
      </c>
      <c r="BX157" s="53">
        <f t="shared" si="301"/>
        <v>0.24229236810835841</v>
      </c>
      <c r="BY157" s="53">
        <f t="shared" si="301"/>
        <v>5.2862343450752913E-2</v>
      </c>
      <c r="BZ157" s="53">
        <f t="shared" si="301"/>
        <v>-7.0918375035283754E-3</v>
      </c>
      <c r="CA157" s="53">
        <f t="shared" si="301"/>
        <v>0.26777909707203218</v>
      </c>
      <c r="CB157" s="53">
        <f t="shared" si="301"/>
        <v>0.21069895082470591</v>
      </c>
      <c r="CC157" s="53">
        <f t="shared" si="301"/>
        <v>5.773586700387412E-2</v>
      </c>
      <c r="CD157" s="53">
        <f t="shared" si="301"/>
        <v>0.14484859664620386</v>
      </c>
      <c r="CE157" s="53">
        <f t="shared" si="301"/>
        <v>0.15694239835008372</v>
      </c>
      <c r="CF157" s="53">
        <f t="shared" si="301"/>
        <v>9.4918242488016613E-2</v>
      </c>
      <c r="CG157" s="53">
        <f t="shared" si="301"/>
        <v>7.7949154126504716E-2</v>
      </c>
      <c r="CH157" s="53">
        <f t="shared" si="301"/>
        <v>8.7467992451791154E-2</v>
      </c>
      <c r="CI157" s="53">
        <f t="shared" si="301"/>
        <v>-0.45011969298287291</v>
      </c>
      <c r="CJ157" s="53">
        <f t="shared" si="301"/>
        <v>8.518130822646075E-2</v>
      </c>
      <c r="CK157" s="53">
        <f t="shared" si="301"/>
        <v>0.20425440868773004</v>
      </c>
      <c r="CL157" s="53">
        <f t="shared" si="301"/>
        <v>0.20943815363174734</v>
      </c>
      <c r="CM157" s="53">
        <f t="shared" si="301"/>
        <v>0.99563772010742868</v>
      </c>
      <c r="CN157" s="53">
        <f t="shared" si="301"/>
        <v>0.41352063404568673</v>
      </c>
      <c r="CO157" s="53">
        <f t="shared" si="301"/>
        <v>0.24849330204618525</v>
      </c>
      <c r="CP157" s="53">
        <f t="shared" si="301"/>
        <v>0.21361224590497008</v>
      </c>
      <c r="CQ157" s="53">
        <f t="shared" si="301"/>
        <v>0.10612670656720735</v>
      </c>
      <c r="CR157" s="53">
        <f t="shared" si="301"/>
        <v>0.15705562457900468</v>
      </c>
      <c r="CS157" s="53">
        <f t="shared" si="301"/>
        <v>9.8287024934645029E-2</v>
      </c>
      <c r="CT157" s="53">
        <f t="shared" si="301"/>
        <v>-7.0896384323059336E-2</v>
      </c>
      <c r="CU157" s="53">
        <f t="shared" si="301"/>
        <v>0.26357809515875008</v>
      </c>
      <c r="CV157" s="53">
        <f t="shared" si="301"/>
        <v>0.23503440469441861</v>
      </c>
      <c r="CW157" s="53">
        <f t="shared" si="301"/>
        <v>0.22302144786459643</v>
      </c>
      <c r="CX157" s="53">
        <f t="shared" si="301"/>
        <v>0.19626193613056753</v>
      </c>
      <c r="CY157" s="53">
        <f t="shared" si="301"/>
        <v>0.14001095827111776</v>
      </c>
      <c r="CZ157" s="53">
        <f t="shared" si="301"/>
        <v>0.18828230750548003</v>
      </c>
      <c r="DA157" s="53">
        <f t="shared" si="301"/>
        <v>0.13560619109749839</v>
      </c>
      <c r="DB157" s="53">
        <f t="shared" si="301"/>
        <v>9.3185968631232186E-2</v>
      </c>
      <c r="DC157" s="53">
        <f t="shared" si="301"/>
        <v>9.8293943011905194E-2</v>
      </c>
      <c r="DD157" s="53">
        <f t="shared" si="301"/>
        <v>0.11834541785777719</v>
      </c>
      <c r="DE157" s="53">
        <f t="shared" si="301"/>
        <v>6.7141903741480657E-2</v>
      </c>
      <c r="DF157" s="53">
        <f t="shared" si="301"/>
        <v>2.6605759357791969E-2</v>
      </c>
      <c r="DG157" s="53">
        <f t="shared" si="301"/>
        <v>3.0690160612647954E-2</v>
      </c>
      <c r="DH157" s="53">
        <f t="shared" si="301"/>
        <v>7.0058441298900487E-2</v>
      </c>
      <c r="DI157" s="53">
        <f t="shared" si="301"/>
        <v>4.998715417977917E-2</v>
      </c>
      <c r="DJ157" s="53">
        <f t="shared" si="301"/>
        <v>7.5981617735503271E-3</v>
      </c>
      <c r="DK157" s="53">
        <f t="shared" si="301"/>
        <v>1.1198876979370276E-2</v>
      </c>
      <c r="DL157" s="53">
        <f t="shared" si="301"/>
        <v>3.1273718514423177E-2</v>
      </c>
      <c r="DM157" s="53">
        <f t="shared" si="301"/>
        <v>2.1035493898321489E-2</v>
      </c>
      <c r="DN157" s="53">
        <f t="shared" si="301"/>
        <v>1.7255154025864305E-2</v>
      </c>
      <c r="DO157" s="53">
        <f t="shared" ref="DO157:DQ157" si="302">DO156/DN156-1</f>
        <v>3.0568172735207622E-2</v>
      </c>
      <c r="DP157" s="53">
        <f t="shared" si="302"/>
        <v>6.0259089013255718E-2</v>
      </c>
      <c r="DQ157" s="53">
        <f t="shared" si="302"/>
        <v>4.0341131885282211E-2</v>
      </c>
      <c r="DT157" s="54" t="s">
        <v>224</v>
      </c>
      <c r="DU157" s="54" t="s">
        <v>224</v>
      </c>
      <c r="DV157" s="54" t="s">
        <v>224</v>
      </c>
      <c r="DW157" s="54" t="s">
        <v>224</v>
      </c>
      <c r="DX157" s="54" t="s">
        <v>224</v>
      </c>
      <c r="DY157" s="54" t="s">
        <v>224</v>
      </c>
      <c r="DZ157" s="54" t="s">
        <v>224</v>
      </c>
      <c r="EA157" s="54" t="s">
        <v>224</v>
      </c>
      <c r="EB157" s="54" t="s">
        <v>224</v>
      </c>
      <c r="EC157" s="54" t="s">
        <v>224</v>
      </c>
      <c r="ED157" s="54" t="s">
        <v>224</v>
      </c>
      <c r="EE157" s="54" t="s">
        <v>224</v>
      </c>
      <c r="EF157" s="54" t="s">
        <v>224</v>
      </c>
      <c r="EG157" s="54" t="s">
        <v>224</v>
      </c>
      <c r="EH157" s="54" t="s">
        <v>224</v>
      </c>
      <c r="EI157" s="54" t="s">
        <v>224</v>
      </c>
      <c r="EJ157" s="54" t="s">
        <v>224</v>
      </c>
      <c r="EK157" s="54" t="s">
        <v>224</v>
      </c>
      <c r="EL157" s="54" t="s">
        <v>224</v>
      </c>
      <c r="EM157" s="54" t="s">
        <v>224</v>
      </c>
      <c r="EN157" s="54" t="s">
        <v>224</v>
      </c>
      <c r="EO157" s="54" t="s">
        <v>224</v>
      </c>
      <c r="EP157" s="54" t="s">
        <v>224</v>
      </c>
      <c r="EQ157" s="54" t="s">
        <v>224</v>
      </c>
      <c r="ER157" s="54" t="s">
        <v>224</v>
      </c>
      <c r="ES157" s="55" t="s">
        <v>224</v>
      </c>
      <c r="ET157" s="55" t="s">
        <v>224</v>
      </c>
      <c r="EU157" s="55" t="s">
        <v>224</v>
      </c>
      <c r="EV157" s="55" t="s">
        <v>224</v>
      </c>
      <c r="EW157" s="55" t="s">
        <v>224</v>
      </c>
    </row>
    <row r="158" spans="1:153" s="49" customFormat="1">
      <c r="A158" s="69" t="s">
        <v>225</v>
      </c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91" t="e">
        <f t="shared" ref="BF158:DQ158" si="303">BF156/BB156-1</f>
        <v>#REF!</v>
      </c>
      <c r="BG158" s="91" t="e">
        <f t="shared" si="303"/>
        <v>#REF!</v>
      </c>
      <c r="BH158" s="91" t="e">
        <f t="shared" si="303"/>
        <v>#REF!</v>
      </c>
      <c r="BI158" s="91" t="e">
        <f t="shared" si="303"/>
        <v>#REF!</v>
      </c>
      <c r="BJ158" s="91" t="e">
        <f t="shared" si="303"/>
        <v>#REF!</v>
      </c>
      <c r="BK158" s="91" t="e">
        <f t="shared" si="303"/>
        <v>#REF!</v>
      </c>
      <c r="BL158" s="91" t="e">
        <f t="shared" si="303"/>
        <v>#REF!</v>
      </c>
      <c r="BM158" s="91" t="e">
        <f t="shared" si="303"/>
        <v>#REF!</v>
      </c>
      <c r="BN158" s="91" t="e">
        <f t="shared" si="303"/>
        <v>#REF!</v>
      </c>
      <c r="BO158" s="91" t="e">
        <f t="shared" si="303"/>
        <v>#REF!</v>
      </c>
      <c r="BP158" s="91" t="e">
        <f t="shared" si="303"/>
        <v>#REF!</v>
      </c>
      <c r="BQ158" s="91" t="e">
        <f t="shared" si="303"/>
        <v>#REF!</v>
      </c>
      <c r="BR158" s="91" t="e">
        <f t="shared" si="303"/>
        <v>#REF!</v>
      </c>
      <c r="BS158" s="91">
        <f t="shared" si="303"/>
        <v>0.51793909295489815</v>
      </c>
      <c r="BT158" s="91">
        <f t="shared" si="303"/>
        <v>0.23531629495365292</v>
      </c>
      <c r="BU158" s="91">
        <f t="shared" si="303"/>
        <v>-0.3178594678170229</v>
      </c>
      <c r="BV158" s="91">
        <f t="shared" si="303"/>
        <v>-0.36892318963858184</v>
      </c>
      <c r="BW158" s="91">
        <f t="shared" si="303"/>
        <v>-0.21904475532393752</v>
      </c>
      <c r="BX158" s="100">
        <f t="shared" si="303"/>
        <v>-1.2358324686560063E-2</v>
      </c>
      <c r="BY158" s="100">
        <f t="shared" si="303"/>
        <v>0.64052755783496784</v>
      </c>
      <c r="BZ158" s="100">
        <f t="shared" si="303"/>
        <v>0.53279188607245809</v>
      </c>
      <c r="CA158" s="100">
        <f t="shared" si="303"/>
        <v>0.64644822452700113</v>
      </c>
      <c r="CB158" s="100">
        <f t="shared" si="303"/>
        <v>0.60457649841101713</v>
      </c>
      <c r="CC158" s="100">
        <f>CC156/BY156-1</f>
        <v>0.61200381443806884</v>
      </c>
      <c r="CD158" s="100">
        <f t="shared" si="303"/>
        <v>0.85868177385872668</v>
      </c>
      <c r="CE158" s="100">
        <f t="shared" si="303"/>
        <v>0.69618489071485556</v>
      </c>
      <c r="CF158" s="100">
        <f t="shared" si="303"/>
        <v>0.53397653331669193</v>
      </c>
      <c r="CG158" s="100">
        <f t="shared" si="303"/>
        <v>0.56329075917833071</v>
      </c>
      <c r="CH158" s="100">
        <f t="shared" si="303"/>
        <v>0.48493754412790779</v>
      </c>
      <c r="CI158" s="100">
        <f t="shared" si="303"/>
        <v>-0.29422768684873357</v>
      </c>
      <c r="CJ158" s="100">
        <f t="shared" si="303"/>
        <v>-0.30050400808452249</v>
      </c>
      <c r="CK158" s="100">
        <f t="shared" si="303"/>
        <v>-0.21854279592045345</v>
      </c>
      <c r="CL158" s="100">
        <f t="shared" si="303"/>
        <v>-0.13089473473758995</v>
      </c>
      <c r="CM158" s="100">
        <f t="shared" si="303"/>
        <v>2.1541759687851778</v>
      </c>
      <c r="CN158" s="100">
        <f t="shared" si="303"/>
        <v>3.1085234158479205</v>
      </c>
      <c r="CO158" s="100">
        <f t="shared" si="303"/>
        <v>3.2594520966509002</v>
      </c>
      <c r="CP158" s="100">
        <f t="shared" si="303"/>
        <v>3.2741525970703762</v>
      </c>
      <c r="CQ158" s="100">
        <f t="shared" si="303"/>
        <v>1.3690443851244845</v>
      </c>
      <c r="CR158" s="100">
        <f t="shared" si="303"/>
        <v>0.93921196809143837</v>
      </c>
      <c r="CS158" s="100">
        <f t="shared" si="303"/>
        <v>0.7059053017442749</v>
      </c>
      <c r="CT158" s="100">
        <f t="shared" si="303"/>
        <v>0.30598779733899972</v>
      </c>
      <c r="CU158" s="100">
        <f t="shared" si="303"/>
        <v>0.49188837360552351</v>
      </c>
      <c r="CV158" s="100">
        <f t="shared" si="303"/>
        <v>0.59243292217418597</v>
      </c>
      <c r="CW158" s="100">
        <f t="shared" si="303"/>
        <v>0.7732883789832774</v>
      </c>
      <c r="CX158" s="100">
        <f t="shared" si="303"/>
        <v>1.2831870996592651</v>
      </c>
      <c r="CY158" s="100">
        <f t="shared" si="303"/>
        <v>1.0599109175502139</v>
      </c>
      <c r="CZ158" s="100">
        <f t="shared" si="303"/>
        <v>0.98193320692789987</v>
      </c>
      <c r="DA158" s="100">
        <f t="shared" si="303"/>
        <v>0.84027485704259086</v>
      </c>
      <c r="DB158" s="100">
        <f t="shared" si="303"/>
        <v>0.68170748511071144</v>
      </c>
      <c r="DC158" s="100">
        <f t="shared" si="303"/>
        <v>0.62016788647010701</v>
      </c>
      <c r="DD158" s="100">
        <f t="shared" si="303"/>
        <v>0.52481217682844905</v>
      </c>
      <c r="DE158" s="100">
        <f t="shared" si="303"/>
        <v>0.43288314380913628</v>
      </c>
      <c r="DF158" s="100">
        <f t="shared" si="303"/>
        <v>0.34561376575569391</v>
      </c>
      <c r="DG158" s="100">
        <f t="shared" si="303"/>
        <v>0.26278659476709176</v>
      </c>
      <c r="DH158" s="100">
        <f t="shared" si="303"/>
        <v>0.20826305872293838</v>
      </c>
      <c r="DI158" s="100">
        <f t="shared" si="303"/>
        <v>0.18883972795092463</v>
      </c>
      <c r="DJ158" s="100">
        <f t="shared" si="303"/>
        <v>0.16682836971036075</v>
      </c>
      <c r="DK158" s="100">
        <f t="shared" si="303"/>
        <v>0.1447625893483353</v>
      </c>
      <c r="DL158" s="100">
        <f t="shared" si="303"/>
        <v>0.10327018298217361</v>
      </c>
      <c r="DM158" s="100">
        <f t="shared" si="303"/>
        <v>7.2849331251550797E-2</v>
      </c>
      <c r="DN158" s="100">
        <f t="shared" si="303"/>
        <v>8.3131701816379966E-2</v>
      </c>
      <c r="DO158" s="100">
        <f t="shared" si="303"/>
        <v>0.10387885527216145</v>
      </c>
      <c r="DP158" s="100">
        <f t="shared" si="303"/>
        <v>0.13490489329820776</v>
      </c>
      <c r="DQ158" s="100">
        <f t="shared" si="303"/>
        <v>0.15636356261046913</v>
      </c>
      <c r="EC158" s="35"/>
      <c r="ED158" s="35"/>
      <c r="EE158" s="35"/>
      <c r="EF158" s="35"/>
      <c r="EG158" s="35"/>
      <c r="EH158" s="52" t="e">
        <f t="shared" ref="EH158:ET158" si="304">EH156/EG156-1</f>
        <v>#REF!</v>
      </c>
      <c r="EI158" s="52" t="e">
        <f t="shared" si="304"/>
        <v>#REF!</v>
      </c>
      <c r="EJ158" s="52" t="e">
        <f t="shared" si="304"/>
        <v>#REF!</v>
      </c>
      <c r="EK158" s="52" t="e">
        <f t="shared" si="304"/>
        <v>#REF!</v>
      </c>
      <c r="EL158" s="52">
        <f t="shared" si="304"/>
        <v>-5.9992260401260045E-2</v>
      </c>
      <c r="EM158" s="52">
        <f t="shared" si="304"/>
        <v>0.60247656804589855</v>
      </c>
      <c r="EN158" s="52">
        <f t="shared" si="304"/>
        <v>0.64048610706796927</v>
      </c>
      <c r="EO158" s="52">
        <f t="shared" si="304"/>
        <v>-0.11161630670955025</v>
      </c>
      <c r="EP158" s="52">
        <f t="shared" si="304"/>
        <v>1.8326145986739846</v>
      </c>
      <c r="EQ158" s="52">
        <f t="shared" si="304"/>
        <v>1.1931175471912514</v>
      </c>
      <c r="ER158" s="52">
        <f t="shared" si="304"/>
        <v>0.56249691350860509</v>
      </c>
      <c r="ES158" s="53">
        <f t="shared" si="304"/>
        <v>1.0045080081980466</v>
      </c>
      <c r="ET158" s="53">
        <f t="shared" si="304"/>
        <v>0.5494857168285725</v>
      </c>
      <c r="EU158" s="53">
        <f>EU156/ET156-1</f>
        <v>0.24530495604562286</v>
      </c>
      <c r="EV158" s="53">
        <f>EV156/EU156-1</f>
        <v>0.11983637156349847</v>
      </c>
      <c r="EW158" s="53">
        <f>EW156/EV156-1</f>
        <v>0.12026503382103959</v>
      </c>
    </row>
    <row r="159" spans="1:153" s="774" customFormat="1">
      <c r="A159" s="782" t="s">
        <v>280</v>
      </c>
      <c r="B159" s="783"/>
      <c r="C159" s="783"/>
      <c r="D159" s="783"/>
      <c r="E159" s="783"/>
      <c r="F159" s="783"/>
      <c r="G159" s="783"/>
      <c r="H159" s="783"/>
      <c r="I159" s="783"/>
      <c r="J159" s="783"/>
      <c r="K159" s="783"/>
      <c r="L159" s="783"/>
      <c r="M159" s="783"/>
      <c r="N159" s="783"/>
      <c r="O159" s="783"/>
      <c r="P159" s="783"/>
      <c r="Q159" s="783"/>
      <c r="R159" s="783"/>
      <c r="S159" s="783"/>
      <c r="T159" s="783"/>
      <c r="U159" s="783"/>
      <c r="V159" s="783"/>
      <c r="W159" s="783"/>
      <c r="X159" s="783"/>
      <c r="Y159" s="783"/>
      <c r="Z159" s="783"/>
      <c r="AA159" s="783"/>
      <c r="AB159" s="783"/>
      <c r="AC159" s="783"/>
      <c r="AD159" s="783"/>
      <c r="AE159" s="783"/>
      <c r="AF159" s="783"/>
      <c r="AG159" s="783"/>
      <c r="AH159" s="783"/>
      <c r="AI159" s="783"/>
      <c r="AJ159" s="783"/>
      <c r="AK159" s="783"/>
      <c r="AL159" s="783"/>
      <c r="AM159" s="783"/>
      <c r="AN159" s="783"/>
      <c r="AO159" s="783"/>
      <c r="AP159" s="783"/>
      <c r="AQ159" s="783"/>
      <c r="AR159" s="783"/>
      <c r="AS159" s="783"/>
      <c r="AT159" s="783"/>
      <c r="AU159" s="783"/>
      <c r="AV159" s="783"/>
      <c r="AW159" s="783"/>
      <c r="AX159" s="783"/>
      <c r="AY159" s="783"/>
      <c r="AZ159" s="783"/>
      <c r="BA159" s="783"/>
      <c r="BB159" s="783" t="e">
        <f t="shared" ref="BB159:CG159" si="305">BB156/BB5</f>
        <v>#REF!</v>
      </c>
      <c r="BC159" s="783" t="e">
        <f t="shared" si="305"/>
        <v>#REF!</v>
      </c>
      <c r="BD159" s="783" t="e">
        <f t="shared" si="305"/>
        <v>#REF!</v>
      </c>
      <c r="BE159" s="783" t="e">
        <f t="shared" si="305"/>
        <v>#REF!</v>
      </c>
      <c r="BF159" s="783" t="e">
        <f t="shared" si="305"/>
        <v>#REF!</v>
      </c>
      <c r="BG159" s="783" t="e">
        <f t="shared" si="305"/>
        <v>#REF!</v>
      </c>
      <c r="BH159" s="783" t="e">
        <f t="shared" si="305"/>
        <v>#REF!</v>
      </c>
      <c r="BI159" s="783" t="e">
        <f t="shared" si="305"/>
        <v>#REF!</v>
      </c>
      <c r="BJ159" s="783" t="e">
        <f t="shared" si="305"/>
        <v>#REF!</v>
      </c>
      <c r="BK159" s="783" t="e">
        <f t="shared" si="305"/>
        <v>#REF!</v>
      </c>
      <c r="BL159" s="783" t="e">
        <f t="shared" si="305"/>
        <v>#REF!</v>
      </c>
      <c r="BM159" s="783" t="e">
        <f t="shared" si="305"/>
        <v>#REF!</v>
      </c>
      <c r="BN159" s="783" t="e">
        <f t="shared" si="305"/>
        <v>#REF!</v>
      </c>
      <c r="BO159" s="783">
        <f t="shared" si="305"/>
        <v>0.58305006170403584</v>
      </c>
      <c r="BP159" s="783">
        <f t="shared" si="305"/>
        <v>0.59537697345978746</v>
      </c>
      <c r="BQ159" s="783">
        <f t="shared" si="305"/>
        <v>0.61885231435843346</v>
      </c>
      <c r="BR159" s="783">
        <f t="shared" si="305"/>
        <v>0.6452549087799313</v>
      </c>
      <c r="BS159" s="783">
        <f t="shared" si="305"/>
        <v>0.63196506386071627</v>
      </c>
      <c r="BT159" s="783">
        <f t="shared" si="305"/>
        <v>0.60946944974962236</v>
      </c>
      <c r="BU159" s="783">
        <f t="shared" si="305"/>
        <v>0.55730698557329883</v>
      </c>
      <c r="BV159" s="783">
        <f t="shared" si="305"/>
        <v>0.58824673374646774</v>
      </c>
      <c r="BW159" s="783">
        <f t="shared" si="305"/>
        <v>0.59764027694622635</v>
      </c>
      <c r="BX159" s="783">
        <f t="shared" si="305"/>
        <v>0.6352896349536129</v>
      </c>
      <c r="BY159" s="783">
        <f t="shared" si="305"/>
        <v>0.64926950626579194</v>
      </c>
      <c r="BZ159" s="783">
        <f t="shared" si="305"/>
        <v>0.64989766282447059</v>
      </c>
      <c r="CA159" s="783">
        <f t="shared" si="305"/>
        <v>0.65641338599784804</v>
      </c>
      <c r="CB159" s="783">
        <f t="shared" si="305"/>
        <v>0.65010233712295262</v>
      </c>
      <c r="CC159" s="783">
        <f t="shared" si="305"/>
        <v>0.6495643371516503</v>
      </c>
      <c r="CD159" s="783">
        <f t="shared" si="305"/>
        <v>0.65721516650007084</v>
      </c>
      <c r="CE159" s="783">
        <f t="shared" si="305"/>
        <v>0.66150276240041705</v>
      </c>
      <c r="CF159" s="783">
        <f t="shared" si="305"/>
        <v>0.66351744518497424</v>
      </c>
      <c r="CG159" s="783">
        <f t="shared" si="305"/>
        <v>0.66470443576895799</v>
      </c>
      <c r="CH159" s="783">
        <f t="shared" ref="CH159:DQ159" si="306">CH156/CH5</f>
        <v>0.66659058804398685</v>
      </c>
      <c r="CI159" s="783">
        <f t="shared" si="306"/>
        <v>0.45315114385185629</v>
      </c>
      <c r="CJ159" s="783">
        <f t="shared" si="306"/>
        <v>0.55584213741998256</v>
      </c>
      <c r="CK159" s="783">
        <f t="shared" si="306"/>
        <v>0.65610067234548075</v>
      </c>
      <c r="CL159" s="783">
        <f t="shared" si="306"/>
        <v>0.66762351043132073</v>
      </c>
      <c r="CM159" s="783">
        <f t="shared" si="306"/>
        <v>0.70942110583389573</v>
      </c>
      <c r="CN159" s="783">
        <f t="shared" si="306"/>
        <v>0.74749271426432085</v>
      </c>
      <c r="CO159" s="783">
        <f t="shared" si="306"/>
        <v>0.76506819912330348</v>
      </c>
      <c r="CP159" s="783">
        <f t="shared" si="306"/>
        <v>0.78799531872731321</v>
      </c>
      <c r="CQ159" s="783">
        <f t="shared" si="306"/>
        <v>0.75567712155074107</v>
      </c>
      <c r="CR159" s="783">
        <f t="shared" si="306"/>
        <v>0.7486970051374765</v>
      </c>
      <c r="CS159" s="783">
        <f t="shared" si="306"/>
        <v>0.73345133678695729</v>
      </c>
      <c r="CT159" s="783">
        <f t="shared" si="306"/>
        <v>0.60828378139844985</v>
      </c>
      <c r="CU159" s="783">
        <f t="shared" si="306"/>
        <v>0.72452929404853794</v>
      </c>
      <c r="CV159" s="783">
        <f t="shared" si="306"/>
        <v>0.73372111830844511</v>
      </c>
      <c r="CW159" s="783">
        <f t="shared" si="306"/>
        <v>0.75087284062420045</v>
      </c>
      <c r="CX159" s="783">
        <f t="shared" si="306"/>
        <v>0.74979399899089583</v>
      </c>
      <c r="CY159" s="783">
        <f t="shared" si="306"/>
        <v>0.74973194331506288</v>
      </c>
      <c r="CZ159" s="783">
        <f t="shared" si="306"/>
        <v>0.7491351512289296</v>
      </c>
      <c r="DA159" s="783">
        <f t="shared" si="306"/>
        <v>0.74991845307916394</v>
      </c>
      <c r="DB159" s="783">
        <f t="shared" si="306"/>
        <v>0.75089281134965613</v>
      </c>
      <c r="DC159" s="783">
        <f t="shared" si="306"/>
        <v>0.75121421181208836</v>
      </c>
      <c r="DD159" s="783">
        <f t="shared" si="306"/>
        <v>0.75153396267675665</v>
      </c>
      <c r="DE159" s="783">
        <f t="shared" si="306"/>
        <v>0.75182578968662062</v>
      </c>
      <c r="DF159" s="783">
        <f t="shared" si="306"/>
        <v>0.75232252934402488</v>
      </c>
      <c r="DG159" s="783">
        <f t="shared" si="306"/>
        <v>0.75221838699726884</v>
      </c>
      <c r="DH159" s="783">
        <f t="shared" si="306"/>
        <v>0.75221518042571089</v>
      </c>
      <c r="DI159" s="783">
        <f t="shared" si="306"/>
        <v>0.75226175520131133</v>
      </c>
      <c r="DJ159" s="783">
        <f t="shared" si="306"/>
        <v>0.75261071062240947</v>
      </c>
      <c r="DK159" s="783">
        <f t="shared" si="306"/>
        <v>0.75241209792175423</v>
      </c>
      <c r="DL159" s="783">
        <f t="shared" si="306"/>
        <v>0.75220722447051902</v>
      </c>
      <c r="DM159" s="783">
        <f t="shared" si="306"/>
        <v>0.75208450427622142</v>
      </c>
      <c r="DN159" s="783">
        <f t="shared" si="306"/>
        <v>0.75248172677606895</v>
      </c>
      <c r="DO159" s="783">
        <f t="shared" si="306"/>
        <v>0.75238566633178761</v>
      </c>
      <c r="DP159" s="783">
        <f t="shared" si="306"/>
        <v>0.75234121392853615</v>
      </c>
      <c r="DQ159" s="783">
        <f t="shared" si="306"/>
        <v>0.75232302967450992</v>
      </c>
      <c r="EG159" s="783" t="e">
        <f t="shared" ref="EG159:EW159" si="307">EG156/EG5</f>
        <v>#REF!</v>
      </c>
      <c r="EH159" s="783" t="e">
        <f t="shared" si="307"/>
        <v>#REF!</v>
      </c>
      <c r="EI159" s="783" t="e">
        <f t="shared" si="307"/>
        <v>#REF!</v>
      </c>
      <c r="EJ159" s="783" t="e">
        <f t="shared" si="307"/>
        <v>#REF!</v>
      </c>
      <c r="EK159" s="783">
        <f t="shared" si="307"/>
        <v>0.61544414559038318</v>
      </c>
      <c r="EL159" s="783">
        <f t="shared" si="307"/>
        <v>0.62080663123895863</v>
      </c>
      <c r="EM159" s="774">
        <f t="shared" si="307"/>
        <v>0.65136629539909041</v>
      </c>
      <c r="EN159" s="774">
        <f t="shared" si="307"/>
        <v>0.66204183503854619</v>
      </c>
      <c r="EO159" s="774">
        <f t="shared" si="307"/>
        <v>0.58683891701237589</v>
      </c>
      <c r="EP159" s="774">
        <f t="shared" si="307"/>
        <v>0.73599963151591152</v>
      </c>
      <c r="EQ159" s="774">
        <f t="shared" si="307"/>
        <v>0.75355183394039083</v>
      </c>
      <c r="ER159" s="774">
        <f t="shared" si="307"/>
        <v>0.71154726287724002</v>
      </c>
      <c r="ES159" s="774">
        <f t="shared" si="307"/>
        <v>0.74964051949921262</v>
      </c>
      <c r="ET159" s="774">
        <f t="shared" si="307"/>
        <v>0.75140229988922036</v>
      </c>
      <c r="EU159" s="774">
        <f t="shared" si="307"/>
        <v>0.75225352926497757</v>
      </c>
      <c r="EV159" s="774">
        <f t="shared" si="307"/>
        <v>0.7523237071790968</v>
      </c>
      <c r="EW159" s="774">
        <f t="shared" si="307"/>
        <v>0.75238009486773272</v>
      </c>
    </row>
    <row r="160" spans="1:153">
      <c r="A160" s="74" t="s">
        <v>281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4"/>
      <c r="AP160" s="74"/>
      <c r="AQ160" s="74"/>
      <c r="AR160" s="74"/>
      <c r="AS160" s="74"/>
      <c r="AT160" s="74"/>
      <c r="AU160" s="74"/>
      <c r="AV160" s="74"/>
      <c r="AW160" s="74"/>
      <c r="AX160" s="74"/>
      <c r="AY160" s="74"/>
      <c r="AZ160" s="74"/>
      <c r="BA160" s="74"/>
      <c r="BB160" s="74"/>
      <c r="BC160" s="74"/>
      <c r="BD160" s="74"/>
      <c r="BE160" s="74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5"/>
      <c r="CE160" s="75"/>
      <c r="CF160" s="75"/>
      <c r="CG160" s="75"/>
      <c r="CH160" s="75"/>
      <c r="CI160" s="75"/>
      <c r="CJ160" s="75"/>
      <c r="CK160" s="75"/>
      <c r="CL160" s="75"/>
      <c r="CM160" s="75"/>
      <c r="CN160" s="75"/>
      <c r="CO160" s="75"/>
      <c r="CP160" s="75"/>
      <c r="CQ160" s="75"/>
      <c r="CR160" s="75"/>
      <c r="CS160" s="75"/>
      <c r="CT160" s="75"/>
      <c r="CU160" s="75"/>
      <c r="CV160" s="75"/>
      <c r="CW160" s="75"/>
      <c r="CX160" s="75"/>
      <c r="CY160" s="75"/>
      <c r="CZ160" s="75"/>
      <c r="DA160" s="75"/>
      <c r="DB160" s="75"/>
      <c r="DC160" s="75"/>
      <c r="DD160" s="75"/>
      <c r="DE160" s="75"/>
      <c r="DF160" s="75"/>
      <c r="DG160" s="75"/>
      <c r="DH160" s="75"/>
      <c r="DI160" s="75"/>
      <c r="DJ160" s="75"/>
      <c r="DK160" s="75"/>
      <c r="DL160" s="75"/>
      <c r="DM160" s="75"/>
      <c r="DN160" s="75"/>
      <c r="DO160" s="75"/>
      <c r="DP160" s="75"/>
      <c r="DQ160" s="75"/>
      <c r="DT160" s="74"/>
      <c r="DU160" s="74"/>
      <c r="DV160" s="74"/>
      <c r="DW160" s="74"/>
      <c r="DX160" s="74"/>
      <c r="DY160" s="74"/>
      <c r="DZ160" s="74"/>
      <c r="EA160" s="74"/>
      <c r="EB160" s="74"/>
      <c r="EC160" s="74"/>
      <c r="ED160" s="74"/>
      <c r="EE160" s="74"/>
      <c r="EF160" s="74"/>
      <c r="EG160" s="47"/>
      <c r="EH160" s="47"/>
      <c r="EI160" s="47"/>
      <c r="EJ160" s="47"/>
      <c r="EK160" s="47"/>
      <c r="EL160" s="47"/>
      <c r="EM160" s="47"/>
      <c r="EN160" s="47"/>
      <c r="EO160" s="47"/>
      <c r="EP160" s="47" t="s">
        <v>282</v>
      </c>
      <c r="EQ160" s="47"/>
      <c r="ER160" s="47"/>
      <c r="ES160" s="47"/>
      <c r="ET160" s="47"/>
      <c r="EU160" s="47"/>
      <c r="EV160" s="47"/>
      <c r="EW160" s="47"/>
    </row>
    <row r="161" spans="1:153" s="49" customFormat="1">
      <c r="A161" s="49" t="s">
        <v>283</v>
      </c>
      <c r="BB161" s="106"/>
      <c r="BC161" s="106"/>
      <c r="BD161" s="106"/>
      <c r="BE161" s="106"/>
      <c r="BF161" s="106"/>
      <c r="BG161" s="106"/>
      <c r="BH161" s="106"/>
      <c r="BI161" s="106"/>
      <c r="BJ161" s="106"/>
      <c r="BK161" s="106"/>
      <c r="BL161" s="106"/>
      <c r="BM161" s="106"/>
      <c r="BN161" s="106"/>
      <c r="BO161" s="106"/>
      <c r="BP161" s="106"/>
      <c r="BQ161" s="106"/>
      <c r="BR161" s="106"/>
      <c r="BS161" s="106"/>
      <c r="BT161" s="106"/>
      <c r="BU161" s="106"/>
      <c r="BV161" s="106"/>
      <c r="BW161" s="106"/>
      <c r="BX161" s="106"/>
      <c r="BY161" s="106"/>
      <c r="BZ161" s="106"/>
      <c r="CA161" s="106"/>
      <c r="CB161" s="106"/>
      <c r="CD161" s="49">
        <v>1784</v>
      </c>
      <c r="CE161" s="49">
        <v>1961</v>
      </c>
      <c r="CF161" s="49">
        <v>2187</v>
      </c>
      <c r="CG161" s="49">
        <f>8544-SUM(CD161:CF161)</f>
        <v>2612</v>
      </c>
      <c r="CH161" s="49">
        <v>2777</v>
      </c>
      <c r="CI161" s="49">
        <v>1204</v>
      </c>
      <c r="CJ161" s="49">
        <v>1153</v>
      </c>
      <c r="CK161" s="49">
        <f>6986-SUM(CH161:CJ161)</f>
        <v>1852</v>
      </c>
      <c r="CL161" s="49">
        <v>1796</v>
      </c>
      <c r="CM161" s="49">
        <v>2839</v>
      </c>
      <c r="CN161" s="49">
        <v>4333</v>
      </c>
      <c r="CO161" s="49">
        <f>13405-SUM(CL161:CN161)</f>
        <v>4437</v>
      </c>
      <c r="CP161" s="49">
        <v>4373</v>
      </c>
      <c r="CQ161" s="49">
        <v>5740</v>
      </c>
      <c r="CR161" s="49">
        <v>5153</v>
      </c>
      <c r="CS161" s="49">
        <f>20573-CR161-CQ161-CP161</f>
        <v>5307</v>
      </c>
      <c r="CT161" s="49">
        <v>7158</v>
      </c>
      <c r="CU161" s="49">
        <v>8529</v>
      </c>
      <c r="CV161" s="49">
        <v>13751</v>
      </c>
      <c r="CW161" s="106"/>
      <c r="CX161" s="106"/>
      <c r="CY161" s="106"/>
      <c r="CZ161" s="106"/>
      <c r="DA161" s="106"/>
      <c r="DB161" s="106"/>
      <c r="DC161" s="106"/>
      <c r="DD161" s="106"/>
      <c r="DE161" s="106"/>
      <c r="DF161" s="106"/>
      <c r="DG161" s="106"/>
      <c r="DH161" s="106"/>
      <c r="DI161" s="106"/>
      <c r="DJ161" s="106"/>
      <c r="DK161" s="106"/>
      <c r="DL161" s="106"/>
      <c r="DM161" s="106"/>
      <c r="DN161" s="106"/>
      <c r="DO161" s="106"/>
      <c r="DP161" s="106"/>
      <c r="DQ161" s="106"/>
      <c r="EC161" s="35"/>
      <c r="ED161" s="35"/>
      <c r="EE161" s="35"/>
      <c r="EG161" s="35"/>
      <c r="EH161" s="103"/>
      <c r="EI161" s="103"/>
      <c r="EJ161" s="104"/>
      <c r="EK161" s="104"/>
      <c r="EL161" s="104"/>
      <c r="EM161" s="104"/>
      <c r="EN161" s="117">
        <f>+CD161+CE161+CF161+CG161</f>
        <v>8544</v>
      </c>
      <c r="EO161" s="117">
        <f>SUM(CH161:CK161)</f>
        <v>6986</v>
      </c>
      <c r="EP161" s="117">
        <v>14912</v>
      </c>
      <c r="EQ161" s="117">
        <v>23600</v>
      </c>
      <c r="ER161" s="117">
        <v>42345</v>
      </c>
      <c r="ES161" s="118"/>
      <c r="ET161" s="118"/>
      <c r="EU161" s="118"/>
      <c r="EV161" s="118"/>
      <c r="EW161" s="118"/>
    </row>
    <row r="162" spans="1:153" s="49" customFormat="1">
      <c r="A162" s="49" t="s">
        <v>284</v>
      </c>
      <c r="BB162" s="106"/>
      <c r="BC162" s="106"/>
      <c r="BD162" s="106"/>
      <c r="BE162" s="106"/>
      <c r="BF162" s="106"/>
      <c r="BG162" s="106"/>
      <c r="BH162" s="106"/>
      <c r="BI162" s="106"/>
      <c r="BJ162" s="106"/>
      <c r="BK162" s="106"/>
      <c r="BL162" s="106"/>
      <c r="BM162" s="106"/>
      <c r="BN162" s="106"/>
      <c r="BO162" s="106"/>
      <c r="BP162" s="106"/>
      <c r="BQ162" s="106"/>
      <c r="BR162" s="106"/>
      <c r="BS162" s="106"/>
      <c r="BT162" s="106"/>
      <c r="BU162" s="106"/>
      <c r="BV162" s="106"/>
      <c r="BW162" s="106"/>
      <c r="BX162" s="106"/>
      <c r="BY162" s="106"/>
      <c r="BZ162" s="106"/>
      <c r="CA162" s="106"/>
      <c r="CB162" s="106"/>
      <c r="CD162" s="49">
        <v>1391</v>
      </c>
      <c r="CE162" s="49">
        <v>1720</v>
      </c>
      <c r="CF162" s="49">
        <v>2017</v>
      </c>
      <c r="CG162" s="49">
        <f>7111-SUM(CD162:CF162)</f>
        <v>1983</v>
      </c>
      <c r="CH162" s="49">
        <v>2081</v>
      </c>
      <c r="CI162" s="49">
        <v>1602</v>
      </c>
      <c r="CJ162" s="49">
        <v>1148</v>
      </c>
      <c r="CK162" s="49">
        <f>5785-SUM(CH162:CJ162)</f>
        <v>954</v>
      </c>
      <c r="CL162" s="49">
        <v>1590</v>
      </c>
      <c r="CM162" s="49">
        <v>2740</v>
      </c>
      <c r="CN162" s="49">
        <v>4030</v>
      </c>
      <c r="CO162" s="49">
        <f>10306-SUM(CL162:CN162)</f>
        <v>1946</v>
      </c>
      <c r="CP162" s="49">
        <v>2491</v>
      </c>
      <c r="CQ162" s="49">
        <v>3667</v>
      </c>
      <c r="CR162" s="49">
        <v>5416</v>
      </c>
      <c r="CS162" s="49">
        <f>17108-CR162-CQ162-CP162</f>
        <v>5534</v>
      </c>
      <c r="CT162" s="49">
        <v>5522</v>
      </c>
      <c r="CU162" s="49">
        <v>2769</v>
      </c>
      <c r="CV162" s="49">
        <v>2973</v>
      </c>
      <c r="CW162" s="106"/>
      <c r="CX162" s="106"/>
      <c r="CY162" s="106"/>
      <c r="CZ162" s="106"/>
      <c r="DA162" s="106"/>
      <c r="DB162" s="106"/>
      <c r="DC162" s="106"/>
      <c r="DD162" s="106"/>
      <c r="DE162" s="106"/>
      <c r="DF162" s="106"/>
      <c r="DG162" s="106"/>
      <c r="DH162" s="106"/>
      <c r="DI162" s="106"/>
      <c r="DJ162" s="106"/>
      <c r="DK162" s="106"/>
      <c r="DL162" s="106"/>
      <c r="DM162" s="106"/>
      <c r="DN162" s="106"/>
      <c r="DO162" s="106"/>
      <c r="DP162" s="106"/>
      <c r="DQ162" s="106"/>
      <c r="EC162" s="35"/>
      <c r="ED162" s="35"/>
      <c r="EE162" s="35"/>
      <c r="EG162" s="35"/>
      <c r="EH162" s="103"/>
      <c r="EI162" s="103"/>
      <c r="EJ162" s="104"/>
      <c r="EK162" s="104"/>
      <c r="EL162" s="104"/>
      <c r="EM162" s="104"/>
      <c r="EN162" s="117">
        <f>+CD162+CE162+CF162+CG162</f>
        <v>7111</v>
      </c>
      <c r="EO162" s="117">
        <f>SUM(CH162:CK162)</f>
        <v>5785</v>
      </c>
      <c r="EP162" s="117">
        <v>12330</v>
      </c>
      <c r="EQ162" s="117">
        <v>25048</v>
      </c>
      <c r="ER162" s="117">
        <v>19677</v>
      </c>
      <c r="ES162" s="118"/>
      <c r="ET162" s="118"/>
      <c r="EU162" s="118"/>
      <c r="EV162" s="118"/>
      <c r="EW162" s="118"/>
    </row>
    <row r="163" spans="1:153" s="49" customFormat="1">
      <c r="A163" s="49" t="s">
        <v>285</v>
      </c>
      <c r="BB163" s="106"/>
      <c r="BC163" s="106"/>
      <c r="BD163" s="106"/>
      <c r="BE163" s="106"/>
      <c r="BF163" s="106"/>
      <c r="BG163" s="106"/>
      <c r="BH163" s="106"/>
      <c r="BI163" s="106"/>
      <c r="BJ163" s="106"/>
      <c r="BK163" s="106"/>
      <c r="BL163" s="106"/>
      <c r="BM163" s="106"/>
      <c r="BN163" s="106"/>
      <c r="BO163" s="106"/>
      <c r="BP163" s="106"/>
      <c r="BQ163" s="106"/>
      <c r="BR163" s="106"/>
      <c r="BS163" s="106"/>
      <c r="BT163" s="106"/>
      <c r="BU163" s="106"/>
      <c r="BV163" s="106"/>
      <c r="BW163" s="106"/>
      <c r="BX163" s="106"/>
      <c r="BY163" s="106"/>
      <c r="BZ163" s="106"/>
      <c r="CA163" s="106"/>
      <c r="CB163" s="106"/>
      <c r="CD163" s="49">
        <v>1001</v>
      </c>
      <c r="CE163" s="49">
        <v>1047</v>
      </c>
      <c r="CF163" s="49">
        <v>1067</v>
      </c>
      <c r="CW163" s="106"/>
      <c r="CX163" s="106"/>
      <c r="CY163" s="106"/>
      <c r="CZ163" s="106"/>
      <c r="DA163" s="106"/>
      <c r="DB163" s="106"/>
      <c r="DC163" s="106"/>
      <c r="DD163" s="106"/>
      <c r="DE163" s="106"/>
      <c r="DF163" s="106"/>
      <c r="DG163" s="106"/>
      <c r="DH163" s="106"/>
      <c r="DI163" s="106"/>
      <c r="DJ163" s="106"/>
      <c r="DK163" s="106"/>
      <c r="DL163" s="106"/>
      <c r="DM163" s="106"/>
      <c r="DN163" s="106"/>
      <c r="DO163" s="106"/>
      <c r="DP163" s="106"/>
      <c r="DQ163" s="106"/>
      <c r="EC163" s="35"/>
      <c r="ED163" s="35"/>
      <c r="EE163" s="35"/>
      <c r="EG163" s="35"/>
      <c r="EH163" s="103"/>
      <c r="EI163" s="103"/>
      <c r="EJ163" s="104"/>
      <c r="EK163" s="104"/>
      <c r="EL163" s="104"/>
      <c r="EM163" s="104"/>
      <c r="EN163" s="117">
        <f>+CD163+CE163+CF163+CG163</f>
        <v>3115</v>
      </c>
      <c r="EO163" s="117"/>
      <c r="EP163" s="117"/>
      <c r="EQ163" s="117"/>
      <c r="ER163" s="117"/>
      <c r="ES163" s="118"/>
      <c r="ET163" s="118"/>
      <c r="EU163" s="118"/>
      <c r="EV163" s="118"/>
      <c r="EW163" s="118"/>
    </row>
    <row r="164" spans="1:153" s="49" customFormat="1">
      <c r="A164" s="49" t="s">
        <v>286</v>
      </c>
      <c r="BB164" s="106"/>
      <c r="BC164" s="106"/>
      <c r="BD164" s="106"/>
      <c r="BE164" s="106"/>
      <c r="BF164" s="106"/>
      <c r="BG164" s="106"/>
      <c r="BH164" s="106"/>
      <c r="BI164" s="106"/>
      <c r="BJ164" s="106"/>
      <c r="BK164" s="106"/>
      <c r="BL164" s="106"/>
      <c r="BM164" s="106"/>
      <c r="BN164" s="106"/>
      <c r="BO164" s="106"/>
      <c r="BP164" s="106"/>
      <c r="BQ164" s="106"/>
      <c r="BR164" s="106"/>
      <c r="BS164" s="106"/>
      <c r="BT164" s="106"/>
      <c r="BU164" s="106"/>
      <c r="BV164" s="106"/>
      <c r="BW164" s="106"/>
      <c r="BX164" s="106"/>
      <c r="BY164" s="106"/>
      <c r="BZ164" s="106"/>
      <c r="CA164" s="106"/>
      <c r="CB164" s="106"/>
      <c r="CD164" s="49">
        <v>768</v>
      </c>
      <c r="CE164" s="49">
        <v>996</v>
      </c>
      <c r="CF164" s="49">
        <v>1126</v>
      </c>
      <c r="CG164" s="49">
        <f>4349-SUM(CD164:CF164)</f>
        <v>1459</v>
      </c>
      <c r="CH164" s="49">
        <v>1932</v>
      </c>
      <c r="CI164" s="49">
        <v>1988</v>
      </c>
      <c r="CJ164" s="49">
        <v>2148</v>
      </c>
      <c r="CK164" s="49">
        <f>8292-SUM(CH164:CJ164)</f>
        <v>2224</v>
      </c>
      <c r="CL164" s="49">
        <v>2385</v>
      </c>
      <c r="CM164" s="49">
        <v>6043</v>
      </c>
      <c r="CN164" s="49">
        <v>6302</v>
      </c>
      <c r="CO164" s="49">
        <f>26966-SUM(CL164:CN164)</f>
        <v>12236</v>
      </c>
      <c r="CP164" s="49">
        <v>13496</v>
      </c>
      <c r="CQ164" s="49">
        <v>13022</v>
      </c>
      <c r="CR164" s="49">
        <v>14800</v>
      </c>
      <c r="CS164" s="49">
        <f>61257-CR164-CQ164-CP164</f>
        <v>19939</v>
      </c>
      <c r="CT164" s="49">
        <v>20739</v>
      </c>
      <c r="CU164" s="49">
        <v>23470</v>
      </c>
      <c r="CV164" s="49">
        <v>39177</v>
      </c>
      <c r="CW164" s="106"/>
      <c r="CX164" s="106"/>
      <c r="CY164" s="106"/>
      <c r="CZ164" s="106"/>
      <c r="DA164" s="106"/>
      <c r="DB164" s="106"/>
      <c r="DC164" s="106"/>
      <c r="DD164" s="106"/>
      <c r="DE164" s="106"/>
      <c r="DF164" s="106"/>
      <c r="DG164" s="106"/>
      <c r="DH164" s="106"/>
      <c r="DI164" s="106"/>
      <c r="DJ164" s="106"/>
      <c r="DK164" s="106"/>
      <c r="DL164" s="106"/>
      <c r="DM164" s="106"/>
      <c r="DN164" s="106"/>
      <c r="DO164" s="106"/>
      <c r="DP164" s="106"/>
      <c r="DQ164" s="106"/>
      <c r="EC164" s="35"/>
      <c r="ED164" s="35"/>
      <c r="EE164" s="35"/>
      <c r="EG164" s="35"/>
      <c r="EH164" s="103"/>
      <c r="EI164" s="103"/>
      <c r="EJ164" s="104"/>
      <c r="EK164" s="104"/>
      <c r="EL164" s="104"/>
      <c r="EM164" s="104"/>
      <c r="EN164" s="117">
        <f>+CD164+CE164+CF164+CG164</f>
        <v>4349</v>
      </c>
      <c r="EO164" s="117">
        <f>SUM(CH164:CK164)</f>
        <v>8292</v>
      </c>
      <c r="EP164" s="117">
        <v>31533</v>
      </c>
      <c r="EQ164" s="117">
        <v>77482</v>
      </c>
      <c r="ER164" s="117">
        <v>149617</v>
      </c>
      <c r="ES164" s="118"/>
      <c r="ET164" s="118"/>
      <c r="EU164" s="118"/>
      <c r="EV164" s="118"/>
      <c r="EW164" s="118"/>
    </row>
    <row r="165" spans="1:153" s="49" customFormat="1">
      <c r="A165" s="49" t="s">
        <v>287</v>
      </c>
      <c r="BB165" s="106"/>
      <c r="BC165" s="106"/>
      <c r="BD165" s="106"/>
      <c r="BE165" s="106"/>
      <c r="BF165" s="106"/>
      <c r="BG165" s="106"/>
      <c r="BH165" s="106"/>
      <c r="BI165" s="106"/>
      <c r="BJ165" s="106"/>
      <c r="BK165" s="106"/>
      <c r="BL165" s="106"/>
      <c r="BM165" s="106"/>
      <c r="BN165" s="106"/>
      <c r="BO165" s="106"/>
      <c r="BP165" s="106"/>
      <c r="BQ165" s="106"/>
      <c r="BR165" s="106"/>
      <c r="BS165" s="106"/>
      <c r="BT165" s="106"/>
      <c r="BU165" s="106"/>
      <c r="BV165" s="106"/>
      <c r="BW165" s="106"/>
      <c r="BX165" s="106"/>
      <c r="BY165" s="106"/>
      <c r="BZ165" s="106"/>
      <c r="CA165" s="106"/>
      <c r="CB165" s="106"/>
      <c r="CD165" s="49">
        <v>381</v>
      </c>
      <c r="CE165" s="49">
        <v>429</v>
      </c>
      <c r="CF165" s="49">
        <v>340</v>
      </c>
      <c r="CW165" s="106"/>
      <c r="CX165" s="106"/>
      <c r="CY165" s="106"/>
      <c r="CZ165" s="106"/>
      <c r="DA165" s="106"/>
      <c r="DB165" s="106"/>
      <c r="DC165" s="106"/>
      <c r="DD165" s="106"/>
      <c r="DE165" s="106"/>
      <c r="DF165" s="106"/>
      <c r="DG165" s="106"/>
      <c r="DH165" s="106"/>
      <c r="DI165" s="106"/>
      <c r="DJ165" s="106"/>
      <c r="DK165" s="106"/>
      <c r="DL165" s="106"/>
      <c r="DM165" s="106"/>
      <c r="DN165" s="106"/>
      <c r="DO165" s="106"/>
      <c r="DP165" s="106"/>
      <c r="DQ165" s="106"/>
      <c r="EC165" s="35"/>
      <c r="ED165" s="35"/>
      <c r="EE165" s="35"/>
      <c r="EG165" s="35"/>
      <c r="EH165" s="103"/>
      <c r="EI165" s="103"/>
      <c r="EJ165" s="104"/>
      <c r="EK165" s="104"/>
      <c r="EL165" s="104"/>
      <c r="EM165" s="104"/>
      <c r="EN165" s="117">
        <f>+CD165+CE165+CF165+CG165</f>
        <v>1150</v>
      </c>
      <c r="EO165" s="117">
        <f>SUM(CH165:CK165)</f>
        <v>0</v>
      </c>
      <c r="EP165" s="117"/>
      <c r="EQ165" s="117"/>
      <c r="ER165" s="117"/>
      <c r="ES165" s="118"/>
      <c r="ET165" s="118"/>
      <c r="EU165" s="118"/>
      <c r="EV165" s="118"/>
      <c r="EW165" s="118"/>
    </row>
    <row r="166" spans="1:153" s="49" customFormat="1">
      <c r="A166" s="49" t="s">
        <v>288</v>
      </c>
      <c r="BB166" s="106"/>
      <c r="BC166" s="106"/>
      <c r="BD166" s="106"/>
      <c r="BE166" s="106"/>
      <c r="BF166" s="106"/>
      <c r="BG166" s="106"/>
      <c r="BH166" s="106"/>
      <c r="BI166" s="106"/>
      <c r="BJ166" s="106"/>
      <c r="BK166" s="106"/>
      <c r="BL166" s="106"/>
      <c r="BM166" s="106"/>
      <c r="BN166" s="106"/>
      <c r="BO166" s="106"/>
      <c r="BP166" s="106"/>
      <c r="BQ166" s="106"/>
      <c r="BR166" s="106"/>
      <c r="BS166" s="106"/>
      <c r="BT166" s="106"/>
      <c r="BU166" s="106"/>
      <c r="BV166" s="106"/>
      <c r="BW166" s="106"/>
      <c r="BX166" s="106"/>
      <c r="BY166" s="106"/>
      <c r="BZ166" s="106"/>
      <c r="CA166" s="106"/>
      <c r="CB166" s="106"/>
      <c r="CD166" s="49">
        <v>336</v>
      </c>
      <c r="CE166" s="49">
        <v>354</v>
      </c>
      <c r="CF166" s="49">
        <v>366</v>
      </c>
      <c r="CG166" s="49">
        <f>6910-SUM(CD165:CF166,CD163:CF163)</f>
        <v>1589</v>
      </c>
      <c r="CH166" s="49">
        <f>1044+454</f>
        <v>1498</v>
      </c>
      <c r="CI166" s="49">
        <v>1910</v>
      </c>
      <c r="CJ166" s="49">
        <v>1482</v>
      </c>
      <c r="CK166" s="49">
        <f>5911-SUM(CH166:CJ166)</f>
        <v>1021</v>
      </c>
      <c r="CL166" s="49">
        <f>659+762</f>
        <v>1421</v>
      </c>
      <c r="CM166" s="49">
        <v>1885</v>
      </c>
      <c r="CN166" s="49">
        <v>753</v>
      </c>
      <c r="CO166" s="49">
        <f>10245-SUM(CL166:CN166,CN167)</f>
        <v>3484</v>
      </c>
      <c r="CP166" s="49">
        <v>1647</v>
      </c>
      <c r="CQ166" s="49">
        <v>1989</v>
      </c>
      <c r="CR166" s="49">
        <v>2016</v>
      </c>
      <c r="CS166" s="49">
        <f>7875-CR166-CP166-CQ166</f>
        <v>2223</v>
      </c>
      <c r="CT166" s="49">
        <v>1626</v>
      </c>
      <c r="CU166" s="49">
        <v>1819</v>
      </c>
      <c r="CV166" s="49">
        <v>1105</v>
      </c>
      <c r="CW166" s="106"/>
      <c r="CX166" s="106"/>
      <c r="CY166" s="106"/>
      <c r="CZ166" s="106"/>
      <c r="DA166" s="106"/>
      <c r="DB166" s="106"/>
      <c r="DC166" s="106"/>
      <c r="DD166" s="106"/>
      <c r="DE166" s="106"/>
      <c r="DF166" s="106"/>
      <c r="DG166" s="106"/>
      <c r="DH166" s="106"/>
      <c r="DI166" s="106"/>
      <c r="DJ166" s="106"/>
      <c r="DK166" s="106"/>
      <c r="DL166" s="106"/>
      <c r="DM166" s="106"/>
      <c r="DN166" s="106"/>
      <c r="DO166" s="106"/>
      <c r="DP166" s="106"/>
      <c r="DQ166" s="106"/>
      <c r="EC166" s="35"/>
      <c r="ED166" s="35"/>
      <c r="EE166" s="35"/>
      <c r="EG166" s="35"/>
      <c r="EH166" s="103"/>
      <c r="EI166" s="103"/>
      <c r="EJ166" s="104"/>
      <c r="EK166" s="104"/>
      <c r="EL166" s="104"/>
      <c r="EM166" s="104"/>
      <c r="EN166" s="117">
        <f>+CD166+CE166+CF166+CG166</f>
        <v>2645</v>
      </c>
      <c r="EO166" s="117">
        <f>SUM(CH166:CK166)</f>
        <v>5911</v>
      </c>
      <c r="EP166" s="117">
        <v>2147</v>
      </c>
      <c r="EQ166" s="117">
        <v>4367</v>
      </c>
      <c r="ER166" s="117">
        <v>4299</v>
      </c>
      <c r="ES166" s="118"/>
      <c r="ET166" s="118"/>
      <c r="EU166" s="118"/>
      <c r="EV166" s="118"/>
      <c r="EW166" s="118"/>
    </row>
    <row r="167" spans="1:153" s="49" customFormat="1">
      <c r="A167" s="49" t="s">
        <v>289</v>
      </c>
      <c r="BB167" s="106"/>
      <c r="BC167" s="106"/>
      <c r="BD167" s="106"/>
      <c r="BE167" s="106"/>
      <c r="BF167" s="106"/>
      <c r="BG167" s="106"/>
      <c r="BH167" s="106"/>
      <c r="BI167" s="106"/>
      <c r="BJ167" s="106"/>
      <c r="BK167" s="106"/>
      <c r="BL167" s="106"/>
      <c r="BM167" s="106"/>
      <c r="BN167" s="106"/>
      <c r="BO167" s="106"/>
      <c r="BP167" s="106"/>
      <c r="BQ167" s="106"/>
      <c r="BR167" s="106"/>
      <c r="BS167" s="106"/>
      <c r="BT167" s="106"/>
      <c r="BU167" s="106"/>
      <c r="BV167" s="106"/>
      <c r="BW167" s="106"/>
      <c r="BX167" s="106"/>
      <c r="BY167" s="106"/>
      <c r="BZ167" s="106"/>
      <c r="CA167" s="106"/>
      <c r="CB167" s="106"/>
      <c r="CJ167" s="49">
        <v>536</v>
      </c>
      <c r="CN167" s="49">
        <v>2702</v>
      </c>
      <c r="CP167" s="49">
        <v>4037</v>
      </c>
      <c r="CQ167" s="49">
        <v>5622</v>
      </c>
      <c r="CR167" s="49">
        <v>7697</v>
      </c>
      <c r="CS167" s="49">
        <f>23684-CR167-CQ167-CP167</f>
        <v>6328</v>
      </c>
      <c r="CT167" s="49">
        <v>9017</v>
      </c>
      <c r="CU167" s="49">
        <v>10156</v>
      </c>
      <c r="CW167" s="106"/>
      <c r="CX167" s="106"/>
      <c r="CY167" s="106"/>
      <c r="CZ167" s="106"/>
      <c r="DA167" s="106"/>
      <c r="DB167" s="106"/>
      <c r="DC167" s="106"/>
      <c r="DD167" s="106"/>
      <c r="DE167" s="106"/>
      <c r="DF167" s="106"/>
      <c r="DG167" s="106"/>
      <c r="DH167" s="106"/>
      <c r="DI167" s="106"/>
      <c r="DJ167" s="106"/>
      <c r="DK167" s="106"/>
      <c r="DL167" s="106"/>
      <c r="DM167" s="106"/>
      <c r="DN167" s="106"/>
      <c r="DO167" s="106"/>
      <c r="DP167" s="106"/>
      <c r="DQ167" s="106"/>
      <c r="EC167" s="35"/>
      <c r="ED167" s="35"/>
      <c r="EE167" s="35"/>
      <c r="EG167" s="35"/>
      <c r="EH167" s="103"/>
      <c r="EI167" s="103"/>
      <c r="EJ167" s="104"/>
      <c r="EK167" s="104"/>
      <c r="EL167" s="104"/>
      <c r="EM167" s="104"/>
      <c r="EN167" s="117">
        <f>+CD167+CE167+CF167+CG167</f>
        <v>0</v>
      </c>
      <c r="EO167" s="117">
        <f>SUM(CH167:CK167)</f>
        <v>536</v>
      </c>
      <c r="EP167" s="117"/>
      <c r="EQ167" s="117"/>
      <c r="ER167" s="117"/>
      <c r="ES167" s="118"/>
      <c r="ET167" s="118"/>
      <c r="EU167" s="118"/>
      <c r="EV167" s="118"/>
      <c r="EW167" s="118"/>
    </row>
    <row r="168" spans="1:153" s="49" customFormat="1">
      <c r="A168" s="106"/>
      <c r="BB168" s="106"/>
      <c r="BC168" s="106"/>
      <c r="BD168" s="106"/>
      <c r="BE168" s="106"/>
      <c r="BF168" s="106"/>
      <c r="BG168" s="106"/>
      <c r="BH168" s="106"/>
      <c r="BI168" s="106"/>
      <c r="BJ168" s="106"/>
      <c r="BK168" s="106"/>
      <c r="BL168" s="106"/>
      <c r="BM168" s="106"/>
      <c r="BN168" s="106"/>
      <c r="BO168" s="106"/>
      <c r="BP168" s="106"/>
      <c r="BQ168" s="106"/>
      <c r="BR168" s="106"/>
      <c r="BS168" s="106"/>
      <c r="BT168" s="106"/>
      <c r="BU168" s="106"/>
      <c r="BV168" s="106"/>
      <c r="BW168" s="106"/>
      <c r="BX168" s="106"/>
      <c r="BY168" s="106"/>
      <c r="BZ168" s="106"/>
      <c r="CA168" s="106"/>
      <c r="CB168" s="106"/>
      <c r="CC168" s="106"/>
      <c r="CD168" s="35">
        <f t="shared" ref="CD168:CM168" si="308">SUM(CD161:CD166)</f>
        <v>5661</v>
      </c>
      <c r="CE168" s="35">
        <f t="shared" si="308"/>
        <v>6507</v>
      </c>
      <c r="CF168" s="35">
        <f t="shared" si="308"/>
        <v>7103</v>
      </c>
      <c r="CG168" s="35">
        <f t="shared" si="308"/>
        <v>7643</v>
      </c>
      <c r="CH168" s="35">
        <f t="shared" si="308"/>
        <v>8288</v>
      </c>
      <c r="CI168" s="35">
        <f t="shared" si="308"/>
        <v>6704</v>
      </c>
      <c r="CJ168" s="35">
        <f t="shared" si="308"/>
        <v>5931</v>
      </c>
      <c r="CK168" s="35">
        <f t="shared" si="308"/>
        <v>6051</v>
      </c>
      <c r="CL168" s="35">
        <f t="shared" si="308"/>
        <v>7192</v>
      </c>
      <c r="CM168" s="35">
        <f t="shared" si="308"/>
        <v>13507</v>
      </c>
      <c r="CN168" s="35">
        <f t="shared" ref="CN168:CS168" si="309">SUM(CN161:CN167)</f>
        <v>18120</v>
      </c>
      <c r="CO168" s="35">
        <f t="shared" si="309"/>
        <v>22103</v>
      </c>
      <c r="CP168" s="35">
        <f t="shared" si="309"/>
        <v>26044</v>
      </c>
      <c r="CQ168" s="35">
        <f t="shared" si="309"/>
        <v>30040</v>
      </c>
      <c r="CR168" s="35">
        <f t="shared" si="309"/>
        <v>35082</v>
      </c>
      <c r="CS168" s="35">
        <f t="shared" si="309"/>
        <v>39331</v>
      </c>
      <c r="CT168" s="35">
        <f>SUM(CT161:CT167)</f>
        <v>44062</v>
      </c>
      <c r="CU168" s="35">
        <f>SUM(CU161:CU167)</f>
        <v>46743</v>
      </c>
      <c r="CV168" s="35">
        <f>SUM(CV161:CV167)</f>
        <v>57006</v>
      </c>
      <c r="CW168" s="106"/>
      <c r="CX168" s="106"/>
      <c r="CY168" s="106"/>
      <c r="CZ168" s="106"/>
      <c r="DA168" s="106"/>
      <c r="DB168" s="106"/>
      <c r="DC168" s="106"/>
      <c r="DD168" s="106"/>
      <c r="DE168" s="106"/>
      <c r="DF168" s="106"/>
      <c r="DG168" s="106"/>
      <c r="DH168" s="106"/>
      <c r="DI168" s="106"/>
      <c r="DJ168" s="106"/>
      <c r="DK168" s="106"/>
      <c r="DL168" s="106"/>
      <c r="DM168" s="106"/>
      <c r="DN168" s="106"/>
      <c r="DO168" s="106"/>
      <c r="DP168" s="106"/>
      <c r="DQ168" s="106"/>
      <c r="EC168" s="35"/>
      <c r="ED168" s="35"/>
      <c r="EE168" s="35"/>
      <c r="EG168" s="35"/>
      <c r="EH168" s="103"/>
      <c r="EI168" s="103"/>
      <c r="EJ168" s="104"/>
      <c r="EK168" s="104"/>
      <c r="EL168" s="104"/>
      <c r="EM168" s="104"/>
      <c r="EN168" s="104">
        <f>+CD168+CE168+CF168+CG168</f>
        <v>26914</v>
      </c>
      <c r="EO168" s="104">
        <f>SUM(CH168:CK168)</f>
        <v>26974</v>
      </c>
      <c r="EP168" s="104">
        <f>SUM(EP161:EP167)</f>
        <v>60922</v>
      </c>
      <c r="EQ168" s="104">
        <f>SUM(EQ161:EQ167)</f>
        <v>130497</v>
      </c>
      <c r="ER168" s="104">
        <f>SUM(ER161:ER167)</f>
        <v>215938</v>
      </c>
      <c r="ES168" s="118"/>
      <c r="ET168" s="118"/>
      <c r="EU168" s="118"/>
      <c r="EV168" s="118"/>
      <c r="EW168" s="118"/>
    </row>
    <row r="169" spans="1:153">
      <c r="A169" s="106"/>
      <c r="BB169" s="113"/>
      <c r="BC169" s="113"/>
      <c r="BD169" s="113"/>
      <c r="BE169" s="113"/>
      <c r="BF169" s="113"/>
      <c r="BG169" s="113"/>
      <c r="BH169" s="113"/>
      <c r="BI169" s="113"/>
      <c r="BJ169" s="113"/>
      <c r="BK169" s="113"/>
      <c r="BL169" s="113"/>
      <c r="BM169" s="113"/>
      <c r="BN169" s="113"/>
      <c r="BO169" s="113"/>
      <c r="BP169" s="113"/>
      <c r="BQ169" s="113"/>
      <c r="BR169" s="113"/>
      <c r="BS169" s="113"/>
      <c r="BT169" s="113"/>
      <c r="BU169" s="113"/>
      <c r="BV169" s="113"/>
      <c r="BW169" s="113"/>
      <c r="BX169" s="113"/>
      <c r="BY169" s="113"/>
      <c r="BZ169" s="113"/>
      <c r="CA169" s="113"/>
      <c r="CB169" s="113"/>
      <c r="CC169" s="113"/>
      <c r="CD169" s="113"/>
      <c r="CE169" s="113"/>
      <c r="CF169" s="113"/>
      <c r="CG169" s="113"/>
      <c r="CH169" s="113"/>
      <c r="CI169" s="113"/>
      <c r="CJ169" s="113"/>
      <c r="CK169" s="113"/>
      <c r="CL169" s="113"/>
      <c r="CM169" s="113"/>
      <c r="CN169" s="113"/>
      <c r="CO169" s="113"/>
      <c r="CP169" s="113"/>
      <c r="CQ169" s="113"/>
      <c r="CR169" s="113"/>
      <c r="CS169" s="113"/>
      <c r="CT169" s="113"/>
      <c r="CU169" s="113"/>
      <c r="CV169" s="113"/>
      <c r="CW169" s="113"/>
      <c r="CX169" s="113"/>
      <c r="CY169" s="113"/>
      <c r="CZ169" s="113"/>
      <c r="DA169" s="113"/>
      <c r="DB169" s="113"/>
      <c r="DC169" s="113"/>
      <c r="DD169" s="113"/>
      <c r="DE169" s="113"/>
      <c r="DF169" s="113"/>
      <c r="DG169" s="113"/>
      <c r="DH169" s="113"/>
      <c r="DI169" s="113"/>
      <c r="DJ169" s="113"/>
      <c r="DK169" s="113"/>
      <c r="DL169" s="113"/>
      <c r="DM169" s="113"/>
      <c r="DN169" s="113"/>
      <c r="DO169" s="113"/>
      <c r="DP169" s="113"/>
      <c r="DQ169" s="113"/>
      <c r="EC169" s="102"/>
      <c r="ED169" s="102"/>
      <c r="EE169" s="102"/>
      <c r="EG169" s="102"/>
      <c r="EH169" s="114"/>
      <c r="EI169" s="114"/>
      <c r="EJ169" s="115"/>
      <c r="EK169" s="115"/>
      <c r="EL169" s="115"/>
      <c r="EM169" s="115"/>
      <c r="EN169" s="115"/>
      <c r="EO169" s="115"/>
      <c r="EP169" s="115"/>
      <c r="EQ169" s="115"/>
      <c r="ER169" s="116"/>
      <c r="ES169" s="116"/>
      <c r="ET169" s="116"/>
      <c r="EU169" s="116"/>
      <c r="EV169" s="116"/>
      <c r="EW169" s="116"/>
    </row>
    <row r="170" spans="1:153">
      <c r="A170" s="119" t="s">
        <v>290</v>
      </c>
      <c r="BB170" s="113"/>
      <c r="BC170" s="113"/>
      <c r="BD170" s="113"/>
      <c r="BE170" s="113"/>
      <c r="BF170" s="113"/>
      <c r="BG170" s="113"/>
      <c r="BH170" s="113"/>
      <c r="BI170" s="113"/>
      <c r="BJ170" s="113"/>
      <c r="BK170" s="113"/>
      <c r="BL170" s="113"/>
      <c r="BM170" s="113"/>
      <c r="BN170" s="113"/>
      <c r="BO170" s="113"/>
      <c r="BP170" s="113"/>
      <c r="BQ170" s="113"/>
      <c r="BR170" s="113"/>
      <c r="BS170" s="113"/>
      <c r="BT170" s="113"/>
      <c r="BU170" s="113"/>
      <c r="BV170" s="113"/>
      <c r="BW170" s="113"/>
      <c r="BX170" s="113"/>
      <c r="BY170" s="113"/>
      <c r="BZ170" s="113"/>
      <c r="CA170" s="113"/>
      <c r="CB170" s="113"/>
      <c r="CC170" s="113"/>
      <c r="CD170" s="113"/>
      <c r="CE170" s="113"/>
      <c r="CF170" s="113"/>
      <c r="CG170" s="113"/>
      <c r="CH170" s="113"/>
      <c r="CI170" s="113"/>
      <c r="CJ170" s="113"/>
      <c r="CK170" s="113"/>
      <c r="CL170" s="113"/>
      <c r="CM170" s="113"/>
      <c r="CN170" s="113"/>
      <c r="CO170" s="113"/>
      <c r="CP170" s="113"/>
      <c r="CQ170" s="113"/>
      <c r="CR170" s="113"/>
      <c r="CS170" s="113"/>
      <c r="CT170" s="113"/>
      <c r="CU170" s="113"/>
      <c r="CV170" s="113"/>
      <c r="CW170" s="113"/>
      <c r="CX170" s="113"/>
      <c r="CY170" s="113"/>
      <c r="CZ170" s="113"/>
      <c r="DA170" s="113"/>
      <c r="DB170" s="113"/>
      <c r="DC170" s="113"/>
      <c r="DD170" s="113"/>
      <c r="DE170" s="113"/>
      <c r="DF170" s="113"/>
      <c r="DG170" s="113"/>
      <c r="DH170" s="113"/>
      <c r="DI170" s="113"/>
      <c r="DJ170" s="113"/>
      <c r="DK170" s="113"/>
      <c r="DL170" s="113"/>
      <c r="DM170" s="113"/>
      <c r="DN170" s="113"/>
      <c r="DO170" s="113"/>
      <c r="DP170" s="113"/>
      <c r="DQ170" s="113"/>
      <c r="EC170" s="102"/>
      <c r="ED170" s="102"/>
      <c r="EE170" s="102"/>
      <c r="EG170" s="102"/>
      <c r="EH170" s="114"/>
      <c r="EI170" s="114"/>
      <c r="EJ170" s="115"/>
      <c r="EK170" s="115"/>
      <c r="EL170" s="115"/>
      <c r="EM170" s="115"/>
      <c r="EN170" s="115"/>
      <c r="EO170" s="115"/>
      <c r="EP170" s="115"/>
      <c r="EQ170" s="115"/>
      <c r="ER170" s="116"/>
      <c r="ES170" s="116"/>
      <c r="ET170" s="116"/>
      <c r="EU170" s="116"/>
      <c r="EV170" s="116"/>
      <c r="EW170" s="116"/>
    </row>
    <row r="171" spans="1:153">
      <c r="BB171" s="113"/>
      <c r="BC171" s="113"/>
      <c r="BD171" s="113"/>
      <c r="BE171" s="113"/>
      <c r="BF171" s="113"/>
      <c r="BG171" s="113"/>
      <c r="BH171" s="113"/>
      <c r="BI171" s="113"/>
      <c r="BJ171" s="113"/>
      <c r="BK171" s="113"/>
      <c r="BL171" s="113"/>
      <c r="BM171" s="113"/>
      <c r="BN171" s="113"/>
      <c r="BO171" s="113"/>
      <c r="BP171" s="113"/>
      <c r="BQ171" s="113"/>
      <c r="BR171" s="113"/>
      <c r="BS171" s="113"/>
      <c r="BT171" s="113"/>
      <c r="BU171" s="113"/>
      <c r="BV171" s="113"/>
      <c r="BW171" s="113"/>
      <c r="BX171" s="113"/>
      <c r="BY171" s="113"/>
      <c r="BZ171" s="113"/>
      <c r="CA171" s="113"/>
      <c r="CB171" s="113"/>
      <c r="CC171" s="113"/>
      <c r="CD171" s="113"/>
      <c r="CE171" s="113"/>
      <c r="CF171" s="113"/>
      <c r="CG171" s="113"/>
      <c r="CH171" s="113"/>
      <c r="CI171" s="113"/>
      <c r="CJ171" s="113"/>
      <c r="CK171" s="113"/>
      <c r="CL171" s="113"/>
      <c r="CM171" s="113"/>
      <c r="CN171" s="113"/>
      <c r="CO171" s="113"/>
      <c r="CP171" s="113"/>
      <c r="CQ171" s="113"/>
      <c r="CR171" s="113"/>
      <c r="CS171" s="113"/>
      <c r="CT171" s="113"/>
      <c r="CU171" s="113"/>
      <c r="CV171" s="113"/>
      <c r="CW171" s="113"/>
      <c r="CX171" s="113"/>
      <c r="CY171" s="113"/>
      <c r="CZ171" s="113"/>
      <c r="DA171" s="113"/>
      <c r="DB171" s="113"/>
      <c r="DC171" s="113"/>
      <c r="DD171" s="113"/>
      <c r="DE171" s="113"/>
      <c r="DF171" s="113"/>
      <c r="DG171" s="113"/>
      <c r="DH171" s="113"/>
      <c r="DI171" s="113"/>
      <c r="DJ171" s="113"/>
      <c r="DK171" s="113"/>
      <c r="DL171" s="113"/>
      <c r="DM171" s="113"/>
      <c r="DN171" s="113"/>
      <c r="DO171" s="113"/>
      <c r="DP171" s="113"/>
      <c r="DQ171" s="113"/>
      <c r="EC171" s="102"/>
      <c r="ED171" s="102"/>
      <c r="EE171" s="102"/>
      <c r="EG171" s="102"/>
      <c r="EH171" s="114"/>
      <c r="EI171" s="114"/>
      <c r="EJ171" s="115"/>
      <c r="EK171" s="115"/>
      <c r="EL171" s="115"/>
      <c r="EM171" s="115"/>
      <c r="EN171" s="115"/>
      <c r="EO171" s="115"/>
      <c r="EP171" s="115"/>
      <c r="EQ171" s="115"/>
      <c r="ER171" s="116"/>
      <c r="ES171" s="116"/>
      <c r="ET171" s="116"/>
      <c r="EU171" s="116"/>
      <c r="EV171" s="116"/>
      <c r="EW171" s="116"/>
    </row>
    <row r="172" spans="1:153">
      <c r="A172" s="27" t="s">
        <v>283</v>
      </c>
      <c r="BB172" s="113"/>
      <c r="BC172" s="113"/>
      <c r="BD172" s="113"/>
      <c r="BE172" s="113"/>
      <c r="BF172" s="113"/>
      <c r="BG172" s="113"/>
      <c r="BH172" s="113"/>
      <c r="BI172" s="113"/>
      <c r="BJ172" s="113"/>
      <c r="BK172" s="113"/>
      <c r="BL172" s="113"/>
      <c r="BM172" s="113"/>
      <c r="BN172" s="113"/>
      <c r="BO172" s="113"/>
      <c r="BP172" s="113"/>
      <c r="BQ172" s="113"/>
      <c r="BR172" s="113"/>
      <c r="BS172" s="113"/>
      <c r="BT172" s="113"/>
      <c r="BU172" s="113"/>
      <c r="BV172" s="113"/>
      <c r="BW172" s="113"/>
      <c r="BX172" s="113"/>
      <c r="BY172" s="113"/>
      <c r="BZ172" s="113"/>
      <c r="CA172" s="113"/>
      <c r="CB172" s="113"/>
      <c r="CC172" s="113"/>
      <c r="CD172" s="661">
        <f t="shared" ref="CD172:CV172" si="310">CD161/CD$168</f>
        <v>0.31513866807984453</v>
      </c>
      <c r="CE172" s="661">
        <f t="shared" si="310"/>
        <v>0.30136775779929309</v>
      </c>
      <c r="CF172" s="661">
        <f t="shared" si="310"/>
        <v>0.30789807123750529</v>
      </c>
      <c r="CG172" s="661">
        <f t="shared" si="310"/>
        <v>0.3417506214837106</v>
      </c>
      <c r="CH172" s="661">
        <f t="shared" si="310"/>
        <v>0.33506274131274133</v>
      </c>
      <c r="CI172" s="661">
        <f t="shared" si="310"/>
        <v>0.17959427207637232</v>
      </c>
      <c r="CJ172" s="661">
        <f t="shared" si="310"/>
        <v>0.19440229303658743</v>
      </c>
      <c r="CK172" s="661">
        <f t="shared" si="310"/>
        <v>0.30606511320442903</v>
      </c>
      <c r="CL172" s="661">
        <f t="shared" si="310"/>
        <v>0.24972191323692991</v>
      </c>
      <c r="CM172" s="661">
        <f t="shared" si="310"/>
        <v>0.21018731028355667</v>
      </c>
      <c r="CN172" s="661">
        <f t="shared" si="310"/>
        <v>0.23912803532008831</v>
      </c>
      <c r="CO172" s="661">
        <f t="shared" si="310"/>
        <v>0.20074198072659821</v>
      </c>
      <c r="CP172" s="661">
        <f t="shared" si="310"/>
        <v>0.16790815542927354</v>
      </c>
      <c r="CQ172" s="661">
        <f t="shared" si="310"/>
        <v>0.19107856191744341</v>
      </c>
      <c r="CR172" s="661">
        <f t="shared" si="310"/>
        <v>0.14688444216407273</v>
      </c>
      <c r="CS172" s="661">
        <f t="shared" si="310"/>
        <v>0.13493173323841245</v>
      </c>
      <c r="CT172" s="661">
        <f t="shared" si="310"/>
        <v>0.16245290726703282</v>
      </c>
      <c r="CU172" s="661">
        <f t="shared" si="310"/>
        <v>0.18246582375970732</v>
      </c>
      <c r="CV172" s="661">
        <f t="shared" si="310"/>
        <v>0.24122022243272637</v>
      </c>
      <c r="CW172" s="113"/>
      <c r="CX172" s="113"/>
      <c r="CY172" s="113"/>
      <c r="CZ172" s="113"/>
      <c r="DA172" s="113"/>
      <c r="DB172" s="113"/>
      <c r="DC172" s="113"/>
      <c r="DD172" s="113"/>
      <c r="DE172" s="113"/>
      <c r="DF172" s="113"/>
      <c r="DG172" s="113"/>
      <c r="DH172" s="113"/>
      <c r="DI172" s="113"/>
      <c r="DJ172" s="113"/>
      <c r="DK172" s="113"/>
      <c r="DL172" s="113"/>
      <c r="DM172" s="113"/>
      <c r="DN172" s="113"/>
      <c r="DO172" s="113"/>
      <c r="DP172" s="113"/>
      <c r="DQ172" s="113"/>
      <c r="EC172" s="102"/>
      <c r="ED172" s="102"/>
      <c r="EE172" s="102"/>
      <c r="EG172" s="102"/>
      <c r="EH172" s="120"/>
      <c r="EI172" s="120"/>
      <c r="EJ172" s="121"/>
      <c r="EK172" s="121"/>
      <c r="EL172" s="121"/>
      <c r="EM172" s="121"/>
      <c r="EN172" s="661">
        <f t="shared" ref="EN172:ER173" si="311">EN161/EN$168</f>
        <v>0.31745559931634093</v>
      </c>
      <c r="EO172" s="661">
        <f t="shared" si="311"/>
        <v>0.2589901386520353</v>
      </c>
      <c r="EP172" s="661">
        <f t="shared" si="311"/>
        <v>0.24477200354551723</v>
      </c>
      <c r="EQ172" s="661">
        <f t="shared" si="311"/>
        <v>0.18084706928128616</v>
      </c>
      <c r="ER172" s="661">
        <f t="shared" si="311"/>
        <v>0.19609795404236402</v>
      </c>
      <c r="ES172" s="122"/>
      <c r="ET172" s="122"/>
      <c r="EU172" s="122"/>
      <c r="EV172" s="122"/>
      <c r="EW172" s="122"/>
    </row>
    <row r="173" spans="1:153">
      <c r="A173" s="27" t="s">
        <v>284</v>
      </c>
      <c r="BB173" s="113"/>
      <c r="BC173" s="113"/>
      <c r="BD173" s="113"/>
      <c r="BE173" s="113"/>
      <c r="BF173" s="113"/>
      <c r="BG173" s="113"/>
      <c r="BH173" s="113"/>
      <c r="BI173" s="113"/>
      <c r="BJ173" s="113"/>
      <c r="BK173" s="113"/>
      <c r="BL173" s="113"/>
      <c r="BM173" s="113"/>
      <c r="BN173" s="113"/>
      <c r="BO173" s="113"/>
      <c r="BP173" s="113"/>
      <c r="BQ173" s="113"/>
      <c r="BR173" s="113"/>
      <c r="BS173" s="113"/>
      <c r="BT173" s="113"/>
      <c r="BU173" s="113"/>
      <c r="BV173" s="113"/>
      <c r="BW173" s="113"/>
      <c r="BX173" s="113"/>
      <c r="BY173" s="113"/>
      <c r="BZ173" s="113"/>
      <c r="CA173" s="113"/>
      <c r="CB173" s="113"/>
      <c r="CC173" s="113"/>
      <c r="CD173" s="661">
        <f t="shared" ref="CD173:CD179" si="312">CD162/$CD$168</f>
        <v>0.24571630453983395</v>
      </c>
      <c r="CE173" s="661">
        <f t="shared" ref="CE173:CV173" si="313">CE162/CE$168</f>
        <v>0.26433072076225606</v>
      </c>
      <c r="CF173" s="661">
        <f t="shared" si="313"/>
        <v>0.28396452203294381</v>
      </c>
      <c r="CG173" s="661">
        <f t="shared" si="313"/>
        <v>0.25945309433468533</v>
      </c>
      <c r="CH173" s="661">
        <f t="shared" si="313"/>
        <v>0.25108590733590735</v>
      </c>
      <c r="CI173" s="661">
        <f t="shared" si="313"/>
        <v>0.23896181384248211</v>
      </c>
      <c r="CJ173" s="661">
        <f t="shared" si="313"/>
        <v>0.19355926487944697</v>
      </c>
      <c r="CK173" s="661">
        <f t="shared" si="313"/>
        <v>0.15765989092711949</v>
      </c>
      <c r="CL173" s="661">
        <f t="shared" si="313"/>
        <v>0.22107897664071191</v>
      </c>
      <c r="CM173" s="661">
        <f t="shared" si="313"/>
        <v>0.20285777744873029</v>
      </c>
      <c r="CN173" s="661">
        <f t="shared" si="313"/>
        <v>0.22240618101545254</v>
      </c>
      <c r="CO173" s="661">
        <f t="shared" si="313"/>
        <v>8.8042347192688775E-2</v>
      </c>
      <c r="CP173" s="661">
        <f t="shared" si="313"/>
        <v>9.5645830133620033E-2</v>
      </c>
      <c r="CQ173" s="661">
        <f t="shared" si="313"/>
        <v>0.12207057256990679</v>
      </c>
      <c r="CR173" s="661">
        <f t="shared" si="313"/>
        <v>0.15438116412975314</v>
      </c>
      <c r="CS173" s="661">
        <f t="shared" si="313"/>
        <v>0.14070326205791869</v>
      </c>
      <c r="CT173" s="661">
        <f t="shared" si="313"/>
        <v>0.12532340792519631</v>
      </c>
      <c r="CU173" s="661">
        <f t="shared" si="313"/>
        <v>5.9238816507284513E-2</v>
      </c>
      <c r="CV173" s="661">
        <f t="shared" si="313"/>
        <v>5.2152405009998945E-2</v>
      </c>
      <c r="CW173" s="113"/>
      <c r="CX173" s="113"/>
      <c r="CY173" s="113"/>
      <c r="CZ173" s="113"/>
      <c r="DA173" s="113"/>
      <c r="DB173" s="113"/>
      <c r="DC173" s="113"/>
      <c r="DD173" s="113"/>
      <c r="DE173" s="113"/>
      <c r="DF173" s="113"/>
      <c r="DG173" s="113"/>
      <c r="DH173" s="113"/>
      <c r="DI173" s="113"/>
      <c r="DJ173" s="113"/>
      <c r="DK173" s="113"/>
      <c r="DL173" s="113"/>
      <c r="DM173" s="113"/>
      <c r="DN173" s="113"/>
      <c r="DO173" s="113"/>
      <c r="DP173" s="113"/>
      <c r="DQ173" s="113"/>
      <c r="EC173" s="102"/>
      <c r="ED173" s="102"/>
      <c r="EE173" s="102"/>
      <c r="EG173" s="102"/>
      <c r="EH173" s="120"/>
      <c r="EI173" s="120"/>
      <c r="EJ173" s="121"/>
      <c r="EK173" s="121"/>
      <c r="EL173" s="121"/>
      <c r="EM173" s="121"/>
      <c r="EN173" s="661">
        <f t="shared" si="311"/>
        <v>0.26421193430928142</v>
      </c>
      <c r="EO173" s="661">
        <f t="shared" si="311"/>
        <v>0.21446578186401721</v>
      </c>
      <c r="EP173" s="661">
        <f t="shared" si="311"/>
        <v>0.202389941236335</v>
      </c>
      <c r="EQ173" s="661">
        <f t="shared" si="311"/>
        <v>0.19194310980329049</v>
      </c>
      <c r="ER173" s="661">
        <f t="shared" si="311"/>
        <v>9.112337800665006E-2</v>
      </c>
      <c r="ES173" s="122"/>
      <c r="ET173" s="122"/>
      <c r="EU173" s="122"/>
      <c r="EV173" s="122"/>
      <c r="EW173" s="122"/>
    </row>
    <row r="174" spans="1:153">
      <c r="A174" s="27" t="s">
        <v>285</v>
      </c>
      <c r="BB174" s="113"/>
      <c r="BC174" s="113"/>
      <c r="BD174" s="113"/>
      <c r="BE174" s="113"/>
      <c r="BF174" s="113"/>
      <c r="BG174" s="113"/>
      <c r="BH174" s="113"/>
      <c r="BI174" s="113"/>
      <c r="BJ174" s="113"/>
      <c r="BK174" s="113"/>
      <c r="BL174" s="113"/>
      <c r="BM174" s="113"/>
      <c r="BN174" s="113"/>
      <c r="BO174" s="113"/>
      <c r="BP174" s="113"/>
      <c r="BQ174" s="113"/>
      <c r="BR174" s="113"/>
      <c r="BS174" s="113"/>
      <c r="BT174" s="113"/>
      <c r="BU174" s="113"/>
      <c r="BV174" s="113"/>
      <c r="BW174" s="113"/>
      <c r="BX174" s="113"/>
      <c r="BY174" s="113"/>
      <c r="BZ174" s="113"/>
      <c r="CA174" s="113"/>
      <c r="CB174" s="113"/>
      <c r="CC174" s="113"/>
      <c r="CD174" s="661">
        <f t="shared" si="312"/>
        <v>0.17682388270623564</v>
      </c>
      <c r="CE174" s="661">
        <f t="shared" ref="CE174:CV174" si="314">CE163/CE$168</f>
        <v>0.16090364223144307</v>
      </c>
      <c r="CF174" s="661">
        <f t="shared" si="314"/>
        <v>0.15021821765451218</v>
      </c>
      <c r="CG174" s="661">
        <f t="shared" si="314"/>
        <v>0</v>
      </c>
      <c r="CH174" s="661">
        <f t="shared" si="314"/>
        <v>0</v>
      </c>
      <c r="CI174" s="661">
        <f t="shared" si="314"/>
        <v>0</v>
      </c>
      <c r="CJ174" s="661">
        <f t="shared" si="314"/>
        <v>0</v>
      </c>
      <c r="CK174" s="661">
        <f t="shared" si="314"/>
        <v>0</v>
      </c>
      <c r="CL174" s="661">
        <f t="shared" si="314"/>
        <v>0</v>
      </c>
      <c r="CM174" s="661">
        <f t="shared" si="314"/>
        <v>0</v>
      </c>
      <c r="CN174" s="661">
        <f t="shared" si="314"/>
        <v>0</v>
      </c>
      <c r="CO174" s="661">
        <f t="shared" si="314"/>
        <v>0</v>
      </c>
      <c r="CP174" s="661">
        <f t="shared" si="314"/>
        <v>0</v>
      </c>
      <c r="CQ174" s="661">
        <f t="shared" si="314"/>
        <v>0</v>
      </c>
      <c r="CR174" s="661">
        <f t="shared" si="314"/>
        <v>0</v>
      </c>
      <c r="CS174" s="661">
        <f t="shared" si="314"/>
        <v>0</v>
      </c>
      <c r="CT174" s="661">
        <f t="shared" si="314"/>
        <v>0</v>
      </c>
      <c r="CU174" s="661">
        <f t="shared" si="314"/>
        <v>0</v>
      </c>
      <c r="CV174" s="661">
        <f t="shared" si="314"/>
        <v>0</v>
      </c>
      <c r="CW174" s="113"/>
      <c r="CX174" s="113"/>
      <c r="CY174" s="113"/>
      <c r="CZ174" s="113"/>
      <c r="DA174" s="113"/>
      <c r="DB174" s="113"/>
      <c r="DC174" s="113"/>
      <c r="DD174" s="113"/>
      <c r="DE174" s="113"/>
      <c r="DF174" s="113"/>
      <c r="DG174" s="113"/>
      <c r="DH174" s="113"/>
      <c r="DI174" s="113"/>
      <c r="DJ174" s="113"/>
      <c r="DK174" s="113"/>
      <c r="DL174" s="113"/>
      <c r="DM174" s="113"/>
      <c r="DN174" s="113"/>
      <c r="DO174" s="113"/>
      <c r="DP174" s="113"/>
      <c r="DQ174" s="113"/>
      <c r="EC174" s="102"/>
      <c r="ED174" s="102"/>
      <c r="EE174" s="102"/>
      <c r="EG174" s="102"/>
      <c r="EH174" s="120"/>
      <c r="EI174" s="120"/>
      <c r="EJ174" s="121"/>
      <c r="EK174" s="121"/>
      <c r="EL174" s="121"/>
      <c r="EM174" s="121"/>
      <c r="EN174" s="661">
        <f>EN163/EN$168</f>
        <v>0.11573902058408263</v>
      </c>
      <c r="EO174" s="661"/>
      <c r="EP174" s="661"/>
      <c r="EQ174" s="661"/>
      <c r="ER174" s="661"/>
      <c r="ES174" s="122"/>
      <c r="ET174" s="122"/>
      <c r="EU174" s="122"/>
      <c r="EV174" s="122"/>
      <c r="EW174" s="122"/>
    </row>
    <row r="175" spans="1:153">
      <c r="A175" s="27" t="s">
        <v>286</v>
      </c>
      <c r="BB175" s="113"/>
      <c r="BC175" s="113"/>
      <c r="BD175" s="113"/>
      <c r="BE175" s="113"/>
      <c r="BF175" s="113"/>
      <c r="BG175" s="113"/>
      <c r="BH175" s="113"/>
      <c r="BI175" s="113"/>
      <c r="BJ175" s="113"/>
      <c r="BK175" s="113"/>
      <c r="BL175" s="113"/>
      <c r="BM175" s="113"/>
      <c r="BN175" s="113"/>
      <c r="BO175" s="113"/>
      <c r="BP175" s="113"/>
      <c r="BQ175" s="113"/>
      <c r="BR175" s="113"/>
      <c r="BS175" s="113"/>
      <c r="BT175" s="113"/>
      <c r="BU175" s="113"/>
      <c r="BV175" s="113"/>
      <c r="BW175" s="113"/>
      <c r="BX175" s="113"/>
      <c r="BY175" s="113"/>
      <c r="BZ175" s="113"/>
      <c r="CA175" s="113"/>
      <c r="CB175" s="113"/>
      <c r="CC175" s="113"/>
      <c r="CD175" s="661">
        <f t="shared" si="312"/>
        <v>0.13566507684154744</v>
      </c>
      <c r="CE175" s="661">
        <f t="shared" ref="CE175:CV175" si="315">CE164/CE$168</f>
        <v>0.15306592899953897</v>
      </c>
      <c r="CF175" s="661">
        <f t="shared" si="315"/>
        <v>0.15852456708433058</v>
      </c>
      <c r="CG175" s="661">
        <f t="shared" si="315"/>
        <v>0.19089362815648306</v>
      </c>
      <c r="CH175" s="661">
        <f t="shared" si="315"/>
        <v>0.23310810810810811</v>
      </c>
      <c r="CI175" s="661">
        <f t="shared" si="315"/>
        <v>0.29653937947494036</v>
      </c>
      <c r="CJ175" s="661">
        <f t="shared" si="315"/>
        <v>0.36216489630753668</v>
      </c>
      <c r="CK175" s="661">
        <f t="shared" si="315"/>
        <v>0.36754255494959509</v>
      </c>
      <c r="CL175" s="661">
        <f t="shared" si="315"/>
        <v>0.33161846496106784</v>
      </c>
      <c r="CM175" s="661">
        <f t="shared" si="315"/>
        <v>0.44739764566521062</v>
      </c>
      <c r="CN175" s="661">
        <f t="shared" si="315"/>
        <v>0.34779249448123623</v>
      </c>
      <c r="CO175" s="661">
        <f t="shared" si="315"/>
        <v>0.55359001040582723</v>
      </c>
      <c r="CP175" s="661">
        <f t="shared" si="315"/>
        <v>0.51819996928275225</v>
      </c>
      <c r="CQ175" s="661">
        <f t="shared" si="315"/>
        <v>0.43348868175765648</v>
      </c>
      <c r="CR175" s="661">
        <f t="shared" si="315"/>
        <v>0.42186876460863121</v>
      </c>
      <c r="CS175" s="661">
        <f t="shared" si="315"/>
        <v>0.50695380234420684</v>
      </c>
      <c r="CT175" s="661">
        <f t="shared" si="315"/>
        <v>0.47067768144886751</v>
      </c>
      <c r="CU175" s="661">
        <f t="shared" si="315"/>
        <v>0.50210726739832701</v>
      </c>
      <c r="CV175" s="661">
        <f t="shared" si="315"/>
        <v>0.68724344805809912</v>
      </c>
      <c r="CW175" s="113"/>
      <c r="CX175" s="113"/>
      <c r="CY175" s="113"/>
      <c r="CZ175" s="113"/>
      <c r="DA175" s="113"/>
      <c r="DB175" s="113"/>
      <c r="DC175" s="113"/>
      <c r="DD175" s="113"/>
      <c r="DE175" s="113"/>
      <c r="DF175" s="113"/>
      <c r="DG175" s="113"/>
      <c r="DH175" s="113"/>
      <c r="DI175" s="113"/>
      <c r="DJ175" s="113"/>
      <c r="DK175" s="113"/>
      <c r="DL175" s="113"/>
      <c r="DM175" s="113"/>
      <c r="DN175" s="113"/>
      <c r="DO175" s="113"/>
      <c r="DP175" s="113"/>
      <c r="DQ175" s="113"/>
      <c r="EC175" s="102"/>
      <c r="ED175" s="102"/>
      <c r="EE175" s="102"/>
      <c r="EG175" s="102"/>
      <c r="EH175" s="120"/>
      <c r="EI175" s="120"/>
      <c r="EJ175" s="121"/>
      <c r="EK175" s="121"/>
      <c r="EL175" s="121"/>
      <c r="EM175" s="121"/>
      <c r="EN175" s="661">
        <f>EN164/EN$168</f>
        <v>0.1615887642119343</v>
      </c>
      <c r="EO175" s="661">
        <f>EO164/EO$168</f>
        <v>0.3074071327945429</v>
      </c>
      <c r="EP175" s="661">
        <f>EP164/EP$168</f>
        <v>0.51759627064114766</v>
      </c>
      <c r="EQ175" s="661">
        <f>EQ164/EQ$168</f>
        <v>0.59374545008697521</v>
      </c>
      <c r="ER175" s="661">
        <f>ER164/ER$168</f>
        <v>0.69287017569858012</v>
      </c>
      <c r="ES175" s="122"/>
      <c r="ET175" s="122"/>
      <c r="EU175" s="122"/>
      <c r="EV175" s="122"/>
      <c r="EW175" s="122"/>
    </row>
    <row r="176" spans="1:153">
      <c r="A176" s="27" t="s">
        <v>291</v>
      </c>
      <c r="BB176" s="113"/>
      <c r="BC176" s="113"/>
      <c r="BD176" s="113"/>
      <c r="BE176" s="113"/>
      <c r="BF176" s="113"/>
      <c r="BG176" s="113"/>
      <c r="BH176" s="113"/>
      <c r="BI176" s="113"/>
      <c r="BJ176" s="113"/>
      <c r="BK176" s="113"/>
      <c r="BL176" s="113"/>
      <c r="BM176" s="113"/>
      <c r="BN176" s="113"/>
      <c r="BO176" s="113"/>
      <c r="BP176" s="113"/>
      <c r="BQ176" s="113"/>
      <c r="BR176" s="113"/>
      <c r="BS176" s="113"/>
      <c r="BT176" s="113"/>
      <c r="BU176" s="113"/>
      <c r="BV176" s="113"/>
      <c r="BW176" s="113"/>
      <c r="BX176" s="113"/>
      <c r="BY176" s="113"/>
      <c r="BZ176" s="113"/>
      <c r="CA176" s="113"/>
      <c r="CB176" s="113"/>
      <c r="CC176" s="113"/>
      <c r="CD176" s="661">
        <f t="shared" si="312"/>
        <v>6.7302596714361423E-2</v>
      </c>
      <c r="CE176" s="661">
        <f t="shared" ref="CE176:CV176" si="316">CE165/CE$168</f>
        <v>6.5928999538958047E-2</v>
      </c>
      <c r="CF176" s="661">
        <f t="shared" si="316"/>
        <v>4.7867098409122906E-2</v>
      </c>
      <c r="CG176" s="661">
        <f t="shared" si="316"/>
        <v>0</v>
      </c>
      <c r="CH176" s="661">
        <f t="shared" si="316"/>
        <v>0</v>
      </c>
      <c r="CI176" s="661">
        <f t="shared" si="316"/>
        <v>0</v>
      </c>
      <c r="CJ176" s="661">
        <f t="shared" si="316"/>
        <v>0</v>
      </c>
      <c r="CK176" s="661">
        <f t="shared" si="316"/>
        <v>0</v>
      </c>
      <c r="CL176" s="661">
        <f t="shared" si="316"/>
        <v>0</v>
      </c>
      <c r="CM176" s="661">
        <f t="shared" si="316"/>
        <v>0</v>
      </c>
      <c r="CN176" s="661">
        <f t="shared" si="316"/>
        <v>0</v>
      </c>
      <c r="CO176" s="661">
        <f t="shared" si="316"/>
        <v>0</v>
      </c>
      <c r="CP176" s="661">
        <f t="shared" si="316"/>
        <v>0</v>
      </c>
      <c r="CQ176" s="661">
        <f t="shared" si="316"/>
        <v>0</v>
      </c>
      <c r="CR176" s="661">
        <f t="shared" si="316"/>
        <v>0</v>
      </c>
      <c r="CS176" s="661">
        <f t="shared" si="316"/>
        <v>0</v>
      </c>
      <c r="CT176" s="661">
        <f t="shared" si="316"/>
        <v>0</v>
      </c>
      <c r="CU176" s="661">
        <f t="shared" si="316"/>
        <v>0</v>
      </c>
      <c r="CV176" s="661">
        <f t="shared" si="316"/>
        <v>0</v>
      </c>
      <c r="CW176" s="113"/>
      <c r="CX176" s="113"/>
      <c r="CY176" s="113"/>
      <c r="CZ176" s="113"/>
      <c r="DA176" s="113"/>
      <c r="DB176" s="113"/>
      <c r="DC176" s="113"/>
      <c r="DD176" s="113"/>
      <c r="DE176" s="113"/>
      <c r="DF176" s="113"/>
      <c r="DG176" s="113"/>
      <c r="DH176" s="113"/>
      <c r="DI176" s="113"/>
      <c r="DJ176" s="113"/>
      <c r="DK176" s="113"/>
      <c r="DL176" s="113"/>
      <c r="DM176" s="113"/>
      <c r="DN176" s="113"/>
      <c r="DO176" s="113"/>
      <c r="DP176" s="113"/>
      <c r="DQ176" s="113"/>
      <c r="EC176" s="102"/>
      <c r="ED176" s="102"/>
      <c r="EE176" s="102"/>
      <c r="EG176" s="102"/>
      <c r="EH176" s="120"/>
      <c r="EI176" s="120"/>
      <c r="EJ176" s="121"/>
      <c r="EK176" s="121"/>
      <c r="EL176" s="121"/>
      <c r="EM176" s="121"/>
      <c r="EN176" s="661">
        <f>EN165/EN$168</f>
        <v>4.2728691387382028E-2</v>
      </c>
      <c r="EO176" s="661"/>
      <c r="EP176" s="661"/>
      <c r="EQ176" s="661"/>
      <c r="ER176" s="661"/>
      <c r="ES176" s="122"/>
      <c r="ET176" s="122"/>
      <c r="EU176" s="122"/>
      <c r="EV176" s="122"/>
      <c r="EW176" s="122"/>
    </row>
    <row r="177" spans="1:153">
      <c r="A177" s="27" t="s">
        <v>288</v>
      </c>
      <c r="BB177" s="113"/>
      <c r="BC177" s="113"/>
      <c r="BD177" s="113"/>
      <c r="BE177" s="113"/>
      <c r="BF177" s="113"/>
      <c r="BG177" s="113"/>
      <c r="BH177" s="113"/>
      <c r="BI177" s="113"/>
      <c r="BJ177" s="113"/>
      <c r="BK177" s="113"/>
      <c r="BL177" s="113"/>
      <c r="BM177" s="113"/>
      <c r="BN177" s="113"/>
      <c r="BO177" s="113"/>
      <c r="BP177" s="113"/>
      <c r="BQ177" s="113"/>
      <c r="BR177" s="113"/>
      <c r="BS177" s="113"/>
      <c r="BT177" s="113"/>
      <c r="BU177" s="113"/>
      <c r="BV177" s="113"/>
      <c r="BW177" s="113"/>
      <c r="BX177" s="113"/>
      <c r="BY177" s="113"/>
      <c r="BZ177" s="113"/>
      <c r="CA177" s="113"/>
      <c r="CB177" s="113"/>
      <c r="CC177" s="113"/>
      <c r="CD177" s="661">
        <f t="shared" si="312"/>
        <v>5.9353471118177001E-2</v>
      </c>
      <c r="CE177" s="661">
        <f t="shared" ref="CE177:CV177" si="317">CE166/CE$168</f>
        <v>5.4402950668510835E-2</v>
      </c>
      <c r="CF177" s="661">
        <f t="shared" si="317"/>
        <v>5.1527523581585244E-2</v>
      </c>
      <c r="CG177" s="661">
        <f t="shared" si="317"/>
        <v>0.20790265602512104</v>
      </c>
      <c r="CH177" s="661">
        <f t="shared" si="317"/>
        <v>0.18074324324324326</v>
      </c>
      <c r="CI177" s="661">
        <f t="shared" si="317"/>
        <v>0.28490453460620524</v>
      </c>
      <c r="CJ177" s="661">
        <f t="shared" si="317"/>
        <v>0.24987354577642892</v>
      </c>
      <c r="CK177" s="661">
        <f t="shared" si="317"/>
        <v>0.16873244091885639</v>
      </c>
      <c r="CL177" s="661">
        <f t="shared" si="317"/>
        <v>0.19758064516129031</v>
      </c>
      <c r="CM177" s="661">
        <f t="shared" si="317"/>
        <v>0.13955726660250239</v>
      </c>
      <c r="CN177" s="661">
        <f t="shared" si="317"/>
        <v>4.1556291390728479E-2</v>
      </c>
      <c r="CO177" s="661">
        <f t="shared" si="317"/>
        <v>0.15762566167488576</v>
      </c>
      <c r="CP177" s="661">
        <f t="shared" si="317"/>
        <v>6.3239133773613884E-2</v>
      </c>
      <c r="CQ177" s="661">
        <f t="shared" si="317"/>
        <v>6.6211717709720369E-2</v>
      </c>
      <c r="CR177" s="661">
        <f t="shared" si="317"/>
        <v>5.7465366854797334E-2</v>
      </c>
      <c r="CS177" s="661">
        <f t="shared" si="317"/>
        <v>5.6520302051816636E-2</v>
      </c>
      <c r="CT177" s="661">
        <f t="shared" si="317"/>
        <v>3.6902546411874175E-2</v>
      </c>
      <c r="CU177" s="661">
        <f t="shared" si="317"/>
        <v>3.8914917741693943E-2</v>
      </c>
      <c r="CV177" s="661">
        <f t="shared" si="317"/>
        <v>1.9383924499175524E-2</v>
      </c>
      <c r="CW177" s="113"/>
      <c r="CX177" s="113"/>
      <c r="CY177" s="113"/>
      <c r="CZ177" s="113"/>
      <c r="DA177" s="113"/>
      <c r="DB177" s="113"/>
      <c r="DC177" s="113"/>
      <c r="DD177" s="113"/>
      <c r="DE177" s="113"/>
      <c r="DF177" s="113"/>
      <c r="DG177" s="113"/>
      <c r="DH177" s="113"/>
      <c r="DI177" s="113"/>
      <c r="DJ177" s="113"/>
      <c r="DK177" s="113"/>
      <c r="DL177" s="113"/>
      <c r="DM177" s="113"/>
      <c r="DN177" s="113"/>
      <c r="DO177" s="113"/>
      <c r="DP177" s="113"/>
      <c r="DQ177" s="113"/>
      <c r="EC177" s="102"/>
      <c r="ED177" s="102"/>
      <c r="EE177" s="102"/>
      <c r="EG177" s="102"/>
      <c r="EH177" s="120"/>
      <c r="EI177" s="120"/>
      <c r="EJ177" s="121"/>
      <c r="EK177" s="121"/>
      <c r="EL177" s="121"/>
      <c r="EM177" s="121"/>
      <c r="EN177" s="661">
        <f>EN166/EN$168</f>
        <v>9.8275990190978671E-2</v>
      </c>
      <c r="EO177" s="661">
        <f t="shared" ref="EO177:ER179" si="318">EO166/EO$168</f>
        <v>0.21913694668940462</v>
      </c>
      <c r="EP177" s="661">
        <f t="shared" si="318"/>
        <v>3.5241784577000099E-2</v>
      </c>
      <c r="EQ177" s="661">
        <f t="shared" si="318"/>
        <v>3.3464370828448164E-2</v>
      </c>
      <c r="ER177" s="661">
        <f t="shared" si="318"/>
        <v>1.9908492252405784E-2</v>
      </c>
      <c r="ES177" s="122"/>
      <c r="ET177" s="122"/>
      <c r="EU177" s="122"/>
      <c r="EV177" s="122"/>
      <c r="EW177" s="122"/>
    </row>
    <row r="178" spans="1:153">
      <c r="A178" s="27" t="s">
        <v>289</v>
      </c>
      <c r="BB178" s="113"/>
      <c r="BC178" s="113"/>
      <c r="BD178" s="113"/>
      <c r="BE178" s="113"/>
      <c r="BF178" s="113"/>
      <c r="BG178" s="113"/>
      <c r="BH178" s="113"/>
      <c r="BI178" s="113"/>
      <c r="BJ178" s="113"/>
      <c r="BK178" s="113"/>
      <c r="BL178" s="113"/>
      <c r="BM178" s="113"/>
      <c r="BN178" s="113"/>
      <c r="BO178" s="113"/>
      <c r="BP178" s="113"/>
      <c r="BQ178" s="113"/>
      <c r="BR178" s="113"/>
      <c r="BS178" s="113"/>
      <c r="BT178" s="113"/>
      <c r="BU178" s="113"/>
      <c r="BV178" s="113"/>
      <c r="BW178" s="113"/>
      <c r="BX178" s="113"/>
      <c r="BY178" s="113"/>
      <c r="BZ178" s="113"/>
      <c r="CA178" s="113"/>
      <c r="CB178" s="113"/>
      <c r="CC178" s="113"/>
      <c r="CD178" s="661">
        <f t="shared" si="312"/>
        <v>0</v>
      </c>
      <c r="CE178" s="661">
        <f t="shared" ref="CE178:CV178" si="319">CE167/CE$168</f>
        <v>0</v>
      </c>
      <c r="CF178" s="661">
        <f t="shared" si="319"/>
        <v>0</v>
      </c>
      <c r="CG178" s="661">
        <f t="shared" si="319"/>
        <v>0</v>
      </c>
      <c r="CH178" s="661">
        <f t="shared" si="319"/>
        <v>0</v>
      </c>
      <c r="CI178" s="661">
        <f t="shared" si="319"/>
        <v>0</v>
      </c>
      <c r="CJ178" s="661">
        <f t="shared" si="319"/>
        <v>9.0372618445456077E-2</v>
      </c>
      <c r="CK178" s="661">
        <f t="shared" si="319"/>
        <v>0</v>
      </c>
      <c r="CL178" s="661">
        <f t="shared" si="319"/>
        <v>0</v>
      </c>
      <c r="CM178" s="661">
        <f t="shared" si="319"/>
        <v>0</v>
      </c>
      <c r="CN178" s="661">
        <f t="shared" si="319"/>
        <v>0.14911699779249449</v>
      </c>
      <c r="CO178" s="661">
        <f t="shared" si="319"/>
        <v>0</v>
      </c>
      <c r="CP178" s="661">
        <f t="shared" si="319"/>
        <v>0.1550069113807403</v>
      </c>
      <c r="CQ178" s="661">
        <f t="shared" si="319"/>
        <v>0.18715046604527297</v>
      </c>
      <c r="CR178" s="661">
        <f t="shared" si="319"/>
        <v>0.21940026224274556</v>
      </c>
      <c r="CS178" s="661">
        <f t="shared" si="319"/>
        <v>0.16089090030764536</v>
      </c>
      <c r="CT178" s="661">
        <f t="shared" si="319"/>
        <v>0.20464345694702918</v>
      </c>
      <c r="CU178" s="661">
        <f t="shared" si="319"/>
        <v>0.21727317459298717</v>
      </c>
      <c r="CV178" s="661">
        <f t="shared" si="319"/>
        <v>0</v>
      </c>
      <c r="CW178" s="113"/>
      <c r="CX178" s="113"/>
      <c r="CY178" s="113"/>
      <c r="CZ178" s="113"/>
      <c r="DA178" s="113"/>
      <c r="DB178" s="113"/>
      <c r="DC178" s="113"/>
      <c r="DD178" s="113"/>
      <c r="DE178" s="113"/>
      <c r="DF178" s="113"/>
      <c r="DG178" s="113"/>
      <c r="DH178" s="113"/>
      <c r="DI178" s="113"/>
      <c r="DJ178" s="113"/>
      <c r="DK178" s="113"/>
      <c r="DL178" s="113"/>
      <c r="DM178" s="113"/>
      <c r="DN178" s="113"/>
      <c r="DO178" s="113"/>
      <c r="DP178" s="113"/>
      <c r="DQ178" s="113"/>
      <c r="EC178" s="102"/>
      <c r="ED178" s="102"/>
      <c r="EE178" s="102"/>
      <c r="EG178" s="102"/>
      <c r="EH178" s="120"/>
      <c r="EI178" s="120"/>
      <c r="EJ178" s="121"/>
      <c r="EK178" s="121"/>
      <c r="EL178" s="121"/>
      <c r="EM178" s="121"/>
      <c r="EN178" s="661"/>
      <c r="EO178" s="661">
        <f t="shared" si="318"/>
        <v>1.9870986876251204E-2</v>
      </c>
      <c r="EP178" s="661">
        <f t="shared" si="318"/>
        <v>0</v>
      </c>
      <c r="EQ178" s="661">
        <f t="shared" si="318"/>
        <v>0</v>
      </c>
      <c r="ER178" s="661">
        <f t="shared" si="318"/>
        <v>0</v>
      </c>
      <c r="ES178" s="122"/>
      <c r="ET178" s="122"/>
      <c r="EU178" s="122"/>
      <c r="EV178" s="122"/>
      <c r="EW178" s="122"/>
    </row>
    <row r="179" spans="1:153">
      <c r="A179" s="27" t="s">
        <v>272</v>
      </c>
      <c r="BB179" s="113"/>
      <c r="BC179" s="113"/>
      <c r="BD179" s="113"/>
      <c r="BE179" s="113"/>
      <c r="BF179" s="113"/>
      <c r="BG179" s="113"/>
      <c r="BH179" s="113"/>
      <c r="BI179" s="113"/>
      <c r="BJ179" s="113"/>
      <c r="BK179" s="113"/>
      <c r="BL179" s="113"/>
      <c r="BM179" s="113"/>
      <c r="BN179" s="113"/>
      <c r="BO179" s="113"/>
      <c r="BP179" s="113"/>
      <c r="BQ179" s="113"/>
      <c r="BR179" s="113"/>
      <c r="BS179" s="113"/>
      <c r="BT179" s="113"/>
      <c r="BU179" s="113"/>
      <c r="BV179" s="113"/>
      <c r="BW179" s="113"/>
      <c r="BX179" s="113"/>
      <c r="BY179" s="113"/>
      <c r="BZ179" s="113"/>
      <c r="CA179" s="113"/>
      <c r="CB179" s="113"/>
      <c r="CC179" s="113"/>
      <c r="CD179" s="661">
        <f t="shared" si="312"/>
        <v>1</v>
      </c>
      <c r="CE179" s="661">
        <f t="shared" ref="CE179:CV179" si="320">CE168/CE$168</f>
        <v>1</v>
      </c>
      <c r="CF179" s="661">
        <f t="shared" si="320"/>
        <v>1</v>
      </c>
      <c r="CG179" s="661">
        <f t="shared" si="320"/>
        <v>1</v>
      </c>
      <c r="CH179" s="661">
        <f t="shared" si="320"/>
        <v>1</v>
      </c>
      <c r="CI179" s="661">
        <f t="shared" si="320"/>
        <v>1</v>
      </c>
      <c r="CJ179" s="661">
        <f t="shared" si="320"/>
        <v>1</v>
      </c>
      <c r="CK179" s="661">
        <f t="shared" si="320"/>
        <v>1</v>
      </c>
      <c r="CL179" s="661">
        <f t="shared" si="320"/>
        <v>1</v>
      </c>
      <c r="CM179" s="661">
        <f t="shared" si="320"/>
        <v>1</v>
      </c>
      <c r="CN179" s="661">
        <f t="shared" si="320"/>
        <v>1</v>
      </c>
      <c r="CO179" s="661">
        <f t="shared" si="320"/>
        <v>1</v>
      </c>
      <c r="CP179" s="661">
        <f t="shared" si="320"/>
        <v>1</v>
      </c>
      <c r="CQ179" s="661">
        <f t="shared" si="320"/>
        <v>1</v>
      </c>
      <c r="CR179" s="661">
        <f t="shared" si="320"/>
        <v>1</v>
      </c>
      <c r="CS179" s="661">
        <f t="shared" si="320"/>
        <v>1</v>
      </c>
      <c r="CT179" s="661">
        <f t="shared" si="320"/>
        <v>1</v>
      </c>
      <c r="CU179" s="661">
        <f t="shared" si="320"/>
        <v>1</v>
      </c>
      <c r="CV179" s="661">
        <f t="shared" si="320"/>
        <v>1</v>
      </c>
      <c r="CW179" s="113"/>
      <c r="CX179" s="113"/>
      <c r="CY179" s="113"/>
      <c r="CZ179" s="113"/>
      <c r="DA179" s="113"/>
      <c r="DB179" s="113"/>
      <c r="DC179" s="113"/>
      <c r="DD179" s="113"/>
      <c r="DE179" s="113"/>
      <c r="DF179" s="113"/>
      <c r="DG179" s="113"/>
      <c r="DH179" s="113"/>
      <c r="DI179" s="113"/>
      <c r="DJ179" s="113"/>
      <c r="DK179" s="113"/>
      <c r="DL179" s="113"/>
      <c r="DM179" s="113"/>
      <c r="DN179" s="113"/>
      <c r="DO179" s="113"/>
      <c r="DP179" s="113"/>
      <c r="DQ179" s="113"/>
      <c r="EC179" s="102"/>
      <c r="ED179" s="102"/>
      <c r="EE179" s="102"/>
      <c r="EG179" s="102"/>
      <c r="EH179" s="120"/>
      <c r="EI179" s="120"/>
      <c r="EJ179" s="121"/>
      <c r="EK179" s="121"/>
      <c r="EL179" s="121"/>
      <c r="EM179" s="121"/>
      <c r="EN179" s="661">
        <f>EN168/EN$168</f>
        <v>1</v>
      </c>
      <c r="EO179" s="661">
        <f t="shared" si="318"/>
        <v>1</v>
      </c>
      <c r="EP179" s="661">
        <f t="shared" si="318"/>
        <v>1</v>
      </c>
      <c r="EQ179" s="661">
        <f t="shared" si="318"/>
        <v>1</v>
      </c>
      <c r="ER179" s="661">
        <f t="shared" si="318"/>
        <v>1</v>
      </c>
      <c r="ES179" s="122"/>
      <c r="ET179" s="122"/>
      <c r="EU179" s="122"/>
      <c r="EV179" s="122"/>
      <c r="EW179" s="122"/>
    </row>
    <row r="180" spans="1:153">
      <c r="A180" s="106"/>
      <c r="BB180" s="113"/>
      <c r="BC180" s="113"/>
      <c r="BD180" s="113"/>
      <c r="BE180" s="113"/>
      <c r="BF180" s="113"/>
      <c r="BG180" s="113"/>
      <c r="BH180" s="113"/>
      <c r="BI180" s="113"/>
      <c r="BJ180" s="113"/>
      <c r="BK180" s="113"/>
      <c r="BL180" s="113"/>
      <c r="BM180" s="113"/>
      <c r="BN180" s="113"/>
      <c r="BO180" s="113"/>
      <c r="BP180" s="113"/>
      <c r="BQ180" s="113"/>
      <c r="BR180" s="113"/>
      <c r="BS180" s="113"/>
      <c r="BT180" s="113"/>
      <c r="BU180" s="113"/>
      <c r="BV180" s="113"/>
      <c r="BW180" s="113"/>
      <c r="BX180" s="113"/>
      <c r="BY180" s="113"/>
      <c r="BZ180" s="113"/>
      <c r="CA180" s="113"/>
      <c r="CB180" s="113"/>
      <c r="CC180" s="113"/>
      <c r="CD180" s="113"/>
      <c r="CE180" s="113"/>
      <c r="CF180" s="113"/>
      <c r="CG180" s="113"/>
      <c r="CH180" s="113"/>
      <c r="CI180" s="113"/>
      <c r="CJ180" s="113"/>
      <c r="CK180" s="113"/>
      <c r="CL180" s="113"/>
      <c r="CM180" s="113"/>
      <c r="CN180" s="113"/>
      <c r="CO180" s="113"/>
      <c r="CP180" s="113"/>
      <c r="CQ180" s="113"/>
      <c r="CR180" s="113"/>
      <c r="CS180" s="113"/>
      <c r="CT180" s="113"/>
      <c r="CU180" s="113"/>
      <c r="CV180" s="113"/>
      <c r="CW180" s="113"/>
      <c r="CX180" s="113"/>
      <c r="CY180" s="113"/>
      <c r="CZ180" s="113"/>
      <c r="DA180" s="113"/>
      <c r="DB180" s="113"/>
      <c r="DC180" s="113"/>
      <c r="DD180" s="113"/>
      <c r="DE180" s="113"/>
      <c r="DF180" s="113"/>
      <c r="DG180" s="113"/>
      <c r="DH180" s="113"/>
      <c r="DI180" s="113"/>
      <c r="DJ180" s="113"/>
      <c r="DK180" s="113"/>
      <c r="DL180" s="113"/>
      <c r="DM180" s="113"/>
      <c r="DN180" s="113"/>
      <c r="DO180" s="113"/>
      <c r="DP180" s="113"/>
      <c r="DQ180" s="113"/>
      <c r="EC180" s="102"/>
      <c r="ED180" s="102"/>
      <c r="EE180" s="102"/>
      <c r="EG180" s="102"/>
      <c r="EH180" s="120"/>
      <c r="EI180" s="120"/>
      <c r="EJ180" s="121"/>
      <c r="EK180" s="121"/>
      <c r="EL180" s="121"/>
      <c r="EM180" s="121"/>
      <c r="EN180" s="121"/>
      <c r="EO180" s="121"/>
      <c r="EP180" s="121"/>
      <c r="EQ180" s="122"/>
      <c r="ER180" s="122"/>
      <c r="ES180" s="122"/>
      <c r="ET180" s="122"/>
      <c r="EU180" s="122"/>
      <c r="EV180" s="122"/>
      <c r="EW180" s="122"/>
    </row>
    <row r="181" spans="1:153">
      <c r="A181" s="106"/>
      <c r="BB181" s="113"/>
      <c r="BC181" s="113"/>
      <c r="BD181" s="113"/>
      <c r="BE181" s="113"/>
      <c r="BF181" s="113"/>
      <c r="BG181" s="113"/>
      <c r="BH181" s="113"/>
      <c r="BI181" s="113"/>
      <c r="BJ181" s="113"/>
      <c r="BK181" s="113"/>
      <c r="BL181" s="113"/>
      <c r="BM181" s="113"/>
      <c r="BN181" s="113"/>
      <c r="BO181" s="113"/>
      <c r="BP181" s="113"/>
      <c r="BQ181" s="113"/>
      <c r="BR181" s="113"/>
      <c r="BS181" s="113"/>
      <c r="BT181" s="113"/>
      <c r="BU181" s="113"/>
      <c r="BV181" s="113"/>
      <c r="BW181" s="113"/>
      <c r="BX181" s="113"/>
      <c r="BY181" s="113"/>
      <c r="BZ181" s="113"/>
      <c r="CA181" s="113"/>
      <c r="CB181" s="113"/>
      <c r="CC181" s="113"/>
      <c r="CD181" s="113"/>
      <c r="CE181" s="113"/>
      <c r="CF181" s="113"/>
      <c r="CG181" s="113"/>
      <c r="CH181" s="113"/>
      <c r="CI181" s="113"/>
      <c r="CJ181" s="113"/>
      <c r="CK181" s="113"/>
      <c r="CL181" s="113"/>
      <c r="CM181" s="113"/>
      <c r="CN181" s="113"/>
      <c r="CO181" s="113"/>
      <c r="CP181" s="113"/>
      <c r="CQ181" s="113"/>
      <c r="CR181" s="113"/>
      <c r="CS181" s="113"/>
      <c r="CT181" s="113"/>
      <c r="CU181" s="113"/>
      <c r="CV181" s="113"/>
      <c r="CW181" s="113"/>
      <c r="CX181" s="113"/>
      <c r="CY181" s="113"/>
      <c r="CZ181" s="113"/>
      <c r="DA181" s="113"/>
      <c r="DB181" s="113"/>
      <c r="DC181" s="113"/>
      <c r="DD181" s="113"/>
      <c r="DE181" s="113"/>
      <c r="DF181" s="113"/>
      <c r="DG181" s="113"/>
      <c r="DH181" s="113"/>
      <c r="DI181" s="113"/>
      <c r="DJ181" s="113"/>
      <c r="DK181" s="113"/>
      <c r="DL181" s="113"/>
      <c r="DM181" s="113"/>
      <c r="DN181" s="113"/>
      <c r="DO181" s="113"/>
      <c r="DP181" s="113"/>
      <c r="DQ181" s="113"/>
      <c r="EC181" s="102"/>
      <c r="ED181" s="102"/>
      <c r="EE181" s="102"/>
      <c r="EG181" s="102"/>
      <c r="EH181" s="120"/>
      <c r="EI181" s="120"/>
      <c r="EJ181" s="121"/>
      <c r="EK181" s="121"/>
      <c r="EL181" s="121"/>
      <c r="EM181" s="121"/>
      <c r="EN181" s="121"/>
      <c r="EO181" s="121"/>
      <c r="EP181" s="121"/>
      <c r="EQ181" s="122"/>
      <c r="ER181" s="122"/>
      <c r="ES181" s="122"/>
      <c r="ET181" s="122"/>
      <c r="EU181" s="122"/>
      <c r="EV181" s="122"/>
      <c r="EW181" s="122"/>
    </row>
    <row r="182" spans="1:153">
      <c r="A182" s="74" t="s">
        <v>292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4"/>
      <c r="AP182" s="74"/>
      <c r="AQ182" s="74"/>
      <c r="AR182" s="74"/>
      <c r="AS182" s="74"/>
      <c r="AT182" s="74"/>
      <c r="AU182" s="74"/>
      <c r="AV182" s="74"/>
      <c r="AW182" s="74"/>
      <c r="AX182" s="74"/>
      <c r="AY182" s="74"/>
      <c r="AZ182" s="74"/>
      <c r="BA182" s="74"/>
      <c r="BB182" s="74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5"/>
      <c r="CE182" s="75"/>
      <c r="CF182" s="75"/>
      <c r="CG182" s="75"/>
      <c r="CH182" s="75"/>
      <c r="CI182" s="75"/>
      <c r="CJ182" s="75"/>
      <c r="CK182" s="75"/>
      <c r="CL182" s="75"/>
      <c r="CM182" s="75"/>
      <c r="CN182" s="75"/>
      <c r="CO182" s="75"/>
      <c r="CP182" s="75"/>
      <c r="CQ182" s="75"/>
      <c r="CR182" s="75"/>
      <c r="CS182" s="75"/>
      <c r="CT182" s="75"/>
      <c r="CU182" s="75"/>
      <c r="CV182" s="75"/>
      <c r="CW182" s="75"/>
      <c r="CX182" s="75"/>
      <c r="CY182" s="75"/>
      <c r="CZ182" s="75"/>
      <c r="DA182" s="75"/>
      <c r="DB182" s="75"/>
      <c r="DC182" s="75"/>
      <c r="DD182" s="75"/>
      <c r="DE182" s="75"/>
      <c r="DF182" s="75"/>
      <c r="DG182" s="75"/>
      <c r="DH182" s="75"/>
      <c r="DI182" s="75"/>
      <c r="DJ182" s="75"/>
      <c r="DK182" s="75"/>
      <c r="DL182" s="75"/>
      <c r="DM182" s="75"/>
      <c r="DN182" s="75"/>
      <c r="DO182" s="75"/>
      <c r="DP182" s="75"/>
      <c r="DQ182" s="75"/>
      <c r="DT182" s="74"/>
      <c r="DU182" s="74"/>
      <c r="DV182" s="74"/>
      <c r="DW182" s="74"/>
      <c r="DX182" s="74"/>
      <c r="DY182" s="74"/>
      <c r="DZ182" s="74"/>
      <c r="EA182" s="74"/>
      <c r="EB182" s="74"/>
      <c r="EC182" s="74"/>
      <c r="ED182" s="74"/>
      <c r="EE182" s="74"/>
      <c r="EF182" s="74"/>
      <c r="EG182" s="47"/>
      <c r="EH182" s="47"/>
      <c r="EI182" s="47"/>
      <c r="EJ182" s="47"/>
      <c r="EK182" s="47"/>
      <c r="EL182" s="47"/>
      <c r="EM182" s="47"/>
      <c r="EN182" s="47"/>
      <c r="EO182" s="47"/>
      <c r="EP182" s="47"/>
      <c r="EQ182" s="47"/>
      <c r="ER182" s="47"/>
      <c r="ES182" s="47"/>
      <c r="ET182" s="47"/>
      <c r="EU182" s="47"/>
      <c r="EV182" s="47"/>
      <c r="EW182" s="47"/>
    </row>
    <row r="183" spans="1:153">
      <c r="A183" s="35" t="s">
        <v>293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123"/>
      <c r="BL183" s="123"/>
      <c r="BM183" s="123"/>
      <c r="BN183" s="123"/>
      <c r="BO183" s="123"/>
      <c r="BP183" s="123"/>
      <c r="BQ183" s="123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D183" s="124"/>
      <c r="CE183" s="124"/>
      <c r="CF183" s="124"/>
      <c r="CG183" s="124"/>
      <c r="CH183" s="124"/>
      <c r="CI183" s="124"/>
      <c r="CJ183" s="124"/>
      <c r="CK183" s="124"/>
      <c r="CL183" s="124"/>
      <c r="CM183" s="124"/>
      <c r="CN183" s="124"/>
      <c r="CO183" s="124"/>
      <c r="CP183" s="124"/>
      <c r="CQ183" s="124"/>
      <c r="CR183" s="124"/>
      <c r="CS183" s="124"/>
      <c r="CT183" s="124"/>
      <c r="CU183" s="124"/>
      <c r="CV183" s="124"/>
      <c r="CW183" s="124"/>
      <c r="CX183" s="124"/>
      <c r="CY183" s="124"/>
      <c r="CZ183" s="124"/>
      <c r="DA183" s="124"/>
      <c r="DB183" s="124"/>
      <c r="DC183" s="124"/>
      <c r="DD183" s="124"/>
      <c r="DE183" s="124"/>
      <c r="DF183" s="124"/>
      <c r="DG183" s="124"/>
      <c r="DH183" s="124"/>
      <c r="DI183" s="124"/>
      <c r="DJ183" s="124"/>
      <c r="DK183" s="124"/>
      <c r="DL183" s="124"/>
      <c r="DM183" s="124"/>
      <c r="DN183" s="124"/>
      <c r="DO183" s="124"/>
      <c r="DP183" s="124"/>
      <c r="DQ183" s="124"/>
      <c r="DT183" s="123"/>
      <c r="DU183" s="123"/>
      <c r="DV183" s="123"/>
      <c r="DW183" s="123"/>
      <c r="DX183" s="123"/>
      <c r="DY183" s="123"/>
      <c r="DZ183" s="123"/>
      <c r="EA183" s="123"/>
      <c r="EB183" s="123"/>
      <c r="EC183" s="123"/>
      <c r="ED183" s="123"/>
      <c r="EE183" s="123"/>
      <c r="EF183" s="123"/>
      <c r="EG183" s="125"/>
      <c r="EH183" s="125"/>
      <c r="EI183" s="125"/>
      <c r="EJ183" s="125"/>
      <c r="EK183" s="125"/>
      <c r="EL183" s="125"/>
      <c r="EM183" s="125"/>
      <c r="EN183" s="125"/>
      <c r="EO183" s="125"/>
      <c r="EP183" s="125"/>
      <c r="EQ183" s="125"/>
      <c r="ER183" s="125"/>
      <c r="ES183" s="125"/>
      <c r="ET183" s="125"/>
      <c r="EU183" s="125"/>
      <c r="EV183" s="125"/>
      <c r="EW183" s="125"/>
    </row>
    <row r="184" spans="1:153">
      <c r="A184" s="35" t="s">
        <v>294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123"/>
      <c r="BL184" s="123"/>
      <c r="BM184" s="123"/>
      <c r="BN184" s="123"/>
      <c r="BO184" s="123"/>
      <c r="BP184" s="123"/>
      <c r="BQ184" s="123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  <c r="CE184" s="124"/>
      <c r="CF184" s="124"/>
      <c r="CG184" s="124"/>
      <c r="CH184" s="124"/>
      <c r="CI184" s="29"/>
      <c r="CJ184" s="29"/>
      <c r="CK184" s="29"/>
      <c r="CL184" s="29"/>
      <c r="CM184" s="29"/>
      <c r="CN184" s="29">
        <v>0.13</v>
      </c>
      <c r="CO184" s="29"/>
      <c r="CP184" s="29">
        <v>0.13</v>
      </c>
      <c r="CQ184" s="29">
        <v>0.14000000000000001</v>
      </c>
      <c r="CR184" s="29">
        <v>0.12</v>
      </c>
      <c r="CS184" s="29"/>
      <c r="CT184" s="29"/>
      <c r="CU184" s="29"/>
      <c r="CV184" s="29"/>
      <c r="CW184" s="124"/>
      <c r="CX184" s="124"/>
      <c r="CY184" s="124"/>
      <c r="CZ184" s="124"/>
      <c r="DA184" s="124"/>
      <c r="DB184" s="124"/>
      <c r="DC184" s="124"/>
      <c r="DD184" s="124"/>
      <c r="DE184" s="124"/>
      <c r="DF184" s="124"/>
      <c r="DG184" s="124"/>
      <c r="DH184" s="124"/>
      <c r="DI184" s="124"/>
      <c r="DJ184" s="124"/>
      <c r="DK184" s="124"/>
      <c r="DL184" s="124"/>
      <c r="DM184" s="124"/>
      <c r="DN184" s="124"/>
      <c r="DO184" s="124"/>
      <c r="DP184" s="124"/>
      <c r="DQ184" s="124"/>
      <c r="DT184" s="123"/>
      <c r="DU184" s="123"/>
      <c r="DV184" s="123"/>
      <c r="DW184" s="123"/>
      <c r="DX184" s="123"/>
      <c r="DY184" s="123"/>
      <c r="DZ184" s="123"/>
      <c r="EA184" s="123"/>
      <c r="EB184" s="123"/>
      <c r="EC184" s="123"/>
      <c r="ED184" s="123"/>
      <c r="EE184" s="123"/>
      <c r="EF184" s="123"/>
      <c r="EG184" s="125"/>
      <c r="EH184" s="125"/>
      <c r="EI184" s="125"/>
      <c r="EJ184" s="125"/>
      <c r="EK184" s="125"/>
      <c r="EL184" s="125"/>
      <c r="EM184" s="125"/>
      <c r="EN184" s="125"/>
      <c r="EO184" s="125"/>
      <c r="EP184" s="125"/>
      <c r="EQ184" s="29">
        <v>0.12</v>
      </c>
      <c r="ER184" s="125"/>
      <c r="ES184" s="125"/>
      <c r="ET184" s="125"/>
      <c r="EU184" s="125"/>
      <c r="EV184" s="125"/>
      <c r="EW184" s="125"/>
    </row>
    <row r="185" spans="1:153">
      <c r="A185" s="35" t="s">
        <v>295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123"/>
      <c r="BL185" s="123"/>
      <c r="BM185" s="123"/>
      <c r="BN185" s="123"/>
      <c r="BO185" s="123"/>
      <c r="BP185" s="123"/>
      <c r="BQ185" s="123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  <c r="CE185" s="124"/>
      <c r="CF185" s="124"/>
      <c r="CG185" s="124"/>
      <c r="CH185" s="124"/>
      <c r="CI185" s="29"/>
      <c r="CJ185" s="29"/>
      <c r="CK185" s="29"/>
      <c r="CL185" s="29"/>
      <c r="CM185" s="29"/>
      <c r="CN185" s="29">
        <v>0.11</v>
      </c>
      <c r="CO185" s="29"/>
      <c r="CP185" s="29">
        <v>0.11</v>
      </c>
      <c r="CQ185" s="29">
        <v>0.11</v>
      </c>
      <c r="CR185" s="29">
        <v>0.12</v>
      </c>
      <c r="CS185" s="29"/>
      <c r="CT185" s="29"/>
      <c r="CU185" s="29"/>
      <c r="CV185" s="29"/>
      <c r="CW185" s="124"/>
      <c r="CX185" s="124"/>
      <c r="CY185" s="124"/>
      <c r="CZ185" s="124"/>
      <c r="DA185" s="124"/>
      <c r="DB185" s="124"/>
      <c r="DC185" s="124"/>
      <c r="DD185" s="124"/>
      <c r="DE185" s="124"/>
      <c r="DF185" s="124"/>
      <c r="DG185" s="124"/>
      <c r="DH185" s="124"/>
      <c r="DI185" s="124"/>
      <c r="DJ185" s="124"/>
      <c r="DK185" s="124"/>
      <c r="DL185" s="124"/>
      <c r="DM185" s="124"/>
      <c r="DN185" s="124"/>
      <c r="DO185" s="124"/>
      <c r="DP185" s="124"/>
      <c r="DQ185" s="124"/>
      <c r="DT185" s="123"/>
      <c r="DU185" s="123"/>
      <c r="DV185" s="123"/>
      <c r="DW185" s="123"/>
      <c r="DX185" s="123"/>
      <c r="DY185" s="123"/>
      <c r="DZ185" s="123"/>
      <c r="EA185" s="123"/>
      <c r="EB185" s="123"/>
      <c r="EC185" s="123"/>
      <c r="ED185" s="123"/>
      <c r="EE185" s="123"/>
      <c r="EF185" s="123"/>
      <c r="EG185" s="125"/>
      <c r="EH185" s="125"/>
      <c r="EI185" s="125"/>
      <c r="EJ185" s="125"/>
      <c r="EK185" s="125"/>
      <c r="EL185" s="125"/>
      <c r="EM185" s="125"/>
      <c r="EN185" s="125"/>
      <c r="EO185" s="125"/>
      <c r="EP185" s="125"/>
      <c r="EQ185" s="29">
        <v>0.11</v>
      </c>
      <c r="ER185" s="125"/>
      <c r="ES185" s="125"/>
      <c r="ET185" s="125"/>
      <c r="EU185" s="125"/>
      <c r="EV185" s="125"/>
      <c r="EW185" s="125"/>
    </row>
    <row r="186" spans="1:153">
      <c r="A186" s="35" t="s">
        <v>296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123"/>
      <c r="BL186" s="123"/>
      <c r="BM186" s="123"/>
      <c r="BN186" s="123"/>
      <c r="BO186" s="123"/>
      <c r="BP186" s="123"/>
      <c r="BQ186" s="123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  <c r="CE186" s="124"/>
      <c r="CF186" s="124"/>
      <c r="CG186" s="124"/>
      <c r="CH186" s="124"/>
      <c r="CI186" s="29"/>
      <c r="CJ186" s="29"/>
      <c r="CK186" s="29"/>
      <c r="CL186" s="29"/>
      <c r="CM186" s="29"/>
      <c r="CN186" s="29"/>
      <c r="CO186" s="29"/>
      <c r="CP186" s="29"/>
      <c r="CQ186" s="29">
        <v>0.11</v>
      </c>
      <c r="CR186" s="29">
        <v>0.12</v>
      </c>
      <c r="CS186" s="29"/>
      <c r="CT186" s="29"/>
      <c r="CU186" s="29"/>
      <c r="CV186" s="29"/>
      <c r="CW186" s="124"/>
      <c r="CX186" s="124"/>
      <c r="CY186" s="124"/>
      <c r="CZ186" s="124"/>
      <c r="DA186" s="124"/>
      <c r="DB186" s="124"/>
      <c r="DC186" s="124"/>
      <c r="DD186" s="124"/>
      <c r="DE186" s="124"/>
      <c r="DF186" s="124"/>
      <c r="DG186" s="124"/>
      <c r="DH186" s="124"/>
      <c r="DI186" s="124"/>
      <c r="DJ186" s="124"/>
      <c r="DK186" s="124"/>
      <c r="DL186" s="124"/>
      <c r="DM186" s="124"/>
      <c r="DN186" s="124"/>
      <c r="DO186" s="124"/>
      <c r="DP186" s="124"/>
      <c r="DQ186" s="124"/>
      <c r="DT186" s="123"/>
      <c r="DU186" s="123"/>
      <c r="DV186" s="123"/>
      <c r="DW186" s="123"/>
      <c r="DX186" s="123"/>
      <c r="DY186" s="123"/>
      <c r="DZ186" s="123"/>
      <c r="EA186" s="123"/>
      <c r="EB186" s="123"/>
      <c r="EC186" s="123"/>
      <c r="ED186" s="123"/>
      <c r="EE186" s="123"/>
      <c r="EF186" s="123"/>
      <c r="EG186" s="125"/>
      <c r="EH186" s="125"/>
      <c r="EI186" s="125"/>
      <c r="EJ186" s="125"/>
      <c r="EK186" s="125"/>
      <c r="EL186" s="125"/>
      <c r="EM186" s="125"/>
      <c r="EN186" s="125"/>
      <c r="EO186" s="125"/>
      <c r="EP186" s="125"/>
      <c r="EQ186" s="29">
        <v>0.11</v>
      </c>
      <c r="ER186" s="125"/>
      <c r="ES186" s="125"/>
      <c r="ET186" s="125"/>
      <c r="EU186" s="125"/>
      <c r="EV186" s="125"/>
      <c r="EW186" s="125"/>
    </row>
    <row r="187" spans="1:153">
      <c r="A187" s="35" t="s">
        <v>297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123"/>
      <c r="BL187" s="123"/>
      <c r="BM187" s="123"/>
      <c r="BN187" s="123"/>
      <c r="BO187" s="123"/>
      <c r="BP187" s="123"/>
      <c r="BQ187" s="123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  <c r="CE187" s="124"/>
      <c r="CF187" s="124"/>
      <c r="CG187" s="124"/>
      <c r="CH187" s="124"/>
      <c r="CI187" s="29"/>
      <c r="CJ187" s="29"/>
      <c r="CK187" s="29"/>
      <c r="CL187" s="29"/>
      <c r="CM187" s="29"/>
      <c r="CN187" s="29"/>
      <c r="CO187" s="29"/>
      <c r="CP187" s="29"/>
      <c r="CQ187" s="29">
        <v>0.1</v>
      </c>
      <c r="CR187" s="29"/>
      <c r="CS187" s="29"/>
      <c r="CT187" s="29"/>
      <c r="CU187" s="29"/>
      <c r="CV187" s="29"/>
      <c r="CW187" s="124"/>
      <c r="CX187" s="124"/>
      <c r="CY187" s="124"/>
      <c r="CZ187" s="124"/>
      <c r="DA187" s="124"/>
      <c r="DB187" s="124"/>
      <c r="DC187" s="124"/>
      <c r="DD187" s="124"/>
      <c r="DE187" s="124"/>
      <c r="DF187" s="124"/>
      <c r="DG187" s="124"/>
      <c r="DH187" s="124"/>
      <c r="DI187" s="124"/>
      <c r="DJ187" s="124"/>
      <c r="DK187" s="124"/>
      <c r="DL187" s="124"/>
      <c r="DM187" s="124"/>
      <c r="DN187" s="124"/>
      <c r="DO187" s="124"/>
      <c r="DP187" s="124"/>
      <c r="DQ187" s="124"/>
      <c r="DT187" s="123"/>
      <c r="DU187" s="123"/>
      <c r="DV187" s="123"/>
      <c r="DW187" s="123"/>
      <c r="DX187" s="123"/>
      <c r="DY187" s="123"/>
      <c r="DZ187" s="123"/>
      <c r="EA187" s="123"/>
      <c r="EB187" s="123"/>
      <c r="EC187" s="123"/>
      <c r="ED187" s="123"/>
      <c r="EE187" s="123"/>
      <c r="EF187" s="123"/>
      <c r="EG187" s="125"/>
      <c r="EH187" s="125"/>
      <c r="EI187" s="125"/>
      <c r="EJ187" s="125"/>
      <c r="EK187" s="125"/>
      <c r="EL187" s="125"/>
      <c r="EM187" s="125"/>
      <c r="EN187" s="125"/>
      <c r="EO187" s="125"/>
      <c r="EP187" s="125"/>
      <c r="EQ187" s="125"/>
      <c r="ER187" s="125"/>
      <c r="ES187" s="125"/>
      <c r="ET187" s="125"/>
      <c r="EU187" s="125"/>
      <c r="EV187" s="125"/>
      <c r="EW187" s="125"/>
    </row>
    <row r="188" spans="1:153">
      <c r="A188" s="35" t="s">
        <v>298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123"/>
      <c r="BL188" s="123"/>
      <c r="BM188" s="123"/>
      <c r="BN188" s="123"/>
      <c r="BO188" s="123"/>
      <c r="BP188" s="123"/>
      <c r="BQ188" s="123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  <c r="CE188" s="124"/>
      <c r="CF188" s="124"/>
      <c r="CG188" s="124"/>
      <c r="CH188" s="124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124"/>
      <c r="CX188" s="124"/>
      <c r="CY188" s="124"/>
      <c r="CZ188" s="124"/>
      <c r="DA188" s="124"/>
      <c r="DB188" s="124"/>
      <c r="DC188" s="124"/>
      <c r="DD188" s="124"/>
      <c r="DE188" s="124"/>
      <c r="DF188" s="124"/>
      <c r="DG188" s="124"/>
      <c r="DH188" s="124"/>
      <c r="DI188" s="124"/>
      <c r="DJ188" s="124"/>
      <c r="DK188" s="124"/>
      <c r="DL188" s="124"/>
      <c r="DM188" s="124"/>
      <c r="DN188" s="124"/>
      <c r="DO188" s="124"/>
      <c r="DP188" s="124"/>
      <c r="DQ188" s="124"/>
      <c r="DT188" s="123"/>
      <c r="DU188" s="123"/>
      <c r="DV188" s="123"/>
      <c r="DW188" s="123"/>
      <c r="DX188" s="123"/>
      <c r="DY188" s="123"/>
      <c r="DZ188" s="123"/>
      <c r="EA188" s="123"/>
      <c r="EB188" s="123"/>
      <c r="EC188" s="123"/>
      <c r="ED188" s="123"/>
      <c r="EE188" s="123"/>
      <c r="EF188" s="123"/>
      <c r="EG188" s="125"/>
      <c r="EH188" s="125"/>
      <c r="EI188" s="125"/>
      <c r="EJ188" s="125"/>
      <c r="EK188" s="125"/>
      <c r="EL188" s="125"/>
      <c r="EM188" s="125"/>
      <c r="EN188" s="125"/>
      <c r="EO188" s="125"/>
      <c r="EP188" s="125"/>
      <c r="EQ188" s="125"/>
      <c r="ER188" s="125"/>
      <c r="ES188" s="125"/>
      <c r="ET188" s="125"/>
      <c r="EU188" s="125"/>
      <c r="EV188" s="125"/>
      <c r="EW188" s="125"/>
    </row>
    <row r="189" spans="1:153">
      <c r="A189" s="35"/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123"/>
      <c r="BL189" s="123"/>
      <c r="BM189" s="123"/>
      <c r="BN189" s="123"/>
      <c r="BO189" s="123"/>
      <c r="BP189" s="123"/>
      <c r="BQ189" s="123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  <c r="CE189" s="124"/>
      <c r="CF189" s="124"/>
      <c r="CG189" s="124"/>
      <c r="CH189" s="124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124"/>
      <c r="CX189" s="124"/>
      <c r="CY189" s="124"/>
      <c r="CZ189" s="124"/>
      <c r="DA189" s="124"/>
      <c r="DB189" s="124"/>
      <c r="DC189" s="124"/>
      <c r="DD189" s="124"/>
      <c r="DE189" s="124"/>
      <c r="DF189" s="124"/>
      <c r="DG189" s="124"/>
      <c r="DH189" s="124"/>
      <c r="DI189" s="124"/>
      <c r="DJ189" s="124"/>
      <c r="DK189" s="124"/>
      <c r="DL189" s="124"/>
      <c r="DM189" s="124"/>
      <c r="DN189" s="124"/>
      <c r="DO189" s="124"/>
      <c r="DP189" s="124"/>
      <c r="DQ189" s="124"/>
      <c r="DT189" s="123"/>
      <c r="DU189" s="123"/>
      <c r="DV189" s="123"/>
      <c r="DW189" s="123"/>
      <c r="DX189" s="123"/>
      <c r="DY189" s="123"/>
      <c r="DZ189" s="123"/>
      <c r="EA189" s="123"/>
      <c r="EB189" s="123"/>
      <c r="EC189" s="123"/>
      <c r="ED189" s="123"/>
      <c r="EE189" s="123"/>
      <c r="EF189" s="123"/>
      <c r="EG189" s="125"/>
      <c r="EH189" s="125"/>
      <c r="EI189" s="125"/>
      <c r="EJ189" s="125"/>
      <c r="EK189" s="125"/>
      <c r="EL189" s="125"/>
      <c r="EM189" s="125"/>
      <c r="EN189" s="125"/>
      <c r="EO189" s="125"/>
      <c r="EP189" s="125"/>
      <c r="EQ189" s="125"/>
      <c r="ER189" s="125"/>
      <c r="ES189" s="125"/>
      <c r="ET189" s="125"/>
      <c r="EU189" s="125"/>
      <c r="EV189" s="125"/>
      <c r="EW189" s="125"/>
    </row>
    <row r="190" spans="1:153">
      <c r="A190" s="35" t="s">
        <v>299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123"/>
      <c r="BL190" s="123"/>
      <c r="BM190" s="123"/>
      <c r="BN190" s="123"/>
      <c r="BO190" s="123"/>
      <c r="BP190" s="123"/>
      <c r="BQ190" s="123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  <c r="CB190" s="124"/>
      <c r="CC190" s="124"/>
      <c r="CD190" s="124"/>
      <c r="CE190" s="124"/>
      <c r="CF190" s="124"/>
      <c r="CG190" s="124"/>
      <c r="CH190" s="124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124"/>
      <c r="CX190" s="124"/>
      <c r="CY190" s="124"/>
      <c r="CZ190" s="124"/>
      <c r="DA190" s="124"/>
      <c r="DB190" s="124"/>
      <c r="DC190" s="124"/>
      <c r="DD190" s="124"/>
      <c r="DE190" s="124"/>
      <c r="DF190" s="124"/>
      <c r="DG190" s="124"/>
      <c r="DH190" s="124"/>
      <c r="DI190" s="124"/>
      <c r="DJ190" s="124"/>
      <c r="DK190" s="124"/>
      <c r="DL190" s="124"/>
      <c r="DM190" s="124"/>
      <c r="DN190" s="124"/>
      <c r="DO190" s="124"/>
      <c r="DP190" s="124"/>
      <c r="DQ190" s="124"/>
      <c r="DT190" s="123"/>
      <c r="DU190" s="123"/>
      <c r="DV190" s="123"/>
      <c r="DW190" s="123"/>
      <c r="DX190" s="123"/>
      <c r="DY190" s="123"/>
      <c r="DZ190" s="123"/>
      <c r="EA190" s="123"/>
      <c r="EB190" s="123"/>
      <c r="EC190" s="123"/>
      <c r="ED190" s="123"/>
      <c r="EE190" s="123"/>
      <c r="EF190" s="123"/>
      <c r="EG190" s="125"/>
      <c r="EH190" s="125"/>
      <c r="EI190" s="125"/>
      <c r="EJ190" s="125"/>
      <c r="EK190" s="125"/>
      <c r="EL190" s="125"/>
      <c r="EM190" s="125"/>
      <c r="EN190" s="125"/>
      <c r="EO190" s="125"/>
      <c r="EP190" s="125"/>
      <c r="EQ190" s="125"/>
      <c r="ER190" s="125"/>
      <c r="ES190" s="125"/>
      <c r="ET190" s="125"/>
      <c r="EU190" s="125"/>
      <c r="EV190" s="125"/>
      <c r="EW190" s="125"/>
    </row>
    <row r="191" spans="1:153">
      <c r="A191" s="35" t="s">
        <v>300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123"/>
      <c r="BL191" s="123"/>
      <c r="BM191" s="123"/>
      <c r="BN191" s="123"/>
      <c r="BO191" s="123"/>
      <c r="BP191" s="123"/>
      <c r="BQ191" s="123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  <c r="CB191" s="124"/>
      <c r="CC191" s="124"/>
      <c r="CD191" s="124"/>
      <c r="CE191" s="124"/>
      <c r="CF191" s="124"/>
      <c r="CG191" s="124"/>
      <c r="CH191" s="124"/>
      <c r="CI191" s="29"/>
      <c r="CJ191" s="29"/>
      <c r="CK191" s="29"/>
      <c r="CL191" s="29"/>
      <c r="CM191" s="29"/>
      <c r="CN191" s="29">
        <v>0.15</v>
      </c>
      <c r="CO191" s="29"/>
      <c r="CP191" s="29"/>
      <c r="CQ191" s="29"/>
      <c r="CR191" s="29"/>
      <c r="CS191" s="29"/>
      <c r="CT191" s="29"/>
      <c r="CU191" s="29"/>
      <c r="CV191" s="29"/>
      <c r="CW191" s="124"/>
      <c r="CX191" s="124"/>
      <c r="CY191" s="124"/>
      <c r="CZ191" s="124"/>
      <c r="DA191" s="124"/>
      <c r="DB191" s="124"/>
      <c r="DC191" s="124"/>
      <c r="DD191" s="124"/>
      <c r="DE191" s="124"/>
      <c r="DF191" s="124"/>
      <c r="DG191" s="124"/>
      <c r="DH191" s="124"/>
      <c r="DI191" s="124"/>
      <c r="DJ191" s="124"/>
      <c r="DK191" s="124"/>
      <c r="DL191" s="124"/>
      <c r="DM191" s="124"/>
      <c r="DN191" s="124"/>
      <c r="DO191" s="124"/>
      <c r="DP191" s="124"/>
      <c r="DQ191" s="124"/>
      <c r="DT191" s="123"/>
      <c r="DU191" s="123"/>
      <c r="DV191" s="123"/>
      <c r="DW191" s="123"/>
      <c r="DX191" s="123"/>
      <c r="DY191" s="123"/>
      <c r="DZ191" s="123"/>
      <c r="EA191" s="123"/>
      <c r="EB191" s="123"/>
      <c r="EC191" s="123"/>
      <c r="ED191" s="123"/>
      <c r="EE191" s="123"/>
      <c r="EF191" s="123"/>
      <c r="EG191" s="125"/>
      <c r="EH191" s="125"/>
      <c r="EI191" s="125"/>
      <c r="EJ191" s="125"/>
      <c r="EK191" s="125"/>
      <c r="EL191" s="125"/>
      <c r="EM191" s="125"/>
      <c r="EN191" s="125"/>
      <c r="EO191" s="125"/>
      <c r="EP191" s="125"/>
      <c r="EQ191" s="125"/>
      <c r="ER191" s="125"/>
      <c r="ES191" s="125"/>
      <c r="ET191" s="125"/>
      <c r="EU191" s="125"/>
      <c r="EV191" s="125"/>
      <c r="EW191" s="125"/>
    </row>
    <row r="192" spans="1:153">
      <c r="A192" s="35" t="s">
        <v>301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123"/>
      <c r="BL192" s="123"/>
      <c r="BM192" s="123"/>
      <c r="BN192" s="123"/>
      <c r="BO192" s="123"/>
      <c r="BP192" s="123"/>
      <c r="BQ192" s="123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  <c r="CE192" s="124"/>
      <c r="CF192" s="124"/>
      <c r="CG192" s="124"/>
      <c r="CH192" s="124"/>
      <c r="CI192" s="29"/>
      <c r="CJ192" s="29"/>
      <c r="CK192" s="29"/>
      <c r="CL192" s="29"/>
      <c r="CM192" s="29"/>
      <c r="CN192" s="29">
        <v>0.13</v>
      </c>
      <c r="CO192" s="29"/>
      <c r="CP192" s="29"/>
      <c r="CQ192" s="29"/>
      <c r="CR192" s="29"/>
      <c r="CS192" s="29"/>
      <c r="CT192" s="29"/>
      <c r="CU192" s="29"/>
      <c r="CV192" s="29"/>
      <c r="CW192" s="124"/>
      <c r="CX192" s="124"/>
      <c r="CY192" s="124"/>
      <c r="CZ192" s="124"/>
      <c r="DA192" s="124"/>
      <c r="DB192" s="124"/>
      <c r="DC192" s="124"/>
      <c r="DD192" s="124"/>
      <c r="DE192" s="124"/>
      <c r="DF192" s="124"/>
      <c r="DG192" s="124"/>
      <c r="DH192" s="124"/>
      <c r="DI192" s="124"/>
      <c r="DJ192" s="124"/>
      <c r="DK192" s="124"/>
      <c r="DL192" s="124"/>
      <c r="DM192" s="124"/>
      <c r="DN192" s="124"/>
      <c r="DO192" s="124"/>
      <c r="DP192" s="124"/>
      <c r="DQ192" s="124"/>
      <c r="DT192" s="123"/>
      <c r="DU192" s="123"/>
      <c r="DV192" s="123"/>
      <c r="DW192" s="123"/>
      <c r="DX192" s="123"/>
      <c r="DY192" s="123"/>
      <c r="DZ192" s="123"/>
      <c r="EA192" s="123"/>
      <c r="EB192" s="123"/>
      <c r="EC192" s="123"/>
      <c r="ED192" s="123"/>
      <c r="EE192" s="123"/>
      <c r="EF192" s="123"/>
      <c r="EG192" s="125"/>
      <c r="EH192" s="125"/>
      <c r="EI192" s="125"/>
      <c r="EJ192" s="125"/>
      <c r="EK192" s="125"/>
      <c r="EL192" s="125"/>
      <c r="EM192" s="125"/>
      <c r="EN192" s="125"/>
      <c r="EO192" s="125"/>
      <c r="EP192" s="125"/>
      <c r="EQ192" s="125"/>
      <c r="ER192" s="125"/>
      <c r="ES192" s="125"/>
      <c r="ET192" s="125"/>
      <c r="EU192" s="125"/>
      <c r="EV192" s="125"/>
      <c r="EW192" s="125"/>
    </row>
    <row r="193" spans="1:153">
      <c r="A193" s="35"/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123"/>
      <c r="BL193" s="123"/>
      <c r="BM193" s="123"/>
      <c r="BN193" s="123"/>
      <c r="BO193" s="123"/>
      <c r="BP193" s="123"/>
      <c r="BQ193" s="123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  <c r="CB193" s="124"/>
      <c r="CC193" s="124"/>
      <c r="CD193" s="124"/>
      <c r="CE193" s="124"/>
      <c r="CF193" s="124"/>
      <c r="CG193" s="124"/>
      <c r="CH193" s="124"/>
      <c r="CI193" s="124"/>
      <c r="CJ193" s="124"/>
      <c r="CK193" s="124"/>
      <c r="CL193" s="124"/>
      <c r="CM193" s="124"/>
      <c r="CN193" s="124"/>
      <c r="CO193" s="124"/>
      <c r="CP193" s="124"/>
      <c r="CQ193" s="124"/>
      <c r="CR193" s="124"/>
      <c r="CS193" s="124"/>
      <c r="CT193" s="124"/>
      <c r="CU193" s="124"/>
      <c r="CV193" s="124"/>
      <c r="CW193" s="124"/>
      <c r="CX193" s="124"/>
      <c r="CY193" s="124"/>
      <c r="CZ193" s="124"/>
      <c r="DA193" s="124"/>
      <c r="DB193" s="124"/>
      <c r="DC193" s="124"/>
      <c r="DD193" s="124"/>
      <c r="DE193" s="124"/>
      <c r="DF193" s="124"/>
      <c r="DG193" s="124"/>
      <c r="DH193" s="124"/>
      <c r="DI193" s="124"/>
      <c r="DJ193" s="124"/>
      <c r="DK193" s="124"/>
      <c r="DL193" s="124"/>
      <c r="DM193" s="124"/>
      <c r="DN193" s="124"/>
      <c r="DO193" s="124"/>
      <c r="DP193" s="124"/>
      <c r="DQ193" s="124"/>
      <c r="DT193" s="123"/>
      <c r="DU193" s="123"/>
      <c r="DV193" s="123"/>
      <c r="DW193" s="123"/>
      <c r="DX193" s="123"/>
      <c r="DY193" s="123"/>
      <c r="DZ193" s="123"/>
      <c r="EA193" s="123"/>
      <c r="EB193" s="123"/>
      <c r="EC193" s="123"/>
      <c r="ED193" s="123"/>
      <c r="EE193" s="123"/>
      <c r="EF193" s="123"/>
      <c r="EG193" s="125"/>
      <c r="EH193" s="125"/>
      <c r="EI193" s="125"/>
      <c r="EJ193" s="125"/>
      <c r="EK193" s="125"/>
      <c r="EL193" s="125"/>
      <c r="EM193" s="125"/>
      <c r="EN193" s="125"/>
      <c r="EO193" s="125"/>
      <c r="EP193" s="125"/>
      <c r="EQ193" s="125"/>
      <c r="ER193" s="125"/>
      <c r="ES193" s="125"/>
      <c r="ET193" s="125"/>
      <c r="EU193" s="125"/>
      <c r="EV193" s="125"/>
      <c r="EW193" s="125"/>
    </row>
    <row r="194" spans="1:153">
      <c r="A194" s="35" t="s">
        <v>302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123"/>
      <c r="BL194" s="123"/>
      <c r="BM194" s="123"/>
      <c r="BN194" s="123"/>
      <c r="BO194" s="123"/>
      <c r="BP194" s="123"/>
      <c r="BQ194" s="123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  <c r="CE194" s="124"/>
      <c r="CF194" s="124"/>
      <c r="CG194" s="124"/>
      <c r="CH194" s="124"/>
      <c r="CI194" s="124"/>
      <c r="CJ194" s="124"/>
      <c r="CK194" s="124"/>
      <c r="CL194" s="124"/>
      <c r="CM194" s="124"/>
      <c r="CN194" s="26">
        <v>2</v>
      </c>
      <c r="CO194" s="124"/>
      <c r="CP194" s="26">
        <v>2</v>
      </c>
      <c r="CQ194" s="26">
        <v>2</v>
      </c>
      <c r="CR194" s="26"/>
      <c r="CS194" s="26"/>
      <c r="CT194" s="26"/>
      <c r="CU194" s="26"/>
      <c r="CV194" s="26"/>
      <c r="CW194" s="124"/>
      <c r="CX194" s="124"/>
      <c r="CY194" s="124"/>
      <c r="CZ194" s="124"/>
      <c r="DA194" s="124"/>
      <c r="DB194" s="124"/>
      <c r="DC194" s="124"/>
      <c r="DD194" s="124"/>
      <c r="DE194" s="124"/>
      <c r="DF194" s="124"/>
      <c r="DG194" s="124"/>
      <c r="DH194" s="124"/>
      <c r="DI194" s="124"/>
      <c r="DJ194" s="124"/>
      <c r="DK194" s="124"/>
      <c r="DL194" s="124"/>
      <c r="DM194" s="124"/>
      <c r="DN194" s="124"/>
      <c r="DO194" s="124"/>
      <c r="DP194" s="124"/>
      <c r="DQ194" s="124"/>
      <c r="DT194" s="123"/>
      <c r="DU194" s="123"/>
      <c r="DV194" s="123"/>
      <c r="DW194" s="123"/>
      <c r="DX194" s="123"/>
      <c r="DY194" s="123"/>
      <c r="DZ194" s="123"/>
      <c r="EA194" s="123"/>
      <c r="EB194" s="123"/>
      <c r="EC194" s="123"/>
      <c r="ED194" s="123"/>
      <c r="EE194" s="123"/>
      <c r="EF194" s="123"/>
      <c r="EG194" s="125"/>
      <c r="EH194" s="125"/>
      <c r="EI194" s="125"/>
      <c r="EJ194" s="125"/>
      <c r="EK194" s="125"/>
      <c r="EL194" s="125"/>
      <c r="EM194" s="125"/>
      <c r="EN194" s="125"/>
      <c r="EO194" s="125"/>
      <c r="EP194" s="125"/>
      <c r="EQ194" s="125"/>
      <c r="ER194" s="125"/>
      <c r="ES194" s="125"/>
      <c r="ET194" s="125"/>
      <c r="EU194" s="125"/>
      <c r="EV194" s="125"/>
      <c r="EW194" s="125"/>
    </row>
    <row r="195" spans="1:153">
      <c r="A195" s="123"/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123"/>
      <c r="BL195" s="123"/>
      <c r="BM195" s="123"/>
      <c r="BN195" s="123"/>
      <c r="BO195" s="123"/>
      <c r="BP195" s="123"/>
      <c r="BQ195" s="123"/>
      <c r="BR195" s="124"/>
      <c r="BS195" s="124"/>
      <c r="BT195" s="124"/>
      <c r="BU195" s="124"/>
      <c r="BV195" s="124"/>
      <c r="BW195" s="124"/>
      <c r="BX195" s="124"/>
      <c r="BY195" s="124"/>
      <c r="BZ195" s="124"/>
      <c r="CA195" s="124"/>
      <c r="CB195" s="124"/>
      <c r="CC195" s="124"/>
      <c r="CD195" s="124"/>
      <c r="CE195" s="124"/>
      <c r="CF195" s="124"/>
      <c r="CG195" s="124"/>
      <c r="CH195" s="124"/>
      <c r="CI195" s="124"/>
      <c r="CJ195" s="124"/>
      <c r="CK195" s="124"/>
      <c r="CL195" s="124"/>
      <c r="CM195" s="124"/>
      <c r="CN195" s="124"/>
      <c r="CO195" s="124"/>
      <c r="CP195" s="124"/>
      <c r="CQ195" s="124"/>
      <c r="CR195" s="124"/>
      <c r="CS195" s="124"/>
      <c r="CT195" s="124"/>
      <c r="CU195" s="124"/>
      <c r="CV195" s="124"/>
      <c r="CW195" s="124"/>
      <c r="CX195" s="124"/>
      <c r="CY195" s="124"/>
      <c r="CZ195" s="124"/>
      <c r="DA195" s="124"/>
      <c r="DB195" s="124"/>
      <c r="DC195" s="124"/>
      <c r="DD195" s="124"/>
      <c r="DE195" s="124"/>
      <c r="DF195" s="124"/>
      <c r="DG195" s="124"/>
      <c r="DH195" s="124"/>
      <c r="DI195" s="124"/>
      <c r="DJ195" s="124"/>
      <c r="DK195" s="124"/>
      <c r="DL195" s="124"/>
      <c r="DM195" s="124"/>
      <c r="DN195" s="124"/>
      <c r="DO195" s="124"/>
      <c r="DP195" s="124"/>
      <c r="DQ195" s="124"/>
      <c r="DT195" s="123"/>
      <c r="DU195" s="123"/>
      <c r="DV195" s="123"/>
      <c r="DW195" s="123"/>
      <c r="DX195" s="123"/>
      <c r="DY195" s="123"/>
      <c r="DZ195" s="123"/>
      <c r="EA195" s="123"/>
      <c r="EB195" s="123"/>
      <c r="EC195" s="123"/>
      <c r="ED195" s="123"/>
      <c r="EE195" s="123"/>
      <c r="EF195" s="123"/>
      <c r="EG195" s="125"/>
      <c r="EH195" s="125"/>
      <c r="EI195" s="125"/>
      <c r="EJ195" s="125"/>
      <c r="EK195" s="125"/>
      <c r="EL195" s="125"/>
      <c r="EM195" s="125"/>
      <c r="EN195" s="125"/>
      <c r="EO195" s="125"/>
      <c r="EP195" s="125"/>
      <c r="EQ195" s="125"/>
      <c r="ER195" s="125"/>
      <c r="ES195" s="125"/>
      <c r="ET195" s="125"/>
      <c r="EU195" s="125"/>
      <c r="EV195" s="125"/>
      <c r="EW195" s="125"/>
    </row>
    <row r="196" spans="1:153" s="35" customFormat="1">
      <c r="A196" s="35" t="s">
        <v>303</v>
      </c>
      <c r="CL196" s="35">
        <f>(CL5+CM5)*0.19-CM196</f>
        <v>961.27</v>
      </c>
      <c r="CM196" s="35">
        <f>CM199*CM5</f>
        <v>2971.54</v>
      </c>
      <c r="EH196" s="72"/>
      <c r="EI196" s="72"/>
      <c r="EJ196" s="73"/>
      <c r="EK196" s="73"/>
      <c r="EL196" s="73"/>
      <c r="EM196" s="73"/>
      <c r="EN196" s="73"/>
      <c r="EO196" s="73"/>
      <c r="EP196" s="73"/>
      <c r="EQ196" s="73"/>
      <c r="ER196" s="73"/>
      <c r="ES196" s="73"/>
      <c r="ET196" s="73"/>
      <c r="EU196" s="73"/>
      <c r="EV196" s="73"/>
      <c r="EW196" s="73"/>
    </row>
    <row r="197" spans="1:153" s="52" customFormat="1">
      <c r="A197" s="51" t="s">
        <v>223</v>
      </c>
      <c r="CM197" s="52">
        <f>CM196/CL196-1</f>
        <v>2.0912646810989628</v>
      </c>
      <c r="EC197" s="79"/>
      <c r="ED197" s="79"/>
      <c r="EE197" s="79"/>
      <c r="EG197" s="79"/>
      <c r="EH197" s="126"/>
      <c r="EI197" s="126"/>
      <c r="EJ197" s="127"/>
      <c r="EK197" s="127"/>
      <c r="EL197" s="127"/>
      <c r="EM197" s="127"/>
      <c r="EN197" s="127"/>
      <c r="EO197" s="127"/>
      <c r="EP197" s="127"/>
      <c r="EQ197" s="127"/>
      <c r="ER197" s="127"/>
      <c r="ES197" s="127"/>
      <c r="ET197" s="127"/>
      <c r="EU197" s="127"/>
      <c r="EV197" s="127"/>
      <c r="EW197" s="127"/>
    </row>
    <row r="198" spans="1:153" s="52" customFormat="1">
      <c r="A198" s="51" t="s">
        <v>225</v>
      </c>
      <c r="EC198" s="79"/>
      <c r="ED198" s="79"/>
      <c r="EE198" s="79"/>
      <c r="EG198" s="79"/>
      <c r="EH198" s="126"/>
      <c r="EI198" s="126"/>
      <c r="EJ198" s="127"/>
      <c r="EK198" s="127"/>
      <c r="EL198" s="127"/>
      <c r="EM198" s="127"/>
      <c r="EN198" s="127"/>
      <c r="EO198" s="127"/>
      <c r="EP198" s="127"/>
      <c r="EQ198" s="127"/>
      <c r="ER198" s="127"/>
      <c r="ES198" s="127"/>
      <c r="ET198" s="127"/>
      <c r="EU198" s="127"/>
      <c r="EV198" s="127"/>
      <c r="EW198" s="127"/>
    </row>
    <row r="199" spans="1:153" s="52" customFormat="1">
      <c r="A199" s="51" t="s">
        <v>270</v>
      </c>
      <c r="CL199" s="52">
        <f>CL196/CL5</f>
        <v>0.13365823136818686</v>
      </c>
      <c r="CM199" s="52">
        <v>0.22</v>
      </c>
      <c r="EC199" s="79"/>
      <c r="ED199" s="79"/>
      <c r="EE199" s="79"/>
      <c r="EG199" s="79"/>
      <c r="EH199" s="126"/>
      <c r="EI199" s="126"/>
      <c r="EJ199" s="127"/>
      <c r="EK199" s="127"/>
      <c r="EL199" s="127"/>
      <c r="EM199" s="127"/>
      <c r="EN199" s="127"/>
      <c r="EO199" s="127"/>
      <c r="EP199" s="127"/>
      <c r="EQ199" s="127"/>
      <c r="ER199" s="127"/>
      <c r="ES199" s="127"/>
      <c r="ET199" s="127"/>
      <c r="EU199" s="127"/>
      <c r="EV199" s="127"/>
      <c r="EW199" s="127"/>
    </row>
    <row r="200" spans="1:153">
      <c r="A200" s="74" t="s">
        <v>304</v>
      </c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4"/>
      <c r="AP200" s="74"/>
      <c r="AQ200" s="74"/>
      <c r="AR200" s="74"/>
      <c r="AS200" s="74"/>
      <c r="AT200" s="74"/>
      <c r="AU200" s="74"/>
      <c r="AV200" s="74"/>
      <c r="AW200" s="74"/>
      <c r="AX200" s="74"/>
      <c r="AY200" s="74"/>
      <c r="AZ200" s="74"/>
      <c r="BA200" s="74"/>
      <c r="BB200" s="74"/>
      <c r="BC200" s="74"/>
      <c r="BD200" s="74"/>
      <c r="BE200" s="74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5"/>
      <c r="BS200" s="75"/>
      <c r="BT200" s="75"/>
      <c r="BU200" s="75"/>
      <c r="BV200" s="75"/>
      <c r="BW200" s="75"/>
      <c r="BX200" s="75"/>
      <c r="BY200" s="75"/>
      <c r="BZ200" s="75"/>
      <c r="CA200" s="75"/>
      <c r="CB200" s="75"/>
      <c r="CC200" s="75"/>
      <c r="CD200" s="75"/>
      <c r="CE200" s="75"/>
      <c r="CF200" s="75"/>
      <c r="CG200" s="75"/>
      <c r="CH200" s="75"/>
      <c r="CI200" s="75"/>
      <c r="CJ200" s="75"/>
      <c r="CK200" s="75"/>
      <c r="CL200" s="75"/>
      <c r="CM200" s="75"/>
      <c r="CN200" s="75"/>
      <c r="CO200" s="75"/>
      <c r="CP200" s="75"/>
      <c r="CQ200" s="75"/>
      <c r="CR200" s="75"/>
      <c r="CS200" s="75"/>
      <c r="CT200" s="75"/>
      <c r="CU200" s="75"/>
      <c r="CV200" s="75"/>
      <c r="CW200" s="75"/>
      <c r="CX200" s="75"/>
      <c r="CY200" s="75"/>
      <c r="CZ200" s="75"/>
      <c r="DA200" s="75"/>
      <c r="DB200" s="75"/>
      <c r="DC200" s="75"/>
      <c r="DD200" s="75"/>
      <c r="DE200" s="75"/>
      <c r="DF200" s="75"/>
      <c r="DG200" s="75"/>
      <c r="DH200" s="75"/>
      <c r="DI200" s="75"/>
      <c r="DJ200" s="75"/>
      <c r="DK200" s="75"/>
      <c r="DL200" s="75"/>
      <c r="DM200" s="75"/>
      <c r="DN200" s="75"/>
      <c r="DO200" s="75"/>
      <c r="DP200" s="75"/>
      <c r="DQ200" s="75"/>
      <c r="DT200" s="74"/>
      <c r="DU200" s="74"/>
      <c r="DV200" s="74"/>
      <c r="DW200" s="74"/>
      <c r="DX200" s="74"/>
      <c r="DY200" s="74"/>
      <c r="DZ200" s="74"/>
      <c r="EA200" s="74"/>
      <c r="EB200" s="74"/>
      <c r="EC200" s="74"/>
      <c r="ED200" s="74"/>
      <c r="EE200" s="74"/>
      <c r="EF200" s="74"/>
      <c r="EG200" s="47"/>
      <c r="EH200" s="47"/>
      <c r="EI200" s="47"/>
      <c r="EJ200" s="47"/>
      <c r="EK200" s="47"/>
      <c r="EL200" s="47"/>
      <c r="EM200" s="47"/>
      <c r="EN200" s="47"/>
      <c r="EO200" s="47"/>
      <c r="EP200" s="47"/>
      <c r="EQ200" s="47"/>
      <c r="ER200" s="47"/>
      <c r="ES200" s="47"/>
      <c r="ET200" s="47"/>
      <c r="EU200" s="47"/>
      <c r="EV200" s="47"/>
      <c r="EW200" s="47"/>
    </row>
    <row r="201" spans="1:153" s="52" customFormat="1">
      <c r="A201" s="35" t="s">
        <v>305</v>
      </c>
      <c r="EC201" s="79"/>
      <c r="ED201" s="79"/>
      <c r="EE201" s="79"/>
      <c r="EG201" s="79"/>
      <c r="EH201" s="126"/>
      <c r="EI201" s="126"/>
      <c r="EJ201" s="127"/>
      <c r="EK201" s="127"/>
      <c r="EL201" s="127"/>
      <c r="EM201" s="127"/>
      <c r="EN201" s="127"/>
      <c r="EO201" s="127"/>
      <c r="EP201" s="127"/>
      <c r="EQ201" s="127"/>
      <c r="ER201" s="127"/>
      <c r="ES201" s="127"/>
      <c r="ET201" s="127"/>
      <c r="EU201" s="127"/>
      <c r="EV201" s="127"/>
      <c r="EW201" s="127"/>
    </row>
    <row r="202" spans="1:153" s="52" customFormat="1">
      <c r="A202" s="128">
        <v>2024</v>
      </c>
      <c r="CL202" s="49">
        <v>6667</v>
      </c>
      <c r="CM202" s="49">
        <v>8439</v>
      </c>
      <c r="CN202" s="49">
        <v>6499</v>
      </c>
      <c r="CO202" s="49"/>
      <c r="CP202" s="49"/>
      <c r="CQ202" s="49"/>
      <c r="CR202" s="49"/>
      <c r="CS202" s="49"/>
      <c r="CT202" s="49"/>
      <c r="CU202" s="49"/>
      <c r="CV202" s="49"/>
      <c r="EC202" s="79"/>
      <c r="ED202" s="79"/>
      <c r="EE202" s="79"/>
      <c r="EG202" s="79"/>
      <c r="EH202" s="126"/>
      <c r="EI202" s="126"/>
      <c r="EJ202" s="127"/>
      <c r="EK202" s="127"/>
      <c r="EL202" s="127"/>
      <c r="EM202" s="127"/>
      <c r="EN202" s="127"/>
      <c r="EO202" s="127"/>
      <c r="EP202" s="127"/>
      <c r="EQ202" s="127"/>
      <c r="ER202" s="127"/>
      <c r="ES202" s="127"/>
      <c r="ET202" s="127"/>
      <c r="EU202" s="127"/>
      <c r="EV202" s="127"/>
      <c r="EW202" s="127"/>
    </row>
    <row r="203" spans="1:153" s="52" customFormat="1">
      <c r="A203" s="128">
        <v>2025</v>
      </c>
      <c r="CL203" s="49">
        <v>1816</v>
      </c>
      <c r="CM203" s="49">
        <v>3960</v>
      </c>
      <c r="CN203" s="49">
        <v>11861</v>
      </c>
      <c r="CO203" s="49">
        <v>17316</v>
      </c>
      <c r="CP203" s="49">
        <v>19306</v>
      </c>
      <c r="CQ203" s="49">
        <v>21934</v>
      </c>
      <c r="CR203" s="49">
        <v>14178</v>
      </c>
      <c r="CS203" s="49"/>
      <c r="CT203" s="49"/>
      <c r="CU203" s="49"/>
      <c r="CV203" s="49"/>
      <c r="EC203" s="79"/>
      <c r="ED203" s="79"/>
      <c r="EE203" s="79"/>
      <c r="EG203" s="79"/>
      <c r="EH203" s="126"/>
      <c r="EI203" s="126"/>
      <c r="EJ203" s="127"/>
      <c r="EK203" s="127"/>
      <c r="EL203" s="127"/>
      <c r="EM203" s="127"/>
      <c r="EN203" s="127"/>
      <c r="EO203" s="127"/>
      <c r="EP203" s="127"/>
      <c r="EQ203" s="127"/>
      <c r="ER203" s="127"/>
      <c r="ES203" s="127"/>
      <c r="ET203" s="127"/>
      <c r="EU203" s="127"/>
      <c r="EV203" s="127"/>
      <c r="EW203" s="127"/>
    </row>
    <row r="204" spans="1:153" s="52" customFormat="1">
      <c r="A204" s="128">
        <v>2026</v>
      </c>
      <c r="CL204" s="49">
        <v>753</v>
      </c>
      <c r="CM204" s="49">
        <v>957</v>
      </c>
      <c r="CN204" s="49">
        <v>1128</v>
      </c>
      <c r="CO204" s="49">
        <v>1143</v>
      </c>
      <c r="CP204" s="49">
        <v>3438</v>
      </c>
      <c r="CQ204" s="49">
        <v>10671</v>
      </c>
      <c r="CR204" s="49">
        <v>18895</v>
      </c>
      <c r="CS204" s="49">
        <v>35727</v>
      </c>
      <c r="CT204" s="49">
        <v>31445</v>
      </c>
      <c r="CU204" s="49">
        <v>30930</v>
      </c>
      <c r="CV204" s="49"/>
      <c r="EC204" s="79"/>
      <c r="ED204" s="79"/>
      <c r="EE204" s="79"/>
      <c r="EG204" s="79"/>
      <c r="EH204" s="126"/>
      <c r="EI204" s="126"/>
      <c r="EJ204" s="127"/>
      <c r="EK204" s="127"/>
      <c r="EL204" s="127"/>
      <c r="EM204" s="127"/>
      <c r="EN204" s="127"/>
      <c r="EO204" s="127"/>
      <c r="EP204" s="127"/>
      <c r="EQ204" s="127"/>
      <c r="ER204" s="127"/>
      <c r="ES204" s="127"/>
      <c r="ET204" s="127"/>
      <c r="EU204" s="127"/>
      <c r="EV204" s="127"/>
      <c r="EW204" s="127"/>
    </row>
    <row r="205" spans="1:153" s="52" customFormat="1">
      <c r="A205" s="128">
        <v>2027</v>
      </c>
      <c r="CL205" s="49">
        <v>704</v>
      </c>
      <c r="CM205" s="49">
        <v>999</v>
      </c>
      <c r="CN205" s="49">
        <v>1038</v>
      </c>
      <c r="CO205" s="49">
        <v>1060</v>
      </c>
      <c r="CP205" s="49">
        <v>2573</v>
      </c>
      <c r="CQ205" s="49">
        <v>2778</v>
      </c>
      <c r="CR205" s="49">
        <v>3381</v>
      </c>
      <c r="CS205" s="49">
        <v>3666</v>
      </c>
      <c r="CT205" s="49">
        <v>5923</v>
      </c>
      <c r="CU205" s="49">
        <v>6573</v>
      </c>
      <c r="CV205" s="49"/>
      <c r="EC205" s="79"/>
      <c r="ED205" s="79"/>
      <c r="EE205" s="79"/>
      <c r="EG205" s="79"/>
      <c r="EH205" s="126"/>
      <c r="EI205" s="126"/>
      <c r="EJ205" s="127"/>
      <c r="EK205" s="127"/>
      <c r="EL205" s="127"/>
      <c r="EM205" s="127"/>
      <c r="EN205" s="127"/>
      <c r="EO205" s="127"/>
      <c r="EP205" s="127"/>
      <c r="EQ205" s="127"/>
      <c r="ER205" s="127"/>
      <c r="ES205" s="127"/>
      <c r="ET205" s="127"/>
      <c r="EU205" s="127"/>
      <c r="EV205" s="127"/>
      <c r="EW205" s="127"/>
    </row>
    <row r="206" spans="1:153" s="52" customFormat="1">
      <c r="A206" s="128">
        <v>2028</v>
      </c>
      <c r="CL206" s="49">
        <v>332</v>
      </c>
      <c r="CM206" s="49">
        <v>637</v>
      </c>
      <c r="CN206" s="49">
        <v>660</v>
      </c>
      <c r="CO206" s="49">
        <v>770</v>
      </c>
      <c r="CP206" s="49">
        <v>2222</v>
      </c>
      <c r="CQ206" s="49">
        <v>2436</v>
      </c>
      <c r="CR206" s="49">
        <v>2979</v>
      </c>
      <c r="CS206" s="49">
        <v>2992</v>
      </c>
      <c r="CT206" s="49">
        <v>3110</v>
      </c>
      <c r="CU206" s="49">
        <v>3915</v>
      </c>
      <c r="CV206" s="49"/>
      <c r="EC206" s="79"/>
      <c r="ED206" s="79"/>
      <c r="EE206" s="79"/>
      <c r="EG206" s="79"/>
      <c r="EH206" s="126"/>
      <c r="EI206" s="126"/>
      <c r="EJ206" s="127"/>
      <c r="EK206" s="127"/>
      <c r="EL206" s="127"/>
      <c r="EM206" s="127"/>
      <c r="EN206" s="127"/>
      <c r="EO206" s="127"/>
      <c r="EP206" s="127"/>
      <c r="EQ206" s="127"/>
      <c r="ER206" s="127"/>
      <c r="ES206" s="127"/>
      <c r="ET206" s="127"/>
      <c r="EU206" s="127"/>
      <c r="EV206" s="127"/>
      <c r="EW206" s="127"/>
    </row>
    <row r="207" spans="1:153" s="52" customFormat="1">
      <c r="A207" s="128">
        <v>2029</v>
      </c>
      <c r="CL207" s="49">
        <v>255</v>
      </c>
      <c r="CM207" s="49">
        <v>468</v>
      </c>
      <c r="CN207" s="49">
        <v>354</v>
      </c>
      <c r="CO207" s="49">
        <v>418</v>
      </c>
      <c r="CP207" s="49">
        <v>1585</v>
      </c>
      <c r="CQ207" s="49">
        <v>1543</v>
      </c>
      <c r="CR207" s="49">
        <v>1990</v>
      </c>
      <c r="CS207" s="49">
        <v>2054</v>
      </c>
      <c r="CT207" s="49">
        <v>2772</v>
      </c>
      <c r="CU207" s="49">
        <v>2736</v>
      </c>
      <c r="CV207" s="49"/>
      <c r="EC207" s="79"/>
      <c r="ED207" s="79"/>
      <c r="EE207" s="79"/>
      <c r="EG207" s="79"/>
      <c r="EH207" s="126"/>
      <c r="EI207" s="126"/>
      <c r="EJ207" s="127"/>
      <c r="EK207" s="127"/>
      <c r="EL207" s="127"/>
      <c r="EM207" s="127"/>
      <c r="EN207" s="127"/>
      <c r="EO207" s="127"/>
      <c r="EP207" s="127"/>
      <c r="EQ207" s="127"/>
      <c r="ER207" s="127"/>
      <c r="ES207" s="127"/>
      <c r="ET207" s="127"/>
      <c r="EU207" s="127"/>
      <c r="EV207" s="127"/>
      <c r="EW207" s="127"/>
    </row>
    <row r="208" spans="1:153" s="52" customFormat="1">
      <c r="A208" s="128">
        <v>2030</v>
      </c>
      <c r="CL208" s="49"/>
      <c r="CM208" s="49"/>
      <c r="CN208" s="49"/>
      <c r="CO208" s="49"/>
      <c r="CP208" s="49">
        <v>249</v>
      </c>
      <c r="CQ208" s="49">
        <v>419</v>
      </c>
      <c r="CR208" s="49">
        <v>621</v>
      </c>
      <c r="CS208" s="49">
        <f>422+218</f>
        <v>640</v>
      </c>
      <c r="CT208" s="49">
        <v>752</v>
      </c>
      <c r="CU208" s="49">
        <v>1402</v>
      </c>
      <c r="CV208" s="49"/>
      <c r="EC208" s="79"/>
      <c r="ED208" s="79"/>
      <c r="EE208" s="79"/>
      <c r="EG208" s="79"/>
      <c r="EH208" s="126"/>
      <c r="EI208" s="126"/>
      <c r="EJ208" s="127"/>
      <c r="EK208" s="127"/>
      <c r="EL208" s="127"/>
      <c r="EM208" s="127"/>
      <c r="EN208" s="127"/>
      <c r="EO208" s="127"/>
      <c r="EP208" s="127"/>
      <c r="EQ208" s="127"/>
      <c r="ER208" s="127"/>
      <c r="ES208" s="127"/>
      <c r="ET208" s="127"/>
      <c r="EU208" s="127"/>
      <c r="EV208" s="127"/>
      <c r="EW208" s="127"/>
    </row>
    <row r="209" spans="1:155" s="52" customFormat="1">
      <c r="A209" s="49" t="s">
        <v>306</v>
      </c>
      <c r="CL209" s="49"/>
      <c r="CM209" s="49"/>
      <c r="CN209" s="49"/>
      <c r="CO209" s="49"/>
      <c r="CP209" s="49"/>
      <c r="CQ209" s="49"/>
      <c r="CR209" s="49"/>
      <c r="CS209" s="49"/>
      <c r="CT209" s="49">
        <v>218</v>
      </c>
      <c r="CU209" s="49">
        <v>218</v>
      </c>
      <c r="CV209" s="49"/>
      <c r="EC209" s="79"/>
      <c r="ED209" s="79"/>
      <c r="EE209" s="79"/>
      <c r="EG209" s="79"/>
      <c r="EH209" s="126"/>
      <c r="EI209" s="126"/>
      <c r="EJ209" s="127"/>
      <c r="EK209" s="127"/>
      <c r="EL209" s="127"/>
      <c r="EM209" s="127"/>
      <c r="EN209" s="127"/>
      <c r="EO209" s="127"/>
      <c r="EP209" s="127"/>
      <c r="EQ209" s="127"/>
      <c r="ER209" s="127"/>
      <c r="ES209" s="127"/>
      <c r="ET209" s="127"/>
      <c r="EU209" s="127"/>
      <c r="EV209" s="127"/>
      <c r="EW209" s="127"/>
    </row>
    <row r="210" spans="1:155" s="52" customFormat="1">
      <c r="A210" s="35" t="s">
        <v>307</v>
      </c>
      <c r="CL210" s="35">
        <f>SUM(CL202:CL208)</f>
        <v>10527</v>
      </c>
      <c r="CM210" s="35">
        <f>SUM(CM202:CM208)</f>
        <v>15460</v>
      </c>
      <c r="CN210" s="35">
        <f>SUM(CN202:CN208)</f>
        <v>21540</v>
      </c>
      <c r="CO210" s="35">
        <f>SUM(CO203:CO208)</f>
        <v>20707</v>
      </c>
      <c r="CP210" s="35">
        <f>SUM(CP203:CP208)</f>
        <v>29373</v>
      </c>
      <c r="CQ210" s="35">
        <f>SUM(CQ203:CQ208)</f>
        <v>39781</v>
      </c>
      <c r="CR210" s="35">
        <f>SUM(CR203:CR208)</f>
        <v>42044</v>
      </c>
      <c r="CS210" s="35">
        <f>SUM(CS203:CS208)</f>
        <v>45079</v>
      </c>
      <c r="CT210" s="35">
        <f>SUM(CT203:CT209)</f>
        <v>44220</v>
      </c>
      <c r="CU210" s="35">
        <f>SUM(CU203:CU209)</f>
        <v>45774</v>
      </c>
      <c r="CV210" s="35">
        <v>50300</v>
      </c>
      <c r="CW210" s="35">
        <v>95200</v>
      </c>
      <c r="CX210" s="35"/>
      <c r="EC210" s="79"/>
      <c r="ED210" s="79"/>
      <c r="EE210" s="79"/>
      <c r="EG210" s="79"/>
      <c r="EH210" s="126"/>
      <c r="EI210" s="126"/>
      <c r="EJ210" s="127"/>
      <c r="EK210" s="127"/>
      <c r="EL210" s="127"/>
      <c r="EM210" s="127"/>
      <c r="EN210" s="127"/>
      <c r="EO210" s="127"/>
      <c r="EP210" s="127"/>
      <c r="EQ210" s="127"/>
      <c r="ER210" s="127"/>
      <c r="ES210" s="127"/>
      <c r="ET210" s="127"/>
      <c r="EU210" s="127"/>
      <c r="EV210" s="127"/>
      <c r="EW210" s="127"/>
    </row>
    <row r="211" spans="1:155" s="52" customFormat="1">
      <c r="A211" s="35" t="s">
        <v>223</v>
      </c>
      <c r="CL211" s="49"/>
      <c r="CM211" s="70">
        <f t="shared" ref="CM211:CT211" si="321">CM210/CL210-1</f>
        <v>0.46860454070485424</v>
      </c>
      <c r="CN211" s="70">
        <f t="shared" si="321"/>
        <v>0.39327296248382915</v>
      </c>
      <c r="CO211" s="70">
        <f t="shared" si="321"/>
        <v>-3.8672237697307321E-2</v>
      </c>
      <c r="CP211" s="70">
        <f t="shared" si="321"/>
        <v>0.41850581928816344</v>
      </c>
      <c r="CQ211" s="70">
        <f t="shared" si="321"/>
        <v>0.35433901882681385</v>
      </c>
      <c r="CR211" s="70">
        <f t="shared" si="321"/>
        <v>5.6886453331992604E-2</v>
      </c>
      <c r="CS211" s="70">
        <f t="shared" si="321"/>
        <v>7.2186281038911559E-2</v>
      </c>
      <c r="CT211" s="70">
        <f t="shared" si="321"/>
        <v>-1.9055436012333948E-2</v>
      </c>
      <c r="CU211" s="70">
        <f>CU210/CT210-1</f>
        <v>3.5142469470827775E-2</v>
      </c>
      <c r="CV211" s="70">
        <f>CV210/CU210-1</f>
        <v>9.8877091798837746E-2</v>
      </c>
      <c r="CW211" s="70">
        <f>CW210/CV210-1</f>
        <v>0.89264413518886676</v>
      </c>
      <c r="CX211" s="70"/>
      <c r="EC211" s="79"/>
      <c r="ED211" s="79"/>
      <c r="EE211" s="79"/>
      <c r="EG211" s="79"/>
      <c r="EH211" s="126"/>
      <c r="EI211" s="126"/>
      <c r="EJ211" s="127"/>
      <c r="EK211" s="127"/>
      <c r="EL211" s="127"/>
      <c r="EM211" s="127"/>
      <c r="EN211" s="127"/>
      <c r="EO211" s="127"/>
      <c r="EP211" s="127"/>
      <c r="EQ211" s="127"/>
      <c r="ER211" s="127"/>
      <c r="ES211" s="127"/>
      <c r="ET211" s="127"/>
      <c r="EU211" s="127"/>
      <c r="EV211" s="127"/>
      <c r="EW211" s="127"/>
    </row>
    <row r="212" spans="1:155" s="52" customFormat="1">
      <c r="A212" s="35" t="s">
        <v>225</v>
      </c>
      <c r="CL212" s="49"/>
      <c r="CM212" s="70"/>
      <c r="CN212" s="70"/>
      <c r="CO212" s="70"/>
      <c r="CP212" s="70">
        <f t="shared" ref="CP212:CW212" si="322">CP210/CL210-1</f>
        <v>1.7902536335138217</v>
      </c>
      <c r="CQ212" s="70">
        <f t="shared" si="322"/>
        <v>1.573156532988357</v>
      </c>
      <c r="CR212" s="70">
        <f t="shared" si="322"/>
        <v>0.95190343546889511</v>
      </c>
      <c r="CS212" s="70">
        <f t="shared" si="322"/>
        <v>1.1769932872941515</v>
      </c>
      <c r="CT212" s="70">
        <f t="shared" si="322"/>
        <v>0.50546420181799623</v>
      </c>
      <c r="CU212" s="70">
        <f t="shared" si="322"/>
        <v>0.15064980769714187</v>
      </c>
      <c r="CV212" s="70">
        <f t="shared" si="322"/>
        <v>0.19636571211112175</v>
      </c>
      <c r="CW212" s="70">
        <f t="shared" si="322"/>
        <v>1.1118480889105791</v>
      </c>
      <c r="CX212" s="70"/>
      <c r="EC212" s="79"/>
      <c r="ED212" s="79"/>
      <c r="EE212" s="79"/>
      <c r="EG212" s="79"/>
      <c r="EH212" s="126"/>
      <c r="EI212" s="126"/>
      <c r="EJ212" s="127"/>
      <c r="EK212" s="127"/>
      <c r="EL212" s="127"/>
      <c r="EM212" s="127"/>
      <c r="EN212" s="127"/>
      <c r="EO212" s="127"/>
      <c r="EP212" s="127"/>
      <c r="EQ212" s="127"/>
      <c r="ER212" s="127"/>
      <c r="ES212" s="127"/>
      <c r="ET212" s="127"/>
      <c r="EU212" s="127"/>
      <c r="EV212" s="127"/>
      <c r="EW212" s="127"/>
    </row>
    <row r="213" spans="1:155" s="52" customFormat="1">
      <c r="A213" s="35"/>
      <c r="CL213" s="49"/>
      <c r="CM213" s="49"/>
      <c r="CN213" s="49"/>
      <c r="CO213" s="49"/>
      <c r="CP213" s="49"/>
      <c r="CQ213" s="49"/>
      <c r="CR213" s="49"/>
      <c r="CS213" s="49"/>
      <c r="CT213" s="49"/>
      <c r="CU213" s="49"/>
      <c r="CV213" s="49"/>
      <c r="EC213" s="79"/>
      <c r="ED213" s="79"/>
      <c r="EE213" s="79"/>
      <c r="EG213" s="79"/>
      <c r="EH213" s="126"/>
      <c r="EI213" s="126"/>
      <c r="EJ213" s="127"/>
      <c r="EK213" s="127"/>
      <c r="EL213" s="127"/>
      <c r="EM213" s="127"/>
      <c r="EN213" s="127"/>
      <c r="EO213" s="127"/>
      <c r="EP213" s="127"/>
      <c r="EQ213" s="127"/>
      <c r="ER213" s="127"/>
      <c r="ES213" s="127"/>
      <c r="ET213" s="127"/>
      <c r="EU213" s="127"/>
      <c r="EV213" s="127"/>
      <c r="EW213" s="127"/>
    </row>
    <row r="214" spans="1:155" s="52" customFormat="1">
      <c r="A214" s="35" t="s">
        <v>308</v>
      </c>
      <c r="CL214" s="49">
        <v>2430</v>
      </c>
      <c r="CM214" s="49">
        <v>3500</v>
      </c>
      <c r="CN214" s="49">
        <v>3600</v>
      </c>
      <c r="CO214" s="49">
        <v>3500</v>
      </c>
      <c r="CP214" s="49">
        <v>8800</v>
      </c>
      <c r="CQ214" s="49">
        <v>9800</v>
      </c>
      <c r="CR214" s="49">
        <v>11300</v>
      </c>
      <c r="CS214" s="49">
        <v>10900</v>
      </c>
      <c r="CT214" s="49">
        <v>10600</v>
      </c>
      <c r="CU214" s="49"/>
      <c r="CV214" s="49">
        <v>26000</v>
      </c>
      <c r="CW214" s="49">
        <v>27000</v>
      </c>
      <c r="CX214" s="49"/>
      <c r="EC214" s="79"/>
      <c r="ED214" s="79"/>
      <c r="EE214" s="79"/>
      <c r="EG214" s="79"/>
      <c r="EH214" s="126"/>
      <c r="EI214" s="126"/>
      <c r="EJ214" s="127"/>
      <c r="EK214" s="127"/>
      <c r="EL214" s="127"/>
      <c r="EM214" s="127"/>
      <c r="EN214" s="127"/>
      <c r="EO214" s="127"/>
      <c r="EP214" s="127"/>
      <c r="EQ214" s="127"/>
      <c r="ER214" s="127"/>
      <c r="ES214" s="127"/>
      <c r="ET214" s="127"/>
      <c r="EU214" s="127"/>
      <c r="EV214" s="127"/>
      <c r="EW214" s="127"/>
    </row>
    <row r="215" spans="1:155" s="52" customFormat="1">
      <c r="EC215" s="79"/>
      <c r="ED215" s="79"/>
      <c r="EE215" s="79"/>
      <c r="EG215" s="79"/>
      <c r="EH215" s="126"/>
      <c r="EI215" s="126"/>
      <c r="EJ215" s="127"/>
      <c r="EK215" s="127"/>
      <c r="EL215" s="127"/>
      <c r="EM215" s="127"/>
      <c r="EN215" s="127"/>
      <c r="EO215" s="127"/>
      <c r="EP215" s="127"/>
      <c r="EQ215" s="127"/>
      <c r="ER215" s="127"/>
      <c r="ES215" s="127"/>
      <c r="ET215" s="127"/>
      <c r="EU215" s="127"/>
      <c r="EV215" s="127"/>
      <c r="EW215" s="127"/>
    </row>
    <row r="216" spans="1:155" s="52" customFormat="1">
      <c r="A216" s="27" t="s">
        <v>309</v>
      </c>
      <c r="CD216" s="129" t="s">
        <v>310</v>
      </c>
      <c r="CE216" s="129" t="s">
        <v>310</v>
      </c>
      <c r="CF216" s="129">
        <v>1606</v>
      </c>
      <c r="CG216" s="129">
        <v>1747</v>
      </c>
      <c r="CH216" s="129">
        <v>2752</v>
      </c>
      <c r="CI216" s="129">
        <v>2523</v>
      </c>
      <c r="CJ216" s="129">
        <v>2771</v>
      </c>
      <c r="CK216" s="129">
        <v>2989</v>
      </c>
      <c r="CL216" s="129">
        <v>3002</v>
      </c>
      <c r="CM216" s="129">
        <v>3008</v>
      </c>
      <c r="CN216" s="129">
        <v>2927</v>
      </c>
      <c r="CO216" s="129">
        <v>2458</v>
      </c>
      <c r="CP216" s="129">
        <v>2232</v>
      </c>
      <c r="CQ216" s="129">
        <v>3300</v>
      </c>
      <c r="CR216" s="129">
        <v>2041</v>
      </c>
      <c r="CS216" s="129">
        <v>1747</v>
      </c>
      <c r="CT216" s="129">
        <v>2079</v>
      </c>
      <c r="CU216" s="129"/>
      <c r="CV216" s="129">
        <v>2079</v>
      </c>
      <c r="EC216" s="79"/>
      <c r="ED216" s="79"/>
      <c r="EE216" s="79"/>
      <c r="EG216" s="79"/>
      <c r="EH216" s="126"/>
      <c r="EI216" s="126"/>
      <c r="EJ216" s="127"/>
      <c r="EK216" s="127"/>
      <c r="EL216" s="127"/>
      <c r="EM216" s="127"/>
      <c r="EN216" s="127"/>
      <c r="EO216" s="127"/>
      <c r="EP216" s="127"/>
      <c r="EQ216" s="127"/>
      <c r="ER216" s="127"/>
      <c r="ES216" s="127"/>
      <c r="ET216" s="127"/>
      <c r="EU216" s="127"/>
      <c r="EV216" s="127"/>
      <c r="EW216" s="127"/>
    </row>
    <row r="217" spans="1:155" s="52" customFormat="1">
      <c r="A217" s="27" t="s">
        <v>311</v>
      </c>
      <c r="CD217" s="129" t="s">
        <v>310</v>
      </c>
      <c r="CE217" s="129" t="s">
        <v>310</v>
      </c>
      <c r="CF217" s="129" t="s">
        <v>310</v>
      </c>
      <c r="CG217" s="129">
        <v>196</v>
      </c>
      <c r="CH217" s="129">
        <v>258</v>
      </c>
      <c r="CI217" s="129">
        <v>866</v>
      </c>
      <c r="CJ217" s="129">
        <v>1181</v>
      </c>
      <c r="CK217" s="129">
        <v>954</v>
      </c>
      <c r="CL217" s="129">
        <v>786</v>
      </c>
      <c r="CM217" s="129">
        <v>870</v>
      </c>
      <c r="CN217" s="129">
        <v>1280</v>
      </c>
      <c r="CO217" s="129">
        <v>1655</v>
      </c>
      <c r="CP217" s="129">
        <v>1684</v>
      </c>
      <c r="CQ217" s="129">
        <v>2051</v>
      </c>
      <c r="CR217" s="129">
        <v>1728</v>
      </c>
      <c r="CS217" s="129">
        <v>2200</v>
      </c>
      <c r="CT217" s="129">
        <v>4310</v>
      </c>
      <c r="CU217" s="129"/>
      <c r="CV217" s="129">
        <v>4310</v>
      </c>
      <c r="EC217" s="79"/>
      <c r="ED217" s="79"/>
      <c r="EE217" s="79"/>
      <c r="EG217" s="79"/>
      <c r="EH217" s="126"/>
      <c r="EI217" s="126"/>
      <c r="EJ217" s="127"/>
      <c r="EK217" s="127"/>
      <c r="EL217" s="127"/>
      <c r="EM217" s="127"/>
      <c r="EN217" s="127"/>
      <c r="EO217" s="127"/>
      <c r="EP217" s="127"/>
      <c r="EQ217" s="127"/>
      <c r="ER217" s="127"/>
      <c r="ES217" s="127"/>
      <c r="ET217" s="127"/>
      <c r="EU217" s="127"/>
      <c r="EV217" s="127"/>
      <c r="EW217" s="127"/>
    </row>
    <row r="218" spans="1:155">
      <c r="A218" s="74" t="s">
        <v>312</v>
      </c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  <c r="AA218" s="74"/>
      <c r="AB218" s="74"/>
      <c r="AC218" s="74"/>
      <c r="AD218" s="74"/>
      <c r="AE218" s="74"/>
      <c r="AF218" s="74"/>
      <c r="AG218" s="74"/>
      <c r="AH218" s="74"/>
      <c r="AI218" s="74"/>
      <c r="AJ218" s="74"/>
      <c r="AK218" s="74"/>
      <c r="AL218" s="74"/>
      <c r="AM218" s="74"/>
      <c r="AN218" s="74"/>
      <c r="AO218" s="74"/>
      <c r="AP218" s="74"/>
      <c r="AQ218" s="74"/>
      <c r="AR218" s="74"/>
      <c r="AS218" s="74"/>
      <c r="AT218" s="74"/>
      <c r="AU218" s="74"/>
      <c r="AV218" s="74"/>
      <c r="AW218" s="74"/>
      <c r="AX218" s="74"/>
      <c r="AY218" s="74"/>
      <c r="AZ218" s="74"/>
      <c r="BA218" s="74"/>
      <c r="BB218" s="74"/>
      <c r="BC218" s="74"/>
      <c r="BD218" s="74"/>
      <c r="BE218" s="74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4"/>
      <c r="BT218" s="74"/>
      <c r="BU218" s="74"/>
      <c r="BV218" s="74"/>
      <c r="BW218" s="74"/>
      <c r="BX218" s="74"/>
      <c r="BY218" s="74"/>
      <c r="BZ218" s="74"/>
      <c r="CA218" s="74"/>
      <c r="CB218" s="74"/>
      <c r="CC218" s="74"/>
      <c r="CD218" s="74"/>
      <c r="CE218" s="130"/>
      <c r="CF218" s="74"/>
      <c r="CG218" s="74"/>
      <c r="CH218" s="74"/>
      <c r="CI218" s="74"/>
      <c r="CJ218" s="131"/>
      <c r="CK218" s="74"/>
      <c r="CL218" s="74"/>
      <c r="CM218" s="74"/>
      <c r="CN218" s="74"/>
      <c r="CO218" s="130"/>
      <c r="CP218" s="74"/>
      <c r="CQ218" s="130"/>
      <c r="CR218" s="74"/>
      <c r="CS218" s="74"/>
      <c r="CT218" s="74"/>
      <c r="CU218" s="74"/>
      <c r="CV218" s="74"/>
      <c r="CW218" s="74"/>
      <c r="CX218" s="74"/>
      <c r="CY218" s="74"/>
      <c r="CZ218" s="74"/>
      <c r="DA218" s="74"/>
      <c r="DB218" s="74"/>
      <c r="DC218" s="74"/>
      <c r="DD218" s="74"/>
      <c r="DE218" s="74"/>
      <c r="DF218" s="74"/>
      <c r="DG218" s="74"/>
      <c r="DH218" s="74"/>
      <c r="DI218" s="74"/>
      <c r="DJ218" s="74"/>
      <c r="DK218" s="74"/>
      <c r="DL218" s="74"/>
      <c r="DM218" s="74"/>
      <c r="DN218" s="74"/>
      <c r="DO218" s="74"/>
      <c r="DP218" s="74"/>
      <c r="DQ218" s="74"/>
      <c r="DT218" s="74"/>
      <c r="DU218" s="74"/>
      <c r="DV218" s="74"/>
      <c r="DW218" s="74"/>
      <c r="DX218" s="74"/>
      <c r="DY218" s="74"/>
      <c r="DZ218" s="74"/>
      <c r="EA218" s="74"/>
      <c r="EB218" s="74"/>
      <c r="EC218" s="74"/>
      <c r="ED218" s="74"/>
      <c r="EE218" s="74"/>
      <c r="EF218" s="74"/>
      <c r="EG218" s="74"/>
      <c r="EH218" s="74"/>
      <c r="EI218" s="74"/>
      <c r="EJ218" s="74"/>
      <c r="EK218" s="74"/>
      <c r="EL218" s="74"/>
      <c r="EM218" s="132"/>
      <c r="EN218" s="74"/>
      <c r="EO218" s="74"/>
      <c r="EP218" s="74"/>
      <c r="EQ218" s="74"/>
      <c r="ER218" s="74"/>
      <c r="ES218" s="74"/>
      <c r="ET218" s="74"/>
      <c r="EU218" s="74"/>
      <c r="EV218" s="74"/>
      <c r="EW218" s="74"/>
    </row>
    <row r="219" spans="1:155" s="49" customFormat="1" hidden="1" outlineLevel="1">
      <c r="A219" s="76" t="s">
        <v>313</v>
      </c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6"/>
      <c r="AY219" s="76"/>
      <c r="AZ219" s="76"/>
      <c r="BA219" s="76"/>
      <c r="BB219" s="76" t="e">
        <f>BB246-#REF!-BB79-BB87-#REF!</f>
        <v>#REF!</v>
      </c>
      <c r="BC219" s="76" t="e">
        <f>BC246-#REF!-BC79-BC87-#REF!</f>
        <v>#REF!</v>
      </c>
      <c r="BD219" s="76" t="e">
        <f>BD246-#REF!-BD79-BD87-#REF!</f>
        <v>#REF!</v>
      </c>
      <c r="BE219" s="76" t="e">
        <f>BE246-#REF!-BE79-BE87-#REF!</f>
        <v>#REF!</v>
      </c>
      <c r="BF219" s="76" t="e">
        <f>BF246-#REF!-BF79-BF87-#REF!</f>
        <v>#REF!</v>
      </c>
      <c r="BG219" s="76" t="e">
        <f>BG246-#REF!-BG79-BG87-#REF!</f>
        <v>#REF!</v>
      </c>
      <c r="BH219" s="76" t="e">
        <f>BH246-#REF!-BH79-BH87-#REF!</f>
        <v>#REF!</v>
      </c>
      <c r="BI219" s="76" t="e">
        <f>BI246-#REF!-BI79-BI87-#REF!</f>
        <v>#REF!</v>
      </c>
      <c r="BJ219" s="76" t="e">
        <f>BJ246-#REF!-BJ79-BJ87-#REF!</f>
        <v>#REF!</v>
      </c>
      <c r="BK219" s="76" t="e">
        <f>BK246-#REF!-BK79-BK87-#REF!</f>
        <v>#REF!</v>
      </c>
      <c r="BL219" s="76" t="e">
        <f>BL246-#REF!-BL79-BL87-#REF!</f>
        <v>#REF!</v>
      </c>
      <c r="BM219" s="76" t="e">
        <f>BM246-#REF!-BM79-BM87-#REF!</f>
        <v>#REF!</v>
      </c>
      <c r="BN219" s="76" t="e">
        <f>BN246-#REF!-BN79-BN87-#REF!</f>
        <v>#REF!</v>
      </c>
      <c r="BO219" s="76" t="e">
        <f>BO246-#REF!-BO79-BO87-#REF!</f>
        <v>#REF!</v>
      </c>
      <c r="BP219" s="76" t="e">
        <f>BP246-#REF!-BP79-BP87-#REF!</f>
        <v>#REF!</v>
      </c>
      <c r="BQ219" s="76" t="e">
        <f>BQ246-#REF!-BQ79-BQ87-#REF!</f>
        <v>#REF!</v>
      </c>
      <c r="BR219" s="76" t="e">
        <f>BR246-#REF!-BR79-BR87-#REF!</f>
        <v>#REF!</v>
      </c>
      <c r="BS219" s="76" t="e">
        <f>BS246-#REF!-BS79-BS87-#REF!</f>
        <v>#REF!</v>
      </c>
      <c r="BT219" s="76" t="e">
        <f>BT246-#REF!-BT79-BT87-#REF!</f>
        <v>#REF!</v>
      </c>
      <c r="BU219" s="76" t="e">
        <f>BU246-#REF!-BU79-BU87-#REF!</f>
        <v>#REF!</v>
      </c>
      <c r="BV219" s="76" t="e">
        <f>BV246-#REF!-BV79-BV87-#REF!</f>
        <v>#REF!</v>
      </c>
      <c r="BW219" s="76" t="e">
        <f>+BV219</f>
        <v>#REF!</v>
      </c>
      <c r="BX219" s="76" t="e">
        <f>BX246-#REF!-BX79-BX87-#REF!</f>
        <v>#REF!</v>
      </c>
      <c r="BY219" s="76" t="e">
        <f>BY246-#REF!-BY79-BY87-#REF!</f>
        <v>#REF!</v>
      </c>
      <c r="BZ219" s="78"/>
      <c r="CA219" s="78"/>
      <c r="CB219" s="78"/>
      <c r="CC219" s="78"/>
      <c r="CD219" s="78"/>
      <c r="CE219" s="78"/>
      <c r="CF219" s="78"/>
      <c r="CG219" s="78"/>
      <c r="CH219" s="78"/>
      <c r="CI219" s="78"/>
      <c r="CJ219" s="78"/>
      <c r="CK219" s="78"/>
      <c r="CL219" s="78"/>
      <c r="CM219" s="78"/>
      <c r="CN219" s="78"/>
      <c r="CO219" s="78"/>
      <c r="CP219" s="78"/>
      <c r="CQ219" s="78"/>
      <c r="CR219" s="78"/>
      <c r="CS219" s="78"/>
      <c r="CT219" s="78"/>
      <c r="CU219" s="78"/>
      <c r="CV219" s="78"/>
      <c r="CW219" s="78"/>
      <c r="CX219" s="78"/>
      <c r="CY219" s="78"/>
      <c r="CZ219" s="78"/>
      <c r="DA219" s="78"/>
      <c r="DB219" s="78"/>
      <c r="DC219" s="78"/>
      <c r="DD219" s="78"/>
      <c r="DE219" s="78"/>
      <c r="DF219" s="78"/>
      <c r="DG219" s="78"/>
      <c r="DH219" s="78"/>
      <c r="DI219" s="78"/>
      <c r="DJ219" s="78"/>
      <c r="DK219" s="78"/>
      <c r="DL219" s="78"/>
      <c r="DM219" s="78"/>
      <c r="DN219" s="78"/>
      <c r="DO219" s="78"/>
      <c r="DP219" s="78"/>
      <c r="DQ219" s="78"/>
      <c r="DT219" s="77"/>
      <c r="DU219" s="77"/>
      <c r="DV219" s="77"/>
      <c r="DW219" s="77"/>
      <c r="DX219" s="77"/>
      <c r="DY219" s="77"/>
      <c r="DZ219" s="77"/>
      <c r="EA219" s="77"/>
      <c r="EB219" s="77"/>
      <c r="EC219" s="76"/>
      <c r="ED219" s="76"/>
      <c r="EE219" s="76"/>
      <c r="EF219" s="76"/>
      <c r="EG219" s="76" t="e">
        <f>SUM(BB219:BE219)</f>
        <v>#REF!</v>
      </c>
      <c r="EH219" s="76" t="e">
        <f>SUM(BF219:BI219)</f>
        <v>#REF!</v>
      </c>
      <c r="EI219" s="76" t="e">
        <f>SUM(BJ219:BM219)</f>
        <v>#REF!</v>
      </c>
      <c r="EJ219" s="76" t="e">
        <f>SUM(BN219:BQ219)</f>
        <v>#REF!</v>
      </c>
      <c r="EK219" s="76" t="e">
        <f>SUM(BR219:BU219)</f>
        <v>#REF!</v>
      </c>
      <c r="EL219" s="76" t="e">
        <f>BV219+BW219+BX219+BY219</f>
        <v>#REF!</v>
      </c>
      <c r="EM219" s="78"/>
      <c r="EN219" s="78"/>
      <c r="EO219" s="78"/>
      <c r="EP219" s="78"/>
      <c r="EQ219" s="78"/>
      <c r="ER219" s="78"/>
      <c r="ES219" s="78"/>
      <c r="ET219" s="78"/>
      <c r="EU219" s="78"/>
      <c r="EV219" s="78"/>
      <c r="EW219" s="78"/>
    </row>
    <row r="220" spans="1:155" s="52" customFormat="1" hidden="1" outlineLevel="1">
      <c r="A220" s="51" t="s">
        <v>223</v>
      </c>
      <c r="BC220" s="52" t="e">
        <f>BC219/BB219-1</f>
        <v>#REF!</v>
      </c>
      <c r="BD220" s="52" t="e">
        <f t="shared" ref="BD220:BY220" si="323">BD219/BC219-1</f>
        <v>#REF!</v>
      </c>
      <c r="BE220" s="52" t="e">
        <f t="shared" si="323"/>
        <v>#REF!</v>
      </c>
      <c r="BF220" s="52" t="e">
        <f t="shared" si="323"/>
        <v>#REF!</v>
      </c>
      <c r="BG220" s="52" t="e">
        <f t="shared" si="323"/>
        <v>#REF!</v>
      </c>
      <c r="BH220" s="52" t="e">
        <f t="shared" si="323"/>
        <v>#REF!</v>
      </c>
      <c r="BI220" s="52" t="e">
        <f t="shared" si="323"/>
        <v>#REF!</v>
      </c>
      <c r="BJ220" s="52" t="e">
        <f t="shared" si="323"/>
        <v>#REF!</v>
      </c>
      <c r="BK220" s="52" t="e">
        <f t="shared" si="323"/>
        <v>#REF!</v>
      </c>
      <c r="BL220" s="52" t="e">
        <f t="shared" si="323"/>
        <v>#REF!</v>
      </c>
      <c r="BM220" s="52" t="e">
        <f t="shared" si="323"/>
        <v>#REF!</v>
      </c>
      <c r="BN220" s="52" t="e">
        <f t="shared" si="323"/>
        <v>#REF!</v>
      </c>
      <c r="BO220" s="52" t="e">
        <f t="shared" si="323"/>
        <v>#REF!</v>
      </c>
      <c r="BP220" s="52" t="e">
        <f t="shared" si="323"/>
        <v>#REF!</v>
      </c>
      <c r="BQ220" s="52" t="e">
        <f t="shared" si="323"/>
        <v>#REF!</v>
      </c>
      <c r="BR220" s="52" t="e">
        <f t="shared" si="323"/>
        <v>#REF!</v>
      </c>
      <c r="BS220" s="52" t="e">
        <f t="shared" si="323"/>
        <v>#REF!</v>
      </c>
      <c r="BT220" s="52" t="e">
        <f t="shared" si="323"/>
        <v>#REF!</v>
      </c>
      <c r="BU220" s="52" t="e">
        <f t="shared" si="323"/>
        <v>#REF!</v>
      </c>
      <c r="BV220" s="52" t="e">
        <f t="shared" si="323"/>
        <v>#REF!</v>
      </c>
      <c r="BW220" s="52" t="e">
        <f t="shared" si="323"/>
        <v>#REF!</v>
      </c>
      <c r="BX220" s="52" t="e">
        <f>BX219/BW219-1</f>
        <v>#REF!</v>
      </c>
      <c r="BY220" s="52" t="e">
        <f t="shared" si="323"/>
        <v>#REF!</v>
      </c>
      <c r="BZ220" s="53"/>
      <c r="CA220" s="53"/>
      <c r="CB220" s="53"/>
      <c r="CC220" s="53"/>
      <c r="CD220" s="53"/>
      <c r="CE220" s="53"/>
      <c r="CF220" s="53"/>
      <c r="CG220" s="53"/>
      <c r="CH220" s="53"/>
      <c r="CI220" s="53"/>
      <c r="CJ220" s="53"/>
      <c r="CK220" s="53"/>
      <c r="CL220" s="53"/>
      <c r="CM220" s="53"/>
      <c r="CN220" s="53"/>
      <c r="CO220" s="53"/>
      <c r="CP220" s="53"/>
      <c r="CQ220" s="53"/>
      <c r="CR220" s="53"/>
      <c r="CS220" s="53"/>
      <c r="CT220" s="53"/>
      <c r="CU220" s="53"/>
      <c r="CV220" s="53"/>
      <c r="CW220" s="53"/>
      <c r="CX220" s="53"/>
      <c r="CY220" s="53"/>
      <c r="CZ220" s="53"/>
      <c r="DA220" s="53"/>
      <c r="DB220" s="53"/>
      <c r="DC220" s="53"/>
      <c r="DD220" s="53"/>
      <c r="DE220" s="53"/>
      <c r="DF220" s="53"/>
      <c r="DG220" s="53"/>
      <c r="DH220" s="53"/>
      <c r="DI220" s="53"/>
      <c r="DJ220" s="53"/>
      <c r="DK220" s="53"/>
      <c r="DL220" s="53"/>
      <c r="DM220" s="53"/>
      <c r="DN220" s="53"/>
      <c r="DO220" s="53"/>
      <c r="DP220" s="53"/>
      <c r="DQ220" s="53"/>
      <c r="EJ220" s="91"/>
      <c r="EK220" s="91"/>
      <c r="EL220" s="91"/>
      <c r="EM220" s="100"/>
      <c r="EN220" s="100"/>
      <c r="EO220" s="100"/>
      <c r="EP220" s="100"/>
      <c r="EQ220" s="100"/>
      <c r="ER220" s="100"/>
      <c r="ES220" s="100"/>
      <c r="ET220" s="100"/>
      <c r="EU220" s="100"/>
      <c r="EV220" s="100"/>
      <c r="EW220" s="100"/>
      <c r="EY220" s="56"/>
    </row>
    <row r="221" spans="1:155" s="52" customFormat="1" hidden="1" outlineLevel="1">
      <c r="A221" s="51" t="s">
        <v>225</v>
      </c>
      <c r="BF221" s="52" t="e">
        <f>BF219/BB219-1</f>
        <v>#REF!</v>
      </c>
      <c r="BG221" s="52" t="e">
        <f>BG219/BC219-1</f>
        <v>#REF!</v>
      </c>
      <c r="BH221" s="52" t="e">
        <f>BH219/BD219-1</f>
        <v>#REF!</v>
      </c>
      <c r="BI221" s="52" t="e">
        <f>BI219/BE219-1</f>
        <v>#REF!</v>
      </c>
      <c r="BJ221" s="52" t="e">
        <f>BJ219/BF219-1</f>
        <v>#REF!</v>
      </c>
      <c r="BK221" s="52" t="e">
        <f t="shared" ref="BK221:BY221" si="324">BK219/BG219-1</f>
        <v>#REF!</v>
      </c>
      <c r="BL221" s="52" t="e">
        <f t="shared" si="324"/>
        <v>#REF!</v>
      </c>
      <c r="BM221" s="52" t="e">
        <f t="shared" si="324"/>
        <v>#REF!</v>
      </c>
      <c r="BN221" s="52" t="e">
        <f t="shared" si="324"/>
        <v>#REF!</v>
      </c>
      <c r="BO221" s="52" t="e">
        <f t="shared" si="324"/>
        <v>#REF!</v>
      </c>
      <c r="BP221" s="52" t="e">
        <f t="shared" si="324"/>
        <v>#REF!</v>
      </c>
      <c r="BQ221" s="52" t="e">
        <f t="shared" si="324"/>
        <v>#REF!</v>
      </c>
      <c r="BR221" s="52" t="e">
        <f t="shared" si="324"/>
        <v>#REF!</v>
      </c>
      <c r="BS221" s="52" t="e">
        <f t="shared" si="324"/>
        <v>#REF!</v>
      </c>
      <c r="BT221" s="52" t="e">
        <f t="shared" si="324"/>
        <v>#REF!</v>
      </c>
      <c r="BU221" s="52" t="e">
        <f t="shared" si="324"/>
        <v>#REF!</v>
      </c>
      <c r="BV221" s="52" t="e">
        <f t="shared" si="324"/>
        <v>#REF!</v>
      </c>
      <c r="BW221" s="52" t="e">
        <f t="shared" si="324"/>
        <v>#REF!</v>
      </c>
      <c r="BX221" s="52" t="e">
        <f t="shared" si="324"/>
        <v>#REF!</v>
      </c>
      <c r="BY221" s="52" t="e">
        <f t="shared" si="324"/>
        <v>#REF!</v>
      </c>
      <c r="BZ221" s="53"/>
      <c r="CA221" s="53"/>
      <c r="CB221" s="53"/>
      <c r="CC221" s="53"/>
      <c r="CD221" s="53"/>
      <c r="CE221" s="53"/>
      <c r="CF221" s="53"/>
      <c r="CG221" s="53"/>
      <c r="CH221" s="53"/>
      <c r="CI221" s="53"/>
      <c r="CJ221" s="53"/>
      <c r="CK221" s="53"/>
      <c r="CL221" s="53"/>
      <c r="CM221" s="53"/>
      <c r="CN221" s="53"/>
      <c r="CO221" s="53"/>
      <c r="CP221" s="53"/>
      <c r="CQ221" s="53"/>
      <c r="CR221" s="53"/>
      <c r="CS221" s="53"/>
      <c r="CT221" s="53"/>
      <c r="CU221" s="53"/>
      <c r="CV221" s="53"/>
      <c r="CW221" s="53"/>
      <c r="CX221" s="53"/>
      <c r="CY221" s="53"/>
      <c r="CZ221" s="53"/>
      <c r="DA221" s="53"/>
      <c r="DB221" s="53"/>
      <c r="DC221" s="53"/>
      <c r="DD221" s="53"/>
      <c r="DE221" s="53"/>
      <c r="DF221" s="53"/>
      <c r="DG221" s="53"/>
      <c r="DH221" s="53"/>
      <c r="DI221" s="53"/>
      <c r="DJ221" s="53"/>
      <c r="DK221" s="53"/>
      <c r="DL221" s="53"/>
      <c r="DM221" s="53"/>
      <c r="DN221" s="53"/>
      <c r="DO221" s="53"/>
      <c r="DP221" s="53"/>
      <c r="DQ221" s="53"/>
      <c r="EG221" s="91"/>
      <c r="EH221" s="52" t="e">
        <f>EH219/EG219-1</f>
        <v>#REF!</v>
      </c>
      <c r="EI221" s="52" t="e">
        <f>EI219/EH219-1</f>
        <v>#REF!</v>
      </c>
      <c r="EJ221" s="52" t="e">
        <f>EJ219/EI219-1</f>
        <v>#REF!</v>
      </c>
      <c r="EK221" s="52" t="e">
        <f>EK219/EJ219-1</f>
        <v>#REF!</v>
      </c>
      <c r="EL221" s="52" t="e">
        <f>EL219/EK219-1</f>
        <v>#REF!</v>
      </c>
      <c r="EM221" s="57"/>
      <c r="EN221" s="57"/>
      <c r="EO221" s="57"/>
      <c r="EP221" s="57"/>
      <c r="EQ221" s="57"/>
      <c r="ER221" s="57"/>
      <c r="ES221" s="57"/>
      <c r="ET221" s="57"/>
      <c r="EU221" s="57"/>
      <c r="EV221" s="57"/>
      <c r="EW221" s="57"/>
      <c r="EY221" s="56"/>
    </row>
    <row r="222" spans="1:155" s="52" customFormat="1" hidden="1" outlineLevel="1">
      <c r="A222" s="51" t="s">
        <v>270</v>
      </c>
      <c r="BB222" s="52" t="e">
        <f t="shared" ref="BB222:BY222" si="325">BB219/BB$254</f>
        <v>#REF!</v>
      </c>
      <c r="BC222" s="52" t="e">
        <f t="shared" si="325"/>
        <v>#REF!</v>
      </c>
      <c r="BD222" s="52" t="e">
        <f t="shared" si="325"/>
        <v>#REF!</v>
      </c>
      <c r="BE222" s="52" t="e">
        <f t="shared" si="325"/>
        <v>#REF!</v>
      </c>
      <c r="BF222" s="52" t="e">
        <f t="shared" si="325"/>
        <v>#REF!</v>
      </c>
      <c r="BG222" s="52" t="e">
        <f t="shared" si="325"/>
        <v>#REF!</v>
      </c>
      <c r="BH222" s="52" t="e">
        <f t="shared" si="325"/>
        <v>#REF!</v>
      </c>
      <c r="BI222" s="52" t="e">
        <f t="shared" si="325"/>
        <v>#REF!</v>
      </c>
      <c r="BJ222" s="52" t="e">
        <f t="shared" si="325"/>
        <v>#REF!</v>
      </c>
      <c r="BK222" s="52" t="e">
        <f t="shared" si="325"/>
        <v>#REF!</v>
      </c>
      <c r="BL222" s="52" t="e">
        <f t="shared" si="325"/>
        <v>#REF!</v>
      </c>
      <c r="BM222" s="52" t="e">
        <f t="shared" si="325"/>
        <v>#REF!</v>
      </c>
      <c r="BN222" s="52" t="e">
        <f t="shared" si="325"/>
        <v>#REF!</v>
      </c>
      <c r="BO222" s="52" t="e">
        <f t="shared" si="325"/>
        <v>#REF!</v>
      </c>
      <c r="BP222" s="52" t="e">
        <f t="shared" si="325"/>
        <v>#REF!</v>
      </c>
      <c r="BQ222" s="52" t="e">
        <f t="shared" si="325"/>
        <v>#REF!</v>
      </c>
      <c r="BR222" s="52" t="e">
        <f t="shared" si="325"/>
        <v>#REF!</v>
      </c>
      <c r="BS222" s="52" t="e">
        <f t="shared" si="325"/>
        <v>#REF!</v>
      </c>
      <c r="BT222" s="52" t="e">
        <f t="shared" si="325"/>
        <v>#REF!</v>
      </c>
      <c r="BU222" s="52" t="e">
        <f t="shared" si="325"/>
        <v>#REF!</v>
      </c>
      <c r="BV222" s="52" t="e">
        <f t="shared" si="325"/>
        <v>#REF!</v>
      </c>
      <c r="BW222" s="52" t="e">
        <f t="shared" si="325"/>
        <v>#REF!</v>
      </c>
      <c r="BX222" s="52" t="e">
        <f t="shared" si="325"/>
        <v>#REF!</v>
      </c>
      <c r="BY222" s="52" t="e">
        <f t="shared" si="325"/>
        <v>#REF!</v>
      </c>
      <c r="BZ222" s="53"/>
      <c r="CA222" s="53"/>
      <c r="CB222" s="53"/>
      <c r="CC222" s="53"/>
      <c r="CD222" s="53"/>
      <c r="CE222" s="53"/>
      <c r="CF222" s="53"/>
      <c r="CG222" s="53"/>
      <c r="CH222" s="53"/>
      <c r="CI222" s="53"/>
      <c r="CJ222" s="53"/>
      <c r="CK222" s="53"/>
      <c r="CL222" s="53"/>
      <c r="CM222" s="53"/>
      <c r="CN222" s="53"/>
      <c r="CO222" s="53"/>
      <c r="CP222" s="53"/>
      <c r="CQ222" s="53"/>
      <c r="CR222" s="53"/>
      <c r="CS222" s="53"/>
      <c r="CT222" s="53"/>
      <c r="CU222" s="53"/>
      <c r="CV222" s="53"/>
      <c r="CW222" s="53"/>
      <c r="CX222" s="53"/>
      <c r="CY222" s="53"/>
      <c r="CZ222" s="53"/>
      <c r="DA222" s="53"/>
      <c r="DB222" s="53"/>
      <c r="DC222" s="53"/>
      <c r="DD222" s="53"/>
      <c r="DE222" s="53"/>
      <c r="DF222" s="53"/>
      <c r="DG222" s="53"/>
      <c r="DH222" s="53"/>
      <c r="DI222" s="53"/>
      <c r="DJ222" s="53"/>
      <c r="DK222" s="53"/>
      <c r="DL222" s="53"/>
      <c r="DM222" s="53"/>
      <c r="DN222" s="53"/>
      <c r="DO222" s="53"/>
      <c r="DP222" s="53"/>
      <c r="DQ222" s="53"/>
      <c r="EG222" s="91"/>
      <c r="EH222" s="91"/>
      <c r="EI222" s="91"/>
      <c r="EJ222" s="91"/>
      <c r="EK222" s="91"/>
      <c r="EL222" s="91"/>
      <c r="EM222" s="100"/>
      <c r="EN222" s="100"/>
      <c r="EO222" s="100"/>
      <c r="EP222" s="100"/>
      <c r="EQ222" s="100"/>
      <c r="ER222" s="100"/>
      <c r="ES222" s="100"/>
      <c r="ET222" s="100"/>
      <c r="EU222" s="100"/>
      <c r="EV222" s="100"/>
      <c r="EW222" s="100"/>
    </row>
    <row r="223" spans="1:155" s="49" customFormat="1" hidden="1" outlineLevel="1">
      <c r="A223" s="76" t="s">
        <v>314</v>
      </c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6"/>
      <c r="AY223" s="76"/>
      <c r="AZ223" s="76"/>
      <c r="BA223" s="76"/>
      <c r="BB223" s="76" t="e">
        <f t="shared" ref="BB223:BK223" si="326">BB242-BB111</f>
        <v>#REF!</v>
      </c>
      <c r="BC223" s="76" t="e">
        <f t="shared" si="326"/>
        <v>#REF!</v>
      </c>
      <c r="BD223" s="76" t="e">
        <f t="shared" si="326"/>
        <v>#REF!</v>
      </c>
      <c r="BE223" s="76" t="e">
        <f t="shared" si="326"/>
        <v>#REF!</v>
      </c>
      <c r="BF223" s="76" t="e">
        <f t="shared" si="326"/>
        <v>#REF!</v>
      </c>
      <c r="BG223" s="76" t="e">
        <f t="shared" si="326"/>
        <v>#REF!</v>
      </c>
      <c r="BH223" s="76" t="e">
        <f t="shared" si="326"/>
        <v>#REF!</v>
      </c>
      <c r="BI223" s="76" t="e">
        <f t="shared" si="326"/>
        <v>#REF!</v>
      </c>
      <c r="BJ223" s="76" t="e">
        <f t="shared" si="326"/>
        <v>#REF!</v>
      </c>
      <c r="BK223" s="76" t="e">
        <f t="shared" si="326"/>
        <v>#REF!</v>
      </c>
      <c r="BL223" s="76">
        <f t="shared" ref="BL223:BY223" si="327">BL95</f>
        <v>127</v>
      </c>
      <c r="BM223" s="76">
        <f t="shared" si="327"/>
        <v>128</v>
      </c>
      <c r="BN223" s="76">
        <f t="shared" si="327"/>
        <v>140</v>
      </c>
      <c r="BO223" s="76">
        <f t="shared" si="327"/>
        <v>142</v>
      </c>
      <c r="BP223" s="76">
        <f t="shared" si="327"/>
        <v>144</v>
      </c>
      <c r="BQ223" s="76">
        <f t="shared" si="327"/>
        <v>132</v>
      </c>
      <c r="BR223" s="76">
        <f t="shared" si="327"/>
        <v>145</v>
      </c>
      <c r="BS223" s="76">
        <f t="shared" si="327"/>
        <v>161</v>
      </c>
      <c r="BT223" s="76">
        <f t="shared" si="327"/>
        <v>172</v>
      </c>
      <c r="BU223" s="76">
        <f t="shared" si="327"/>
        <v>163</v>
      </c>
      <c r="BV223" s="76">
        <f t="shared" si="327"/>
        <v>166</v>
      </c>
      <c r="BW223" s="76">
        <f t="shared" si="327"/>
        <v>209</v>
      </c>
      <c r="BX223" s="76">
        <f t="shared" si="327"/>
        <v>162</v>
      </c>
      <c r="BY223" s="76">
        <f t="shared" si="327"/>
        <v>163</v>
      </c>
      <c r="BZ223" s="78"/>
      <c r="CA223" s="78"/>
      <c r="CB223" s="78"/>
      <c r="CC223" s="78"/>
      <c r="CD223" s="78"/>
      <c r="CE223" s="78"/>
      <c r="CF223" s="78"/>
      <c r="CG223" s="78"/>
      <c r="CH223" s="78"/>
      <c r="CI223" s="78"/>
      <c r="CJ223" s="78"/>
      <c r="CK223" s="78"/>
      <c r="CL223" s="78"/>
      <c r="CM223" s="78"/>
      <c r="CN223" s="78"/>
      <c r="CO223" s="78"/>
      <c r="CP223" s="78"/>
      <c r="CQ223" s="78"/>
      <c r="CR223" s="78"/>
      <c r="CS223" s="78"/>
      <c r="CT223" s="78"/>
      <c r="CU223" s="78"/>
      <c r="CV223" s="78"/>
      <c r="CW223" s="78"/>
      <c r="CX223" s="78"/>
      <c r="CY223" s="78"/>
      <c r="CZ223" s="78"/>
      <c r="DA223" s="78"/>
      <c r="DB223" s="78"/>
      <c r="DC223" s="78"/>
      <c r="DD223" s="78"/>
      <c r="DE223" s="78"/>
      <c r="DF223" s="78"/>
      <c r="DG223" s="78"/>
      <c r="DH223" s="78"/>
      <c r="DI223" s="78"/>
      <c r="DJ223" s="78"/>
      <c r="DK223" s="78"/>
      <c r="DL223" s="78"/>
      <c r="DM223" s="78"/>
      <c r="DN223" s="78"/>
      <c r="DO223" s="78"/>
      <c r="DP223" s="78"/>
      <c r="DQ223" s="78"/>
      <c r="DT223" s="77"/>
      <c r="DU223" s="77"/>
      <c r="DV223" s="77"/>
      <c r="DW223" s="77"/>
      <c r="DX223" s="77"/>
      <c r="DY223" s="77"/>
      <c r="DZ223" s="77"/>
      <c r="EA223" s="77"/>
      <c r="EB223" s="77"/>
      <c r="EC223" s="76"/>
      <c r="ED223" s="76"/>
      <c r="EE223" s="76"/>
      <c r="EF223" s="76"/>
      <c r="EG223" s="76" t="e">
        <f>SUM(BB223:BE223)</f>
        <v>#REF!</v>
      </c>
      <c r="EH223" s="76" t="e">
        <f>SUM(BF223:BI223)</f>
        <v>#REF!</v>
      </c>
      <c r="EI223" s="76" t="e">
        <f>SUM(BJ223:BM223)</f>
        <v>#REF!</v>
      </c>
      <c r="EJ223" s="76">
        <f>SUM(BN223:BQ223)</f>
        <v>558</v>
      </c>
      <c r="EK223" s="76">
        <f>SUM(BR223:BU223)</f>
        <v>641</v>
      </c>
      <c r="EL223" s="76">
        <f>BV223+BW223+BX223+BY223</f>
        <v>700</v>
      </c>
      <c r="EM223" s="78"/>
      <c r="EN223" s="78"/>
      <c r="EO223" s="78"/>
      <c r="EP223" s="78"/>
      <c r="EQ223" s="78"/>
      <c r="ER223" s="78"/>
      <c r="ES223" s="78"/>
      <c r="ET223" s="78"/>
      <c r="EU223" s="78"/>
      <c r="EV223" s="78"/>
      <c r="EW223" s="78"/>
    </row>
    <row r="224" spans="1:155" s="52" customFormat="1" hidden="1" outlineLevel="1">
      <c r="A224" s="51" t="s">
        <v>223</v>
      </c>
      <c r="BC224" s="52" t="e">
        <f t="shared" ref="BC224:BV224" si="328">BC223/BB223-1</f>
        <v>#REF!</v>
      </c>
      <c r="BD224" s="52" t="e">
        <f t="shared" si="328"/>
        <v>#REF!</v>
      </c>
      <c r="BE224" s="52" t="e">
        <f t="shared" si="328"/>
        <v>#REF!</v>
      </c>
      <c r="BF224" s="52" t="e">
        <f t="shared" si="328"/>
        <v>#REF!</v>
      </c>
      <c r="BG224" s="52" t="e">
        <f t="shared" si="328"/>
        <v>#REF!</v>
      </c>
      <c r="BH224" s="52" t="e">
        <f t="shared" si="328"/>
        <v>#REF!</v>
      </c>
      <c r="BI224" s="52" t="e">
        <f t="shared" si="328"/>
        <v>#REF!</v>
      </c>
      <c r="BJ224" s="52" t="e">
        <f t="shared" si="328"/>
        <v>#REF!</v>
      </c>
      <c r="BK224" s="52" t="e">
        <f t="shared" si="328"/>
        <v>#REF!</v>
      </c>
      <c r="BL224" s="52" t="e">
        <f t="shared" si="328"/>
        <v>#REF!</v>
      </c>
      <c r="BM224" s="52">
        <f t="shared" si="328"/>
        <v>7.8740157480314821E-3</v>
      </c>
      <c r="BN224" s="52">
        <f t="shared" si="328"/>
        <v>9.375E-2</v>
      </c>
      <c r="BO224" s="52">
        <f t="shared" si="328"/>
        <v>1.4285714285714235E-2</v>
      </c>
      <c r="BP224" s="52">
        <f t="shared" si="328"/>
        <v>1.4084507042253502E-2</v>
      </c>
      <c r="BQ224" s="52">
        <f t="shared" si="328"/>
        <v>-8.333333333333337E-2</v>
      </c>
      <c r="BR224" s="52">
        <f t="shared" si="328"/>
        <v>9.8484848484848397E-2</v>
      </c>
      <c r="BS224" s="52">
        <f t="shared" si="328"/>
        <v>0.1103448275862069</v>
      </c>
      <c r="BT224" s="52">
        <f t="shared" si="328"/>
        <v>6.8322981366459645E-2</v>
      </c>
      <c r="BU224" s="52">
        <f t="shared" si="328"/>
        <v>-5.2325581395348819E-2</v>
      </c>
      <c r="BV224" s="52">
        <f t="shared" si="328"/>
        <v>1.8404907975460016E-2</v>
      </c>
      <c r="BW224" s="52">
        <f>BW223/BV223-1</f>
        <v>0.25903614457831314</v>
      </c>
      <c r="BX224" s="52">
        <f>BX223/BW223-1</f>
        <v>-0.22488038277511957</v>
      </c>
      <c r="BY224" s="52">
        <f>BY223/BX223-1</f>
        <v>6.1728395061728669E-3</v>
      </c>
      <c r="BZ224" s="53"/>
      <c r="CA224" s="53"/>
      <c r="CB224" s="53"/>
      <c r="CC224" s="53"/>
      <c r="CD224" s="53"/>
      <c r="CE224" s="53"/>
      <c r="CF224" s="53"/>
      <c r="CG224" s="53"/>
      <c r="CH224" s="53"/>
      <c r="CI224" s="53"/>
      <c r="CJ224" s="53"/>
      <c r="CK224" s="53"/>
      <c r="CL224" s="53"/>
      <c r="CM224" s="53"/>
      <c r="CN224" s="53"/>
      <c r="CO224" s="53"/>
      <c r="CP224" s="53"/>
      <c r="CQ224" s="53"/>
      <c r="CR224" s="53"/>
      <c r="CS224" s="53"/>
      <c r="CT224" s="53"/>
      <c r="CU224" s="53"/>
      <c r="CV224" s="53"/>
      <c r="CW224" s="53"/>
      <c r="CX224" s="53"/>
      <c r="CY224" s="53"/>
      <c r="CZ224" s="53"/>
      <c r="DA224" s="53"/>
      <c r="DB224" s="53"/>
      <c r="DC224" s="53"/>
      <c r="DD224" s="53"/>
      <c r="DE224" s="53"/>
      <c r="DF224" s="53"/>
      <c r="DG224" s="53"/>
      <c r="DH224" s="53"/>
      <c r="DI224" s="53"/>
      <c r="DJ224" s="53"/>
      <c r="DK224" s="53"/>
      <c r="DL224" s="53"/>
      <c r="DM224" s="53"/>
      <c r="DN224" s="53"/>
      <c r="DO224" s="53"/>
      <c r="DP224" s="53"/>
      <c r="DQ224" s="53"/>
      <c r="EJ224" s="91"/>
      <c r="EK224" s="91"/>
      <c r="EL224" s="91"/>
      <c r="EM224" s="100"/>
      <c r="EN224" s="100"/>
      <c r="EO224" s="100"/>
      <c r="EP224" s="100"/>
      <c r="EQ224" s="100"/>
      <c r="ER224" s="100"/>
      <c r="ES224" s="100"/>
      <c r="ET224" s="100"/>
      <c r="EU224" s="100"/>
      <c r="EV224" s="100"/>
      <c r="EW224" s="100"/>
      <c r="EY224" s="56"/>
    </row>
    <row r="225" spans="1:155" s="52" customFormat="1" hidden="1" outlineLevel="1">
      <c r="A225" s="51" t="s">
        <v>225</v>
      </c>
      <c r="BF225" s="52" t="e">
        <f>BF223/BB223-1</f>
        <v>#REF!</v>
      </c>
      <c r="BG225" s="52" t="e">
        <f>BG223/BC223-1</f>
        <v>#REF!</v>
      </c>
      <c r="BH225" s="52" t="e">
        <f>BH223/BD223-1</f>
        <v>#REF!</v>
      </c>
      <c r="BI225" s="52" t="e">
        <f>BI223/BE223-1</f>
        <v>#REF!</v>
      </c>
      <c r="BJ225" s="52" t="e">
        <f>BJ223/BF223-1</f>
        <v>#REF!</v>
      </c>
      <c r="BK225" s="52" t="e">
        <f t="shared" ref="BK225:BV225" si="329">BK223/BG223-1</f>
        <v>#REF!</v>
      </c>
      <c r="BL225" s="52" t="e">
        <f t="shared" si="329"/>
        <v>#REF!</v>
      </c>
      <c r="BM225" s="52" t="e">
        <f t="shared" si="329"/>
        <v>#REF!</v>
      </c>
      <c r="BN225" s="52" t="e">
        <f t="shared" si="329"/>
        <v>#REF!</v>
      </c>
      <c r="BO225" s="52" t="e">
        <f t="shared" si="329"/>
        <v>#REF!</v>
      </c>
      <c r="BP225" s="52">
        <f t="shared" si="329"/>
        <v>0.13385826771653542</v>
      </c>
      <c r="BQ225" s="52">
        <f t="shared" si="329"/>
        <v>3.125E-2</v>
      </c>
      <c r="BR225" s="52">
        <f t="shared" si="329"/>
        <v>3.5714285714285809E-2</v>
      </c>
      <c r="BS225" s="52">
        <f t="shared" si="329"/>
        <v>0.13380281690140849</v>
      </c>
      <c r="BT225" s="52">
        <f t="shared" si="329"/>
        <v>0.19444444444444442</v>
      </c>
      <c r="BU225" s="52">
        <f t="shared" si="329"/>
        <v>0.23484848484848486</v>
      </c>
      <c r="BV225" s="52">
        <f t="shared" si="329"/>
        <v>0.14482758620689662</v>
      </c>
      <c r="BW225" s="52">
        <f>BW223/BS223-1</f>
        <v>0.29813664596273282</v>
      </c>
      <c r="BX225" s="52">
        <f>BX223/BT223-1</f>
        <v>-5.8139534883720922E-2</v>
      </c>
      <c r="BY225" s="52">
        <f>BY223/BU223-1</f>
        <v>0</v>
      </c>
      <c r="BZ225" s="53"/>
      <c r="CA225" s="53"/>
      <c r="CB225" s="53"/>
      <c r="CC225" s="53"/>
      <c r="CD225" s="53"/>
      <c r="CE225" s="53"/>
      <c r="CF225" s="53"/>
      <c r="CG225" s="53"/>
      <c r="CH225" s="53"/>
      <c r="CI225" s="53"/>
      <c r="CJ225" s="53"/>
      <c r="CK225" s="53"/>
      <c r="CL225" s="53"/>
      <c r="CM225" s="53"/>
      <c r="CN225" s="53"/>
      <c r="CO225" s="53"/>
      <c r="CP225" s="53"/>
      <c r="CQ225" s="53"/>
      <c r="CR225" s="53"/>
      <c r="CS225" s="53"/>
      <c r="CT225" s="53"/>
      <c r="CU225" s="53"/>
      <c r="CV225" s="53"/>
      <c r="CW225" s="53"/>
      <c r="CX225" s="53"/>
      <c r="CY225" s="53"/>
      <c r="CZ225" s="53"/>
      <c r="DA225" s="53"/>
      <c r="DB225" s="53"/>
      <c r="DC225" s="53"/>
      <c r="DD225" s="53"/>
      <c r="DE225" s="53"/>
      <c r="DF225" s="53"/>
      <c r="DG225" s="53"/>
      <c r="DH225" s="53"/>
      <c r="DI225" s="53"/>
      <c r="DJ225" s="53"/>
      <c r="DK225" s="53"/>
      <c r="DL225" s="53"/>
      <c r="DM225" s="53"/>
      <c r="DN225" s="53"/>
      <c r="DO225" s="53"/>
      <c r="DP225" s="53"/>
      <c r="DQ225" s="53"/>
      <c r="EH225" s="52" t="e">
        <f>EH223/EG223-1</f>
        <v>#REF!</v>
      </c>
      <c r="EI225" s="52" t="e">
        <f>EI223/EH223-1</f>
        <v>#REF!</v>
      </c>
      <c r="EJ225" s="52" t="e">
        <f>EJ223/EI223-1</f>
        <v>#REF!</v>
      </c>
      <c r="EK225" s="52">
        <f>EK223/EJ223-1</f>
        <v>0.14874551971326166</v>
      </c>
      <c r="EL225" s="52">
        <f>EL223/EK223-1</f>
        <v>9.2043681747269845E-2</v>
      </c>
      <c r="EM225" s="57"/>
      <c r="EN225" s="57"/>
      <c r="EO225" s="57"/>
      <c r="EP225" s="57"/>
      <c r="EQ225" s="57"/>
      <c r="ER225" s="57"/>
      <c r="ES225" s="57"/>
      <c r="ET225" s="57"/>
      <c r="EU225" s="57"/>
      <c r="EV225" s="57"/>
      <c r="EW225" s="57"/>
      <c r="EY225" s="56"/>
    </row>
    <row r="226" spans="1:155" s="52" customFormat="1" hidden="1" outlineLevel="1">
      <c r="A226" s="51" t="s">
        <v>270</v>
      </c>
      <c r="BB226" s="52" t="e">
        <f t="shared" ref="BB226:BY226" si="330">BB223/BB$254</f>
        <v>#REF!</v>
      </c>
      <c r="BC226" s="52" t="e">
        <f t="shared" si="330"/>
        <v>#REF!</v>
      </c>
      <c r="BD226" s="52" t="e">
        <f t="shared" si="330"/>
        <v>#REF!</v>
      </c>
      <c r="BE226" s="52" t="e">
        <f t="shared" si="330"/>
        <v>#REF!</v>
      </c>
      <c r="BF226" s="52" t="e">
        <f t="shared" si="330"/>
        <v>#REF!</v>
      </c>
      <c r="BG226" s="52" t="e">
        <f t="shared" si="330"/>
        <v>#REF!</v>
      </c>
      <c r="BH226" s="52" t="e">
        <f t="shared" si="330"/>
        <v>#REF!</v>
      </c>
      <c r="BI226" s="52" t="e">
        <f t="shared" si="330"/>
        <v>#REF!</v>
      </c>
      <c r="BJ226" s="52" t="e">
        <f t="shared" si="330"/>
        <v>#REF!</v>
      </c>
      <c r="BK226" s="52" t="e">
        <f t="shared" si="330"/>
        <v>#REF!</v>
      </c>
      <c r="BL226" s="52" t="e">
        <f t="shared" si="330"/>
        <v>#REF!</v>
      </c>
      <c r="BM226" s="52" t="e">
        <f t="shared" si="330"/>
        <v>#REF!</v>
      </c>
      <c r="BN226" s="52" t="e">
        <f t="shared" si="330"/>
        <v>#REF!</v>
      </c>
      <c r="BO226" s="52">
        <f t="shared" si="330"/>
        <v>6.3677130044843044E-2</v>
      </c>
      <c r="BP226" s="52">
        <f t="shared" si="330"/>
        <v>5.4628224582701064E-2</v>
      </c>
      <c r="BQ226" s="52">
        <f t="shared" si="330"/>
        <v>4.5345242184816212E-2</v>
      </c>
      <c r="BR226" s="52">
        <f t="shared" si="330"/>
        <v>4.5213595260367945E-2</v>
      </c>
      <c r="BS226" s="52">
        <f t="shared" si="330"/>
        <v>5.1552993916106307E-2</v>
      </c>
      <c r="BT226" s="52">
        <f t="shared" si="330"/>
        <v>5.4071046840616158E-2</v>
      </c>
      <c r="BU226" s="52">
        <f t="shared" si="330"/>
        <v>7.3922902494331061E-2</v>
      </c>
      <c r="BV226" s="52">
        <f t="shared" si="330"/>
        <v>7.4774774774774774E-2</v>
      </c>
      <c r="BW226" s="52">
        <f t="shared" si="330"/>
        <v>8.1039162466072123E-2</v>
      </c>
      <c r="BX226" s="52">
        <f t="shared" si="330"/>
        <v>5.3749170537491703E-2</v>
      </c>
      <c r="BY226" s="52">
        <f t="shared" si="330"/>
        <v>5.2495974235104673E-2</v>
      </c>
      <c r="BZ226" s="53"/>
      <c r="CA226" s="53"/>
      <c r="CB226" s="53"/>
      <c r="CC226" s="53"/>
      <c r="CD226" s="53"/>
      <c r="CE226" s="53"/>
      <c r="CF226" s="53"/>
      <c r="CG226" s="53"/>
      <c r="CH226" s="53"/>
      <c r="CI226" s="53"/>
      <c r="CJ226" s="53"/>
      <c r="CK226" s="53"/>
      <c r="CL226" s="53"/>
      <c r="CM226" s="53"/>
      <c r="CN226" s="53"/>
      <c r="CO226" s="53"/>
      <c r="CP226" s="53"/>
      <c r="CQ226" s="53"/>
      <c r="CR226" s="53"/>
      <c r="CS226" s="53"/>
      <c r="CT226" s="53"/>
      <c r="CU226" s="53"/>
      <c r="CV226" s="53"/>
      <c r="CW226" s="53"/>
      <c r="CX226" s="53"/>
      <c r="CY226" s="53"/>
      <c r="CZ226" s="53"/>
      <c r="DA226" s="53"/>
      <c r="DB226" s="53"/>
      <c r="DC226" s="53"/>
      <c r="DD226" s="53"/>
      <c r="DE226" s="53"/>
      <c r="DF226" s="53"/>
      <c r="DG226" s="53"/>
      <c r="DH226" s="53"/>
      <c r="DI226" s="53"/>
      <c r="DJ226" s="53"/>
      <c r="DK226" s="53"/>
      <c r="DL226" s="53"/>
      <c r="DM226" s="53"/>
      <c r="DN226" s="53"/>
      <c r="DO226" s="53"/>
      <c r="DP226" s="53"/>
      <c r="DQ226" s="53"/>
      <c r="EM226" s="53"/>
      <c r="EN226" s="53"/>
      <c r="EO226" s="53"/>
      <c r="EP226" s="53"/>
      <c r="EQ226" s="53"/>
      <c r="ER226" s="53"/>
      <c r="ES226" s="53"/>
      <c r="ET226" s="53"/>
      <c r="EU226" s="53"/>
      <c r="EV226" s="53"/>
      <c r="EW226" s="53"/>
    </row>
    <row r="227" spans="1:155" s="49" customFormat="1" hidden="1" outlineLevel="1">
      <c r="A227" s="76" t="s">
        <v>315</v>
      </c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6"/>
      <c r="AY227" s="76"/>
      <c r="AZ227" s="76"/>
      <c r="BA227" s="76"/>
      <c r="BB227" s="76" t="e">
        <f t="shared" ref="BB227:BY227" si="331">BB219+BB75</f>
        <v>#REF!</v>
      </c>
      <c r="BC227" s="76" t="e">
        <f t="shared" si="331"/>
        <v>#REF!</v>
      </c>
      <c r="BD227" s="76" t="e">
        <f t="shared" si="331"/>
        <v>#REF!</v>
      </c>
      <c r="BE227" s="76" t="e">
        <f t="shared" si="331"/>
        <v>#REF!</v>
      </c>
      <c r="BF227" s="76" t="e">
        <f t="shared" si="331"/>
        <v>#REF!</v>
      </c>
      <c r="BG227" s="76" t="e">
        <f t="shared" si="331"/>
        <v>#REF!</v>
      </c>
      <c r="BH227" s="76" t="e">
        <f t="shared" si="331"/>
        <v>#REF!</v>
      </c>
      <c r="BI227" s="76" t="e">
        <f t="shared" si="331"/>
        <v>#REF!</v>
      </c>
      <c r="BJ227" s="76" t="e">
        <f t="shared" si="331"/>
        <v>#REF!</v>
      </c>
      <c r="BK227" s="76" t="e">
        <f t="shared" si="331"/>
        <v>#REF!</v>
      </c>
      <c r="BL227" s="76" t="e">
        <f t="shared" si="331"/>
        <v>#REF!</v>
      </c>
      <c r="BM227" s="76" t="e">
        <f t="shared" si="331"/>
        <v>#REF!</v>
      </c>
      <c r="BN227" s="76" t="e">
        <f t="shared" si="331"/>
        <v>#REF!</v>
      </c>
      <c r="BO227" s="76" t="e">
        <f t="shared" si="331"/>
        <v>#REF!</v>
      </c>
      <c r="BP227" s="76" t="e">
        <f t="shared" si="331"/>
        <v>#REF!</v>
      </c>
      <c r="BQ227" s="76" t="e">
        <f t="shared" si="331"/>
        <v>#REF!</v>
      </c>
      <c r="BR227" s="76" t="e">
        <f t="shared" si="331"/>
        <v>#REF!</v>
      </c>
      <c r="BS227" s="76" t="e">
        <f t="shared" si="331"/>
        <v>#REF!</v>
      </c>
      <c r="BT227" s="76" t="e">
        <f t="shared" si="331"/>
        <v>#REF!</v>
      </c>
      <c r="BU227" s="76" t="e">
        <f t="shared" si="331"/>
        <v>#REF!</v>
      </c>
      <c r="BV227" s="76" t="e">
        <f t="shared" si="331"/>
        <v>#REF!</v>
      </c>
      <c r="BW227" s="76" t="e">
        <f t="shared" si="331"/>
        <v>#REF!</v>
      </c>
      <c r="BX227" s="76" t="e">
        <f t="shared" si="331"/>
        <v>#REF!</v>
      </c>
      <c r="BY227" s="76" t="e">
        <f t="shared" si="331"/>
        <v>#REF!</v>
      </c>
      <c r="BZ227" s="78"/>
      <c r="CA227" s="78"/>
      <c r="CB227" s="78"/>
      <c r="CC227" s="78"/>
      <c r="CD227" s="78"/>
      <c r="CE227" s="78"/>
      <c r="CF227" s="78"/>
      <c r="CG227" s="78"/>
      <c r="CH227" s="78"/>
      <c r="CI227" s="78"/>
      <c r="CJ227" s="78"/>
      <c r="CK227" s="78"/>
      <c r="CL227" s="78"/>
      <c r="CM227" s="78"/>
      <c r="CN227" s="78"/>
      <c r="CO227" s="78"/>
      <c r="CP227" s="78"/>
      <c r="CQ227" s="78"/>
      <c r="CR227" s="78"/>
      <c r="CS227" s="78"/>
      <c r="CT227" s="78"/>
      <c r="CU227" s="78"/>
      <c r="CV227" s="78"/>
      <c r="CW227" s="78"/>
      <c r="CX227" s="78"/>
      <c r="CY227" s="78"/>
      <c r="CZ227" s="78"/>
      <c r="DA227" s="78"/>
      <c r="DB227" s="78"/>
      <c r="DC227" s="78"/>
      <c r="DD227" s="78"/>
      <c r="DE227" s="78"/>
      <c r="DF227" s="78"/>
      <c r="DG227" s="78"/>
      <c r="DH227" s="78"/>
      <c r="DI227" s="78"/>
      <c r="DJ227" s="78"/>
      <c r="DK227" s="78"/>
      <c r="DL227" s="78"/>
      <c r="DM227" s="78"/>
      <c r="DN227" s="78"/>
      <c r="DO227" s="78"/>
      <c r="DP227" s="78"/>
      <c r="DQ227" s="78"/>
      <c r="DT227" s="77"/>
      <c r="DU227" s="77"/>
      <c r="DV227" s="77"/>
      <c r="DW227" s="77"/>
      <c r="DX227" s="77"/>
      <c r="DY227" s="77"/>
      <c r="DZ227" s="77"/>
      <c r="EA227" s="77"/>
      <c r="EB227" s="77"/>
      <c r="EC227" s="76"/>
      <c r="ED227" s="76"/>
      <c r="EE227" s="76"/>
      <c r="EF227" s="76"/>
      <c r="EG227" s="76" t="e">
        <f>SUM(BB227:BE227)</f>
        <v>#REF!</v>
      </c>
      <c r="EH227" s="76" t="e">
        <f>SUM(BF227:BI227)</f>
        <v>#REF!</v>
      </c>
      <c r="EI227" s="76" t="e">
        <f>SUM(BJ227:BM227)</f>
        <v>#REF!</v>
      </c>
      <c r="EJ227" s="76" t="e">
        <f>SUM(BN227:BQ227)</f>
        <v>#REF!</v>
      </c>
      <c r="EK227" s="76" t="e">
        <f>SUM(BR227:BU227)</f>
        <v>#REF!</v>
      </c>
      <c r="EL227" s="76" t="e">
        <f>BV227+BW227+BX227+BY227</f>
        <v>#REF!</v>
      </c>
      <c r="EM227" s="78"/>
      <c r="EN227" s="78"/>
      <c r="EO227" s="78"/>
      <c r="EP227" s="78"/>
      <c r="EQ227" s="78"/>
      <c r="ER227" s="78"/>
      <c r="ES227" s="78"/>
      <c r="ET227" s="78"/>
      <c r="EU227" s="78"/>
      <c r="EV227" s="78"/>
      <c r="EW227" s="78"/>
    </row>
    <row r="228" spans="1:155" ht="11.25" hidden="1" customHeight="1" outlineLevel="1">
      <c r="A228" s="69"/>
      <c r="BB228" s="93" t="e">
        <f t="shared" ref="BB228:BY228" si="332">BB227+BB79+BB87+BB115+BB95+BB111</f>
        <v>#REF!</v>
      </c>
      <c r="BC228" s="93" t="e">
        <f t="shared" si="332"/>
        <v>#REF!</v>
      </c>
      <c r="BD228" s="93" t="e">
        <f t="shared" si="332"/>
        <v>#REF!</v>
      </c>
      <c r="BE228" s="93" t="e">
        <f t="shared" si="332"/>
        <v>#REF!</v>
      </c>
      <c r="BF228" s="93" t="e">
        <f t="shared" si="332"/>
        <v>#REF!</v>
      </c>
      <c r="BG228" s="93" t="e">
        <f t="shared" si="332"/>
        <v>#REF!</v>
      </c>
      <c r="BH228" s="93" t="e">
        <f t="shared" si="332"/>
        <v>#REF!</v>
      </c>
      <c r="BI228" s="93" t="e">
        <f t="shared" si="332"/>
        <v>#REF!</v>
      </c>
      <c r="BJ228" s="93" t="e">
        <f t="shared" si="332"/>
        <v>#REF!</v>
      </c>
      <c r="BK228" s="93" t="e">
        <f t="shared" si="332"/>
        <v>#REF!</v>
      </c>
      <c r="BL228" s="93" t="e">
        <f t="shared" si="332"/>
        <v>#REF!</v>
      </c>
      <c r="BM228" s="93" t="e">
        <f t="shared" si="332"/>
        <v>#REF!</v>
      </c>
      <c r="BN228" s="93" t="e">
        <f t="shared" si="332"/>
        <v>#REF!</v>
      </c>
      <c r="BO228" s="93" t="e">
        <f t="shared" si="332"/>
        <v>#REF!</v>
      </c>
      <c r="BP228" s="93" t="e">
        <f t="shared" si="332"/>
        <v>#REF!</v>
      </c>
      <c r="BQ228" s="93" t="e">
        <f t="shared" si="332"/>
        <v>#REF!</v>
      </c>
      <c r="BR228" s="93" t="e">
        <f t="shared" si="332"/>
        <v>#REF!</v>
      </c>
      <c r="BS228" s="93" t="e">
        <f t="shared" si="332"/>
        <v>#REF!</v>
      </c>
      <c r="BT228" s="93" t="e">
        <f t="shared" si="332"/>
        <v>#REF!</v>
      </c>
      <c r="BU228" s="93" t="e">
        <f t="shared" si="332"/>
        <v>#REF!</v>
      </c>
      <c r="BV228" s="93" t="e">
        <f t="shared" si="332"/>
        <v>#REF!</v>
      </c>
      <c r="BW228" s="93" t="e">
        <f t="shared" si="332"/>
        <v>#REF!</v>
      </c>
      <c r="BX228" s="93" t="e">
        <f t="shared" si="332"/>
        <v>#REF!</v>
      </c>
      <c r="BY228" s="93" t="e">
        <f t="shared" si="332"/>
        <v>#REF!</v>
      </c>
      <c r="BZ228" s="93"/>
      <c r="CA228" s="93"/>
      <c r="CB228" s="93"/>
      <c r="CC228" s="93"/>
      <c r="CD228" s="93"/>
      <c r="CE228" s="93"/>
      <c r="CF228" s="93"/>
      <c r="CG228" s="93"/>
      <c r="CH228" s="93"/>
      <c r="CI228" s="93"/>
      <c r="CJ228" s="93"/>
      <c r="CK228" s="93"/>
      <c r="CL228" s="93"/>
      <c r="CM228" s="93"/>
      <c r="CN228" s="93"/>
      <c r="CO228" s="93"/>
      <c r="CP228" s="93"/>
      <c r="CQ228" s="93"/>
      <c r="CR228" s="93"/>
      <c r="CS228" s="93"/>
      <c r="CT228" s="93"/>
      <c r="CU228" s="93"/>
      <c r="CV228" s="93"/>
      <c r="CW228" s="93"/>
      <c r="CX228" s="93"/>
      <c r="CY228" s="93"/>
      <c r="CZ228" s="93"/>
      <c r="DA228" s="93"/>
      <c r="DB228" s="93"/>
      <c r="DC228" s="93"/>
      <c r="DD228" s="93"/>
      <c r="DE228" s="93"/>
      <c r="DF228" s="93"/>
      <c r="DG228" s="93"/>
      <c r="DH228" s="93"/>
      <c r="DI228" s="93"/>
      <c r="DJ228" s="93"/>
      <c r="DK228" s="93"/>
      <c r="DL228" s="93"/>
      <c r="DM228" s="93"/>
      <c r="DN228" s="93"/>
      <c r="DO228" s="93"/>
      <c r="DP228" s="93"/>
      <c r="DQ228" s="93"/>
    </row>
    <row r="229" spans="1:155" ht="11.25" hidden="1" customHeight="1" outlineLevel="1">
      <c r="A229" s="69"/>
      <c r="BB229" s="68" t="e">
        <f t="shared" ref="BB229:BY229" si="333">BB228-BB5</f>
        <v>#REF!</v>
      </c>
      <c r="BC229" s="68" t="e">
        <f t="shared" si="333"/>
        <v>#REF!</v>
      </c>
      <c r="BD229" s="68" t="e">
        <f t="shared" si="333"/>
        <v>#REF!</v>
      </c>
      <c r="BE229" s="68" t="e">
        <f t="shared" si="333"/>
        <v>#REF!</v>
      </c>
      <c r="BF229" s="68" t="e">
        <f t="shared" si="333"/>
        <v>#REF!</v>
      </c>
      <c r="BG229" s="68" t="e">
        <f t="shared" si="333"/>
        <v>#REF!</v>
      </c>
      <c r="BH229" s="68" t="e">
        <f t="shared" si="333"/>
        <v>#REF!</v>
      </c>
      <c r="BI229" s="68" t="e">
        <f t="shared" si="333"/>
        <v>#REF!</v>
      </c>
      <c r="BJ229" s="68" t="e">
        <f t="shared" si="333"/>
        <v>#REF!</v>
      </c>
      <c r="BK229" s="68" t="e">
        <f t="shared" si="333"/>
        <v>#REF!</v>
      </c>
      <c r="BL229" s="68" t="e">
        <f t="shared" si="333"/>
        <v>#REF!</v>
      </c>
      <c r="BM229" s="68" t="e">
        <f t="shared" si="333"/>
        <v>#REF!</v>
      </c>
      <c r="BN229" s="68" t="e">
        <f t="shared" si="333"/>
        <v>#REF!</v>
      </c>
      <c r="BO229" s="68" t="e">
        <f t="shared" si="333"/>
        <v>#REF!</v>
      </c>
      <c r="BP229" s="68" t="e">
        <f t="shared" si="333"/>
        <v>#REF!</v>
      </c>
      <c r="BQ229" s="68" t="e">
        <f t="shared" si="333"/>
        <v>#REF!</v>
      </c>
      <c r="BR229" s="68" t="e">
        <f t="shared" si="333"/>
        <v>#REF!</v>
      </c>
      <c r="BS229" s="68" t="e">
        <f t="shared" si="333"/>
        <v>#REF!</v>
      </c>
      <c r="BT229" s="68" t="e">
        <f t="shared" si="333"/>
        <v>#REF!</v>
      </c>
      <c r="BU229" s="68" t="e">
        <f t="shared" si="333"/>
        <v>#REF!</v>
      </c>
      <c r="BV229" s="68" t="e">
        <f t="shared" si="333"/>
        <v>#REF!</v>
      </c>
      <c r="BW229" s="68" t="e">
        <f t="shared" si="333"/>
        <v>#REF!</v>
      </c>
      <c r="BX229" s="68" t="e">
        <f t="shared" si="333"/>
        <v>#REF!</v>
      </c>
      <c r="BY229" s="68" t="e">
        <f t="shared" si="333"/>
        <v>#REF!</v>
      </c>
      <c r="BZ229" s="68"/>
      <c r="CA229" s="68"/>
      <c r="CB229" s="68"/>
      <c r="CC229" s="68"/>
      <c r="CD229" s="68"/>
      <c r="CE229" s="68"/>
      <c r="CF229" s="68"/>
      <c r="CG229" s="68"/>
      <c r="CH229" s="68"/>
      <c r="CI229" s="68"/>
      <c r="CJ229" s="68"/>
      <c r="CK229" s="68"/>
      <c r="CL229" s="68"/>
      <c r="CM229" s="68"/>
      <c r="CN229" s="68"/>
      <c r="CO229" s="68"/>
      <c r="CP229" s="68"/>
      <c r="CQ229" s="68"/>
      <c r="CR229" s="68"/>
      <c r="CS229" s="68"/>
      <c r="CT229" s="68"/>
      <c r="CU229" s="68"/>
      <c r="CV229" s="68"/>
      <c r="CW229" s="68"/>
      <c r="CX229" s="68"/>
      <c r="CY229" s="68"/>
      <c r="CZ229" s="68"/>
      <c r="DA229" s="68"/>
      <c r="DB229" s="68"/>
      <c r="DC229" s="68"/>
      <c r="DD229" s="68"/>
      <c r="DE229" s="68"/>
      <c r="DF229" s="68"/>
      <c r="DG229" s="68"/>
      <c r="DH229" s="68"/>
      <c r="DI229" s="68"/>
      <c r="DJ229" s="68"/>
      <c r="DK229" s="68"/>
      <c r="DL229" s="68"/>
      <c r="DM229" s="68"/>
      <c r="DN229" s="68"/>
      <c r="DO229" s="68"/>
      <c r="DP229" s="68"/>
      <c r="DQ229" s="68"/>
    </row>
    <row r="230" spans="1:155" ht="11.25" hidden="1" customHeight="1" outlineLevel="1">
      <c r="A230" s="69"/>
      <c r="BB230" s="68"/>
      <c r="BC230" s="68"/>
      <c r="BD230" s="68"/>
      <c r="BE230" s="68"/>
      <c r="BF230" s="68"/>
      <c r="BG230" s="68"/>
      <c r="BH230" s="68"/>
      <c r="BI230" s="68"/>
      <c r="BJ230" s="68"/>
      <c r="BK230" s="68"/>
      <c r="BL230" s="68"/>
      <c r="BM230" s="68"/>
      <c r="BN230" s="68"/>
      <c r="BO230" s="68"/>
      <c r="BP230" s="68"/>
      <c r="BQ230" s="68"/>
      <c r="BR230" s="68"/>
      <c r="BS230" s="68"/>
      <c r="BT230" s="68"/>
      <c r="BU230" s="68"/>
      <c r="BV230" s="68"/>
      <c r="BW230" s="68"/>
      <c r="BX230" s="68"/>
      <c r="BY230" s="68"/>
      <c r="BZ230" s="68"/>
      <c r="CA230" s="68"/>
      <c r="CB230" s="68"/>
      <c r="CC230" s="68"/>
      <c r="CD230" s="68"/>
      <c r="CE230" s="68"/>
      <c r="CF230" s="68"/>
      <c r="CG230" s="68"/>
      <c r="CH230" s="68"/>
      <c r="CI230" s="68"/>
      <c r="CJ230" s="68"/>
      <c r="CK230" s="68"/>
      <c r="CL230" s="68"/>
      <c r="CM230" s="68"/>
      <c r="CN230" s="68"/>
      <c r="CO230" s="68"/>
      <c r="CP230" s="68"/>
      <c r="CQ230" s="68"/>
      <c r="CR230" s="68"/>
      <c r="CS230" s="68"/>
      <c r="CT230" s="68"/>
      <c r="CU230" s="68"/>
      <c r="CV230" s="68"/>
      <c r="CW230" s="68"/>
      <c r="CX230" s="68"/>
      <c r="CY230" s="68"/>
      <c r="CZ230" s="68"/>
      <c r="DA230" s="68"/>
      <c r="DB230" s="68"/>
      <c r="DC230" s="68"/>
      <c r="DD230" s="68"/>
      <c r="DE230" s="68"/>
      <c r="DF230" s="68"/>
      <c r="DG230" s="68"/>
      <c r="DH230" s="68"/>
      <c r="DI230" s="68"/>
      <c r="DJ230" s="68"/>
      <c r="DK230" s="68"/>
      <c r="DL230" s="68"/>
      <c r="DM230" s="68"/>
      <c r="DN230" s="68"/>
      <c r="DO230" s="68"/>
      <c r="DP230" s="68"/>
      <c r="DQ230" s="68"/>
    </row>
    <row r="231" spans="1:155" s="49" customFormat="1" hidden="1" outlineLevel="1">
      <c r="A231" s="76" t="s">
        <v>316</v>
      </c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6"/>
      <c r="AY231" s="76"/>
      <c r="AZ231" s="76"/>
      <c r="BA231" s="76"/>
      <c r="BB231" s="76"/>
      <c r="BC231" s="76"/>
      <c r="BD231" s="76"/>
      <c r="BE231" s="76"/>
      <c r="BF231" s="76"/>
      <c r="BG231" s="76"/>
      <c r="BH231" s="76"/>
      <c r="BI231" s="76"/>
      <c r="BJ231" s="76"/>
      <c r="BK231" s="76"/>
      <c r="BL231" s="76"/>
      <c r="BM231" s="76"/>
      <c r="BN231" s="76"/>
      <c r="BO231" s="76"/>
      <c r="BP231" s="76"/>
      <c r="BQ231" s="76"/>
      <c r="BR231" s="76"/>
      <c r="BS231" s="76"/>
      <c r="BT231" s="76"/>
      <c r="BU231" s="76"/>
      <c r="BV231" s="76">
        <v>1526</v>
      </c>
      <c r="BW231" s="76">
        <v>1803</v>
      </c>
      <c r="BX231" s="76">
        <v>2226</v>
      </c>
      <c r="BY231" s="76">
        <v>2084</v>
      </c>
      <c r="BZ231" s="76">
        <v>1906</v>
      </c>
      <c r="CA231" s="76">
        <v>2085</v>
      </c>
      <c r="CB231" s="76">
        <v>2787</v>
      </c>
      <c r="CC231" s="76">
        <v>3056</v>
      </c>
      <c r="CD231" s="76">
        <v>3451</v>
      </c>
      <c r="CE231" s="76">
        <v>3907</v>
      </c>
      <c r="CF231" s="76">
        <v>4092</v>
      </c>
      <c r="CG231" s="76">
        <v>4418</v>
      </c>
      <c r="CH231" s="76">
        <v>4616</v>
      </c>
      <c r="CI231" s="78"/>
      <c r="CJ231" s="78"/>
      <c r="CK231" s="78"/>
      <c r="CL231" s="78"/>
      <c r="CM231" s="78"/>
      <c r="CN231" s="78"/>
      <c r="CO231" s="78"/>
      <c r="CP231" s="78"/>
      <c r="CQ231" s="78"/>
      <c r="CR231" s="78"/>
      <c r="CS231" s="78"/>
      <c r="CT231" s="78"/>
      <c r="CU231" s="78"/>
      <c r="CV231" s="78"/>
      <c r="CW231" s="78"/>
      <c r="CX231" s="78"/>
      <c r="CY231" s="78"/>
      <c r="CZ231" s="78"/>
      <c r="DA231" s="78"/>
      <c r="DB231" s="78"/>
      <c r="DC231" s="78"/>
      <c r="DD231" s="78"/>
      <c r="DE231" s="78"/>
      <c r="DF231" s="78"/>
      <c r="DG231" s="78"/>
      <c r="DH231" s="78"/>
      <c r="DI231" s="78"/>
      <c r="DJ231" s="78"/>
      <c r="DK231" s="78"/>
      <c r="DL231" s="78"/>
      <c r="DM231" s="78"/>
      <c r="DN231" s="78"/>
      <c r="DO231" s="78"/>
      <c r="DP231" s="78"/>
      <c r="DQ231" s="78"/>
      <c r="DT231" s="77"/>
      <c r="DU231" s="77"/>
      <c r="DV231" s="77"/>
      <c r="DW231" s="77"/>
      <c r="DX231" s="77"/>
      <c r="DY231" s="77"/>
      <c r="DZ231" s="77"/>
      <c r="EA231" s="77"/>
      <c r="EB231" s="77"/>
      <c r="EC231" s="76"/>
      <c r="ED231" s="76"/>
      <c r="EE231" s="76"/>
      <c r="EF231" s="76">
        <f>SUM(AX231:BA231)</f>
        <v>0</v>
      </c>
      <c r="EG231" s="76">
        <f>SUM(BB231:BE231)</f>
        <v>0</v>
      </c>
      <c r="EH231" s="76">
        <f>SUM(BF231:BI231)</f>
        <v>0</v>
      </c>
      <c r="EI231" s="76">
        <f>SUM(BJ231:BM231)</f>
        <v>0</v>
      </c>
      <c r="EJ231" s="76">
        <f>SUM(BN231:BQ231)</f>
        <v>0</v>
      </c>
      <c r="EK231" s="76"/>
      <c r="EL231" s="76"/>
      <c r="EM231" s="78"/>
      <c r="EN231" s="78"/>
      <c r="EO231" s="78"/>
      <c r="EP231" s="78"/>
      <c r="EQ231" s="78"/>
      <c r="ER231" s="78"/>
      <c r="ES231" s="78"/>
      <c r="ET231" s="78"/>
      <c r="EU231" s="78"/>
      <c r="EV231" s="78"/>
      <c r="EW231" s="78"/>
    </row>
    <row r="232" spans="1:155" s="52" customFormat="1" hidden="1" outlineLevel="1">
      <c r="A232" s="51" t="s">
        <v>223</v>
      </c>
      <c r="BW232" s="52">
        <f t="shared" ref="BW232:CH232" si="334">BW231/BV231-1</f>
        <v>0.18152031454783746</v>
      </c>
      <c r="BX232" s="52">
        <f t="shared" si="334"/>
        <v>0.23460898502495842</v>
      </c>
      <c r="BY232" s="52">
        <f t="shared" si="334"/>
        <v>-6.3791554357592095E-2</v>
      </c>
      <c r="BZ232" s="52">
        <f t="shared" si="334"/>
        <v>-8.5412667946257237E-2</v>
      </c>
      <c r="CA232" s="52">
        <f t="shared" si="334"/>
        <v>9.3913955928646375E-2</v>
      </c>
      <c r="CB232" s="52">
        <f t="shared" si="334"/>
        <v>0.33669064748201438</v>
      </c>
      <c r="CC232" s="52">
        <f t="shared" si="334"/>
        <v>9.6519555077143826E-2</v>
      </c>
      <c r="CD232" s="52">
        <f t="shared" si="334"/>
        <v>0.12925392670157065</v>
      </c>
      <c r="CE232" s="52">
        <f t="shared" si="334"/>
        <v>0.13213561286583597</v>
      </c>
      <c r="CF232" s="52">
        <f t="shared" si="334"/>
        <v>4.7350908625543919E-2</v>
      </c>
      <c r="CG232" s="52">
        <f t="shared" si="334"/>
        <v>7.9667644183773145E-2</v>
      </c>
      <c r="CH232" s="52">
        <f t="shared" si="334"/>
        <v>4.481665912177446E-2</v>
      </c>
      <c r="CI232" s="53"/>
      <c r="CJ232" s="53"/>
      <c r="CK232" s="53"/>
      <c r="CL232" s="53"/>
      <c r="CM232" s="53"/>
      <c r="CN232" s="53"/>
      <c r="CO232" s="53"/>
      <c r="CP232" s="53"/>
      <c r="CQ232" s="53"/>
      <c r="CR232" s="53"/>
      <c r="CS232" s="53"/>
      <c r="CT232" s="53"/>
      <c r="CU232" s="53"/>
      <c r="CV232" s="53"/>
      <c r="CW232" s="53"/>
      <c r="CX232" s="53"/>
      <c r="CY232" s="53"/>
      <c r="CZ232" s="53"/>
      <c r="DA232" s="53"/>
      <c r="DB232" s="53"/>
      <c r="DC232" s="53"/>
      <c r="DD232" s="53"/>
      <c r="DE232" s="53"/>
      <c r="DF232" s="53"/>
      <c r="DG232" s="53"/>
      <c r="DH232" s="53"/>
      <c r="DI232" s="53"/>
      <c r="DJ232" s="53"/>
      <c r="DK232" s="53"/>
      <c r="DL232" s="53"/>
      <c r="DM232" s="53"/>
      <c r="DN232" s="53"/>
      <c r="DO232" s="53"/>
      <c r="DP232" s="53"/>
      <c r="DQ232" s="53"/>
      <c r="EC232" s="79"/>
      <c r="ED232" s="79"/>
      <c r="EE232" s="79"/>
      <c r="EF232" s="79"/>
      <c r="EG232" s="79"/>
      <c r="EH232" s="91"/>
      <c r="EI232" s="91"/>
      <c r="EJ232" s="91"/>
      <c r="EK232" s="91"/>
      <c r="EL232" s="91"/>
      <c r="EM232" s="100"/>
      <c r="EN232" s="100"/>
      <c r="EO232" s="100"/>
      <c r="EP232" s="100"/>
      <c r="EQ232" s="100"/>
      <c r="ER232" s="100"/>
      <c r="ES232" s="100"/>
      <c r="ET232" s="100"/>
      <c r="EU232" s="100"/>
      <c r="EV232" s="100"/>
      <c r="EW232" s="100"/>
      <c r="EY232" s="56"/>
    </row>
    <row r="233" spans="1:155" s="52" customFormat="1" hidden="1" outlineLevel="1">
      <c r="A233" s="51" t="s">
        <v>225</v>
      </c>
      <c r="BW233" s="52" t="e">
        <f t="shared" ref="BW233:CH233" si="335">BW231/BS231-1</f>
        <v>#DIV/0!</v>
      </c>
      <c r="BX233" s="52" t="e">
        <f t="shared" si="335"/>
        <v>#DIV/0!</v>
      </c>
      <c r="BY233" s="52" t="e">
        <f t="shared" si="335"/>
        <v>#DIV/0!</v>
      </c>
      <c r="BZ233" s="52">
        <f t="shared" si="335"/>
        <v>0.24901703800786379</v>
      </c>
      <c r="CA233" s="52">
        <f t="shared" si="335"/>
        <v>0.15640599001663902</v>
      </c>
      <c r="CB233" s="52">
        <f t="shared" si="335"/>
        <v>0.25202156334231796</v>
      </c>
      <c r="CC233" s="52">
        <f t="shared" si="335"/>
        <v>0.46641074856046072</v>
      </c>
      <c r="CD233" s="52">
        <f t="shared" si="335"/>
        <v>0.81059811122770209</v>
      </c>
      <c r="CE233" s="52">
        <f t="shared" si="335"/>
        <v>0.8738609112709832</v>
      </c>
      <c r="CF233" s="52">
        <f t="shared" si="335"/>
        <v>0.46824542518837453</v>
      </c>
      <c r="CG233" s="52">
        <f t="shared" si="335"/>
        <v>0.44568062827225141</v>
      </c>
      <c r="CH233" s="52">
        <f t="shared" si="335"/>
        <v>0.3375833091857432</v>
      </c>
      <c r="CI233" s="53"/>
      <c r="CJ233" s="53"/>
      <c r="CK233" s="53"/>
      <c r="CL233" s="53"/>
      <c r="CM233" s="53"/>
      <c r="CN233" s="53"/>
      <c r="CO233" s="53"/>
      <c r="CP233" s="53"/>
      <c r="CQ233" s="53"/>
      <c r="CR233" s="53"/>
      <c r="CS233" s="53"/>
      <c r="CT233" s="53"/>
      <c r="CU233" s="53"/>
      <c r="CV233" s="53"/>
      <c r="CW233" s="53"/>
      <c r="CX233" s="53"/>
      <c r="CY233" s="53"/>
      <c r="CZ233" s="53"/>
      <c r="DA233" s="53"/>
      <c r="DB233" s="53"/>
      <c r="DC233" s="53"/>
      <c r="DD233" s="53"/>
      <c r="DE233" s="53"/>
      <c r="DF233" s="53"/>
      <c r="DG233" s="53"/>
      <c r="DH233" s="53"/>
      <c r="DI233" s="53"/>
      <c r="DJ233" s="53"/>
      <c r="DK233" s="53"/>
      <c r="DL233" s="53"/>
      <c r="DM233" s="53"/>
      <c r="DN233" s="53"/>
      <c r="DO233" s="53"/>
      <c r="DP233" s="53"/>
      <c r="DQ233" s="53"/>
      <c r="EC233" s="79"/>
      <c r="ED233" s="79"/>
      <c r="EE233" s="79"/>
      <c r="EF233" s="79"/>
      <c r="EG233" s="91" t="e">
        <f>EG231/EF231-1</f>
        <v>#DIV/0!</v>
      </c>
      <c r="EH233" s="52" t="e">
        <f>EH231/EG231-1</f>
        <v>#DIV/0!</v>
      </c>
      <c r="EI233" s="52" t="e">
        <f>EI231/EH231-1</f>
        <v>#DIV/0!</v>
      </c>
      <c r="EJ233" s="52" t="e">
        <f>EJ231/EI231-1</f>
        <v>#DIV/0!</v>
      </c>
      <c r="EM233" s="57"/>
      <c r="EN233" s="57"/>
      <c r="EO233" s="57"/>
      <c r="EP233" s="57"/>
      <c r="EQ233" s="57"/>
      <c r="ER233" s="57"/>
      <c r="ES233" s="57"/>
      <c r="ET233" s="57"/>
      <c r="EU233" s="57"/>
      <c r="EV233" s="57"/>
      <c r="EW233" s="57"/>
      <c r="EY233" s="56"/>
    </row>
    <row r="234" spans="1:155" s="52" customFormat="1" hidden="1" outlineLevel="1">
      <c r="A234" s="51" t="s">
        <v>270</v>
      </c>
      <c r="AX234" s="52">
        <f>AX231/AX$254</f>
        <v>0</v>
      </c>
      <c r="BV234" s="52">
        <f>BV231/BV$254</f>
        <v>0.68738738738738736</v>
      </c>
      <c r="BW234" s="52">
        <f>BW231/BW$254</f>
        <v>0.69910818146568432</v>
      </c>
      <c r="BX234" s="52">
        <f>BX231/BX$254</f>
        <v>0.73855341738553415</v>
      </c>
      <c r="BY234" s="52">
        <f>BY231/BY$254</f>
        <v>0.67117552334943642</v>
      </c>
      <c r="BZ234" s="70">
        <f t="shared" ref="BZ234:CE234" si="336">BZ231/BZ$5</f>
        <v>0.61883116883116884</v>
      </c>
      <c r="CA234" s="70">
        <f t="shared" si="336"/>
        <v>0.53931712364200723</v>
      </c>
      <c r="CB234" s="70">
        <f t="shared" si="336"/>
        <v>0.58971646212441808</v>
      </c>
      <c r="CC234" s="70">
        <f t="shared" si="336"/>
        <v>0.61083349990005997</v>
      </c>
      <c r="CD234" s="70">
        <f t="shared" si="336"/>
        <v>0.60960960960960964</v>
      </c>
      <c r="CE234" s="70">
        <f t="shared" si="336"/>
        <v>0.60043030582449675</v>
      </c>
      <c r="CF234" s="70">
        <f>CF231/CF$5</f>
        <v>0.57609460791214984</v>
      </c>
      <c r="CG234" s="70">
        <f>CG231/CG$5</f>
        <v>0.5780452701818658</v>
      </c>
      <c r="CH234" s="70">
        <f>CH231/CH$5</f>
        <v>0.556949806949807</v>
      </c>
      <c r="CI234" s="53"/>
      <c r="CJ234" s="53"/>
      <c r="CK234" s="53"/>
      <c r="CL234" s="53"/>
      <c r="CM234" s="53"/>
      <c r="CN234" s="53"/>
      <c r="CO234" s="53"/>
      <c r="CP234" s="53"/>
      <c r="CQ234" s="53"/>
      <c r="CR234" s="53"/>
      <c r="CS234" s="53"/>
      <c r="CT234" s="53"/>
      <c r="CU234" s="53"/>
      <c r="CV234" s="53"/>
      <c r="CW234" s="53"/>
      <c r="CX234" s="53"/>
      <c r="CY234" s="53"/>
      <c r="CZ234" s="53"/>
      <c r="DA234" s="53"/>
      <c r="DB234" s="53"/>
      <c r="DC234" s="53"/>
      <c r="DD234" s="53"/>
      <c r="DE234" s="53"/>
      <c r="DF234" s="53"/>
      <c r="DG234" s="53"/>
      <c r="DH234" s="53"/>
      <c r="DI234" s="53"/>
      <c r="DJ234" s="53"/>
      <c r="DK234" s="53"/>
      <c r="DL234" s="53"/>
      <c r="DM234" s="53"/>
      <c r="DN234" s="53"/>
      <c r="DO234" s="53"/>
      <c r="DP234" s="53"/>
      <c r="DQ234" s="53"/>
      <c r="EC234" s="79"/>
      <c r="ED234" s="79"/>
      <c r="EE234" s="79"/>
      <c r="EF234" s="91">
        <f>EF231/EF$254</f>
        <v>0</v>
      </c>
      <c r="EG234" s="91" t="e">
        <f>EG231/EG$254</f>
        <v>#REF!</v>
      </c>
      <c r="EH234" s="52" t="e">
        <f>EH231/EH$254</f>
        <v>#REF!</v>
      </c>
      <c r="EI234" s="52" t="e">
        <f>EI231/EI$254</f>
        <v>#REF!</v>
      </c>
      <c r="EJ234" s="52" t="e">
        <f>EJ231/EJ$254</f>
        <v>#REF!</v>
      </c>
      <c r="EM234" s="53"/>
      <c r="EN234" s="53"/>
      <c r="EO234" s="53"/>
      <c r="EP234" s="53"/>
      <c r="EQ234" s="53"/>
      <c r="ER234" s="53"/>
      <c r="ES234" s="53"/>
      <c r="ET234" s="53"/>
      <c r="EU234" s="53"/>
      <c r="EV234" s="53"/>
      <c r="EW234" s="53"/>
    </row>
    <row r="235" spans="1:155" s="49" customFormat="1" hidden="1" outlineLevel="1">
      <c r="A235" s="76" t="s">
        <v>317</v>
      </c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6"/>
      <c r="AY235" s="76"/>
      <c r="AZ235" s="76"/>
      <c r="BA235" s="76"/>
      <c r="BB235" s="76"/>
      <c r="BC235" s="76"/>
      <c r="BD235" s="76"/>
      <c r="BE235" s="76"/>
      <c r="BF235" s="76"/>
      <c r="BG235" s="76"/>
      <c r="BH235" s="76"/>
      <c r="BI235" s="76"/>
      <c r="BJ235" s="76"/>
      <c r="BK235" s="76"/>
      <c r="BL235" s="76"/>
      <c r="BM235" s="76"/>
      <c r="BN235" s="76"/>
      <c r="BO235" s="76"/>
      <c r="BP235" s="76"/>
      <c r="BQ235" s="76"/>
      <c r="BR235" s="76"/>
      <c r="BS235" s="76"/>
      <c r="BT235" s="76"/>
      <c r="BU235" s="76"/>
      <c r="BV235" s="76">
        <v>694</v>
      </c>
      <c r="BW235" s="76">
        <v>776</v>
      </c>
      <c r="BX235" s="76">
        <v>788</v>
      </c>
      <c r="BY235" s="76">
        <v>1021</v>
      </c>
      <c r="BZ235" s="76">
        <v>1174</v>
      </c>
      <c r="CA235" s="76">
        <v>1781</v>
      </c>
      <c r="CB235" s="76">
        <v>1939</v>
      </c>
      <c r="CC235" s="76">
        <v>1947</v>
      </c>
      <c r="CD235" s="76">
        <v>2210</v>
      </c>
      <c r="CE235" s="76">
        <v>2600</v>
      </c>
      <c r="CF235" s="76">
        <v>3011</v>
      </c>
      <c r="CG235" s="76">
        <v>3225</v>
      </c>
      <c r="CH235" s="76">
        <v>3672</v>
      </c>
      <c r="CI235" s="78"/>
      <c r="CJ235" s="78"/>
      <c r="CK235" s="78"/>
      <c r="CL235" s="78"/>
      <c r="CM235" s="78"/>
      <c r="CN235" s="78"/>
      <c r="CO235" s="78"/>
      <c r="CP235" s="78"/>
      <c r="CQ235" s="78"/>
      <c r="CR235" s="78"/>
      <c r="CS235" s="78"/>
      <c r="CT235" s="78"/>
      <c r="CU235" s="78"/>
      <c r="CV235" s="78"/>
      <c r="CW235" s="78"/>
      <c r="CX235" s="78"/>
      <c r="CY235" s="78"/>
      <c r="CZ235" s="78"/>
      <c r="DA235" s="78"/>
      <c r="DB235" s="78"/>
      <c r="DC235" s="78"/>
      <c r="DD235" s="78"/>
      <c r="DE235" s="78"/>
      <c r="DF235" s="78"/>
      <c r="DG235" s="78"/>
      <c r="DH235" s="78"/>
      <c r="DI235" s="78"/>
      <c r="DJ235" s="78"/>
      <c r="DK235" s="78"/>
      <c r="DL235" s="78"/>
      <c r="DM235" s="78"/>
      <c r="DN235" s="78"/>
      <c r="DO235" s="78"/>
      <c r="DP235" s="78"/>
      <c r="DQ235" s="78"/>
      <c r="DT235" s="77"/>
      <c r="DU235" s="77"/>
      <c r="DV235" s="77"/>
      <c r="DW235" s="77"/>
      <c r="DX235" s="77"/>
      <c r="DY235" s="77"/>
      <c r="DZ235" s="77"/>
      <c r="EA235" s="77"/>
      <c r="EB235" s="77"/>
      <c r="EC235" s="76"/>
      <c r="ED235" s="76"/>
      <c r="EE235" s="76"/>
      <c r="EF235" s="76">
        <f>SUM(AX235:BA235)</f>
        <v>0</v>
      </c>
      <c r="EG235" s="76">
        <f>SUM(BB235:BE235)</f>
        <v>0</v>
      </c>
      <c r="EH235" s="76">
        <f>SUM(BF235:BI235)</f>
        <v>0</v>
      </c>
      <c r="EI235" s="76">
        <f>SUM(BJ235:BM235)</f>
        <v>0</v>
      </c>
      <c r="EJ235" s="76">
        <f>SUM(BN235:BQ235)</f>
        <v>0</v>
      </c>
      <c r="EK235" s="76"/>
      <c r="EL235" s="76"/>
      <c r="EM235" s="78"/>
      <c r="EN235" s="78"/>
      <c r="EO235" s="78"/>
      <c r="EP235" s="78"/>
      <c r="EQ235" s="78"/>
      <c r="ER235" s="78"/>
      <c r="ES235" s="78"/>
      <c r="ET235" s="78"/>
      <c r="EU235" s="78"/>
      <c r="EV235" s="78"/>
      <c r="EW235" s="78"/>
    </row>
    <row r="236" spans="1:155" s="52" customFormat="1" hidden="1" outlineLevel="1">
      <c r="A236" s="51" t="s">
        <v>223</v>
      </c>
      <c r="BW236" s="52">
        <f t="shared" ref="BW236:CH236" si="337">BW235/BV235-1</f>
        <v>0.11815561959654186</v>
      </c>
      <c r="BX236" s="52">
        <f t="shared" si="337"/>
        <v>1.5463917525773141E-2</v>
      </c>
      <c r="BY236" s="52">
        <f t="shared" si="337"/>
        <v>0.29568527918781728</v>
      </c>
      <c r="BZ236" s="52">
        <f t="shared" si="337"/>
        <v>0.14985308521057794</v>
      </c>
      <c r="CA236" s="52">
        <f t="shared" si="337"/>
        <v>0.51703577512776833</v>
      </c>
      <c r="CB236" s="52">
        <f t="shared" si="337"/>
        <v>8.8714205502526733E-2</v>
      </c>
      <c r="CC236" s="52">
        <f t="shared" si="337"/>
        <v>4.1258380608562017E-3</v>
      </c>
      <c r="CD236" s="52">
        <f t="shared" si="337"/>
        <v>0.13507960965588084</v>
      </c>
      <c r="CE236" s="52">
        <f t="shared" si="337"/>
        <v>0.17647058823529416</v>
      </c>
      <c r="CF236" s="52">
        <f t="shared" si="337"/>
        <v>0.158076923076923</v>
      </c>
      <c r="CG236" s="52">
        <f t="shared" si="337"/>
        <v>7.1072733311192238E-2</v>
      </c>
      <c r="CH236" s="52">
        <f t="shared" si="337"/>
        <v>0.13860465116279075</v>
      </c>
      <c r="CI236" s="53"/>
      <c r="CJ236" s="53"/>
      <c r="CK236" s="53"/>
      <c r="CL236" s="53"/>
      <c r="CM236" s="53"/>
      <c r="CN236" s="53"/>
      <c r="CO236" s="53"/>
      <c r="CP236" s="53"/>
      <c r="CQ236" s="53"/>
      <c r="CR236" s="53"/>
      <c r="CS236" s="53"/>
      <c r="CT236" s="53"/>
      <c r="CU236" s="53"/>
      <c r="CV236" s="53"/>
      <c r="CW236" s="53"/>
      <c r="CX236" s="53"/>
      <c r="CY236" s="53"/>
      <c r="CZ236" s="53"/>
      <c r="DA236" s="53"/>
      <c r="DB236" s="53"/>
      <c r="DC236" s="53"/>
      <c r="DD236" s="53"/>
      <c r="DE236" s="53"/>
      <c r="DF236" s="53"/>
      <c r="DG236" s="53"/>
      <c r="DH236" s="53"/>
      <c r="DI236" s="53"/>
      <c r="DJ236" s="53"/>
      <c r="DK236" s="53"/>
      <c r="DL236" s="53"/>
      <c r="DM236" s="53"/>
      <c r="DN236" s="53"/>
      <c r="DO236" s="53"/>
      <c r="DP236" s="53"/>
      <c r="DQ236" s="53"/>
      <c r="EC236" s="79"/>
      <c r="ED236" s="79"/>
      <c r="EE236" s="79"/>
      <c r="EF236" s="79"/>
      <c r="EG236" s="79"/>
      <c r="EH236" s="91"/>
      <c r="EI236" s="91"/>
      <c r="EJ236" s="91"/>
      <c r="EK236" s="91"/>
      <c r="EL236" s="91"/>
      <c r="EM236" s="100"/>
      <c r="EN236" s="100"/>
      <c r="EO236" s="100"/>
      <c r="EP236" s="100"/>
      <c r="EQ236" s="100"/>
      <c r="ER236" s="100"/>
      <c r="ES236" s="100"/>
      <c r="ET236" s="100"/>
      <c r="EU236" s="100"/>
      <c r="EV236" s="100"/>
      <c r="EW236" s="100"/>
      <c r="EY236" s="56"/>
    </row>
    <row r="237" spans="1:155" s="52" customFormat="1" hidden="1" outlineLevel="1">
      <c r="A237" s="51" t="s">
        <v>225</v>
      </c>
      <c r="BW237" s="52" t="e">
        <f t="shared" ref="BW237:CH237" si="338">BW235/BS235-1</f>
        <v>#DIV/0!</v>
      </c>
      <c r="BX237" s="52" t="e">
        <f t="shared" si="338"/>
        <v>#DIV/0!</v>
      </c>
      <c r="BY237" s="52" t="e">
        <f t="shared" si="338"/>
        <v>#DIV/0!</v>
      </c>
      <c r="BZ237" s="52">
        <f t="shared" si="338"/>
        <v>0.69164265129682989</v>
      </c>
      <c r="CA237" s="52">
        <f t="shared" si="338"/>
        <v>1.295103092783505</v>
      </c>
      <c r="CB237" s="52">
        <f t="shared" si="338"/>
        <v>1.4606598984771573</v>
      </c>
      <c r="CC237" s="52">
        <f t="shared" si="338"/>
        <v>0.9069539666993145</v>
      </c>
      <c r="CD237" s="52">
        <f t="shared" si="338"/>
        <v>0.88245315161839866</v>
      </c>
      <c r="CE237" s="52">
        <f t="shared" si="338"/>
        <v>0.45985401459854014</v>
      </c>
      <c r="CF237" s="52">
        <f t="shared" si="338"/>
        <v>0.55286230015471882</v>
      </c>
      <c r="CG237" s="52">
        <f t="shared" si="338"/>
        <v>0.6563944530046224</v>
      </c>
      <c r="CH237" s="52">
        <f t="shared" si="338"/>
        <v>0.66153846153846163</v>
      </c>
      <c r="CI237" s="53"/>
      <c r="CJ237" s="53"/>
      <c r="CK237" s="53"/>
      <c r="CL237" s="53"/>
      <c r="CM237" s="53"/>
      <c r="CN237" s="53"/>
      <c r="CO237" s="53"/>
      <c r="CP237" s="53"/>
      <c r="CQ237" s="53"/>
      <c r="CR237" s="53"/>
      <c r="CS237" s="53"/>
      <c r="CT237" s="53"/>
      <c r="CU237" s="53"/>
      <c r="CV237" s="53"/>
      <c r="CW237" s="53"/>
      <c r="CX237" s="53"/>
      <c r="CY237" s="53"/>
      <c r="CZ237" s="53"/>
      <c r="DA237" s="53"/>
      <c r="DB237" s="53"/>
      <c r="DC237" s="53"/>
      <c r="DD237" s="53"/>
      <c r="DE237" s="53"/>
      <c r="DF237" s="53"/>
      <c r="DG237" s="53"/>
      <c r="DH237" s="53"/>
      <c r="DI237" s="53"/>
      <c r="DJ237" s="53"/>
      <c r="DK237" s="53"/>
      <c r="DL237" s="53"/>
      <c r="DM237" s="53"/>
      <c r="DN237" s="53"/>
      <c r="DO237" s="53"/>
      <c r="DP237" s="53"/>
      <c r="DQ237" s="53"/>
      <c r="EC237" s="79"/>
      <c r="ED237" s="79"/>
      <c r="EE237" s="79"/>
      <c r="EF237" s="79"/>
      <c r="EG237" s="91" t="e">
        <f>EG235/EF235-1</f>
        <v>#DIV/0!</v>
      </c>
      <c r="EH237" s="52" t="e">
        <f>EH235/EG235-1</f>
        <v>#DIV/0!</v>
      </c>
      <c r="EI237" s="52" t="e">
        <f>EI235/EH235-1</f>
        <v>#DIV/0!</v>
      </c>
      <c r="EJ237" s="52" t="e">
        <f>EJ235/EI235-1</f>
        <v>#DIV/0!</v>
      </c>
      <c r="EM237" s="57"/>
      <c r="EN237" s="57"/>
      <c r="EO237" s="57"/>
      <c r="EP237" s="57"/>
      <c r="EQ237" s="57"/>
      <c r="ER237" s="57"/>
      <c r="ES237" s="57"/>
      <c r="ET237" s="57"/>
      <c r="EU237" s="57"/>
      <c r="EV237" s="57"/>
      <c r="EW237" s="57"/>
      <c r="EY237" s="56"/>
    </row>
    <row r="238" spans="1:155" s="52" customFormat="1" hidden="1" outlineLevel="1">
      <c r="A238" s="51" t="s">
        <v>270</v>
      </c>
      <c r="AX238" s="52">
        <f>AX235/AX$254</f>
        <v>0</v>
      </c>
      <c r="BV238" s="52">
        <f>BV235/BV$254</f>
        <v>0.31261261261261264</v>
      </c>
      <c r="BW238" s="52">
        <f>BW235/BW$254</f>
        <v>0.30089181853431562</v>
      </c>
      <c r="BX238" s="52">
        <f>BX235/BX$254</f>
        <v>0.26144658261446585</v>
      </c>
      <c r="BY238" s="52">
        <f>BY235/BY$254</f>
        <v>0.32882447665056358</v>
      </c>
      <c r="BZ238" s="70">
        <f t="shared" ref="BZ238:CE238" si="339">BZ235/BZ$5</f>
        <v>0.38116883116883116</v>
      </c>
      <c r="CA238" s="70">
        <f t="shared" si="339"/>
        <v>0.46068287635799277</v>
      </c>
      <c r="CB238" s="70">
        <f t="shared" si="339"/>
        <v>0.41028353787558186</v>
      </c>
      <c r="CC238" s="70">
        <f t="shared" si="339"/>
        <v>0.38916650009994003</v>
      </c>
      <c r="CD238" s="70">
        <f t="shared" si="339"/>
        <v>0.39039039039039036</v>
      </c>
      <c r="CE238" s="70">
        <f t="shared" si="339"/>
        <v>0.39956969417550331</v>
      </c>
      <c r="CF238" s="70">
        <f>CF235/CF$5</f>
        <v>0.42390539208785022</v>
      </c>
      <c r="CG238" s="70">
        <f>CG235/CG$5</f>
        <v>0.42195472981813426</v>
      </c>
      <c r="CH238" s="70">
        <f>CH235/CH$5</f>
        <v>0.44305019305019305</v>
      </c>
      <c r="CI238" s="53"/>
      <c r="CJ238" s="53"/>
      <c r="CK238" s="53"/>
      <c r="CL238" s="53"/>
      <c r="CM238" s="53"/>
      <c r="CN238" s="53"/>
      <c r="CO238" s="53"/>
      <c r="CP238" s="53"/>
      <c r="CQ238" s="53"/>
      <c r="CR238" s="53"/>
      <c r="CS238" s="53"/>
      <c r="CT238" s="53"/>
      <c r="CU238" s="53"/>
      <c r="CV238" s="53"/>
      <c r="CW238" s="53"/>
      <c r="CX238" s="53"/>
      <c r="CY238" s="53"/>
      <c r="CZ238" s="53"/>
      <c r="DA238" s="53"/>
      <c r="DB238" s="53"/>
      <c r="DC238" s="53"/>
      <c r="DD238" s="53"/>
      <c r="DE238" s="53"/>
      <c r="DF238" s="53"/>
      <c r="DG238" s="53"/>
      <c r="DH238" s="53"/>
      <c r="DI238" s="53"/>
      <c r="DJ238" s="53"/>
      <c r="DK238" s="53"/>
      <c r="DL238" s="53"/>
      <c r="DM238" s="53"/>
      <c r="DN238" s="53"/>
      <c r="DO238" s="53"/>
      <c r="DP238" s="53"/>
      <c r="DQ238" s="53"/>
      <c r="EC238" s="79"/>
      <c r="ED238" s="79"/>
      <c r="EE238" s="79"/>
      <c r="EF238" s="91">
        <f>EF235/EF$254</f>
        <v>0</v>
      </c>
      <c r="EG238" s="91" t="e">
        <f>EG235/EG$254</f>
        <v>#REF!</v>
      </c>
      <c r="EH238" s="52" t="e">
        <f>EH235/EH$254</f>
        <v>#REF!</v>
      </c>
      <c r="EI238" s="52" t="e">
        <f>EI235/EI$254</f>
        <v>#REF!</v>
      </c>
      <c r="EJ238" s="52" t="e">
        <f>EJ235/EJ$254</f>
        <v>#REF!</v>
      </c>
      <c r="EM238" s="53"/>
      <c r="EN238" s="53"/>
      <c r="EO238" s="53"/>
      <c r="EP238" s="53"/>
      <c r="EQ238" s="53"/>
      <c r="ER238" s="53"/>
      <c r="ES238" s="53"/>
      <c r="ET238" s="53"/>
      <c r="EU238" s="53"/>
      <c r="EV238" s="53"/>
      <c r="EW238" s="53"/>
    </row>
    <row r="239" spans="1:155" ht="11.25" hidden="1" customHeight="1" outlineLevel="1">
      <c r="A239" s="69"/>
      <c r="BB239" s="68"/>
      <c r="BC239" s="68"/>
      <c r="BD239" s="68"/>
      <c r="BE239" s="68"/>
      <c r="BF239" s="68"/>
      <c r="BG239" s="68"/>
      <c r="BH239" s="68"/>
      <c r="BI239" s="68"/>
      <c r="BJ239" s="68"/>
      <c r="BK239" s="68"/>
      <c r="BL239" s="68"/>
      <c r="BM239" s="68"/>
      <c r="BN239" s="68"/>
      <c r="BO239" s="68"/>
      <c r="BP239" s="68"/>
      <c r="BQ239" s="68"/>
      <c r="BR239" s="68"/>
      <c r="BS239" s="68"/>
      <c r="BT239" s="68"/>
      <c r="BU239" s="68"/>
      <c r="BV239" s="68"/>
      <c r="BW239" s="68"/>
      <c r="BX239" s="68"/>
      <c r="BY239" s="68"/>
      <c r="BZ239" s="68"/>
      <c r="CA239" s="68"/>
      <c r="CB239" s="68"/>
      <c r="CC239" s="90"/>
      <c r="CD239" s="68"/>
      <c r="CE239" s="68"/>
      <c r="CF239" s="68"/>
      <c r="CG239" s="68"/>
      <c r="CH239" s="68"/>
      <c r="CI239" s="68"/>
      <c r="CJ239" s="68"/>
      <c r="CK239" s="68"/>
      <c r="CL239" s="68"/>
      <c r="CM239" s="68"/>
      <c r="CN239" s="68"/>
      <c r="CO239" s="68"/>
      <c r="CP239" s="68"/>
      <c r="CQ239" s="68"/>
      <c r="CR239" s="68"/>
      <c r="CS239" s="68"/>
      <c r="CT239" s="68"/>
      <c r="CU239" s="68"/>
      <c r="CV239" s="68"/>
      <c r="CW239" s="68"/>
      <c r="CX239" s="68"/>
      <c r="CY239" s="68"/>
      <c r="CZ239" s="68"/>
      <c r="DA239" s="68"/>
      <c r="DB239" s="68"/>
      <c r="DC239" s="68"/>
      <c r="DD239" s="68"/>
      <c r="DE239" s="68"/>
      <c r="DF239" s="68"/>
      <c r="DG239" s="68"/>
      <c r="DH239" s="68"/>
      <c r="DI239" s="68"/>
      <c r="DJ239" s="68"/>
      <c r="DK239" s="68"/>
      <c r="DL239" s="68"/>
      <c r="DM239" s="68"/>
      <c r="DN239" s="68"/>
      <c r="DO239" s="68"/>
      <c r="DP239" s="68"/>
      <c r="DQ239" s="68"/>
    </row>
    <row r="240" spans="1:155" hidden="1" outlineLevel="1">
      <c r="A240" s="133" t="s">
        <v>318</v>
      </c>
      <c r="B240" s="134"/>
      <c r="C240" s="134"/>
      <c r="D240" s="134"/>
      <c r="E240" s="134"/>
      <c r="F240" s="134"/>
      <c r="G240" s="134"/>
      <c r="H240" s="134"/>
      <c r="I240" s="134"/>
      <c r="J240" s="134"/>
      <c r="K240" s="134"/>
      <c r="L240" s="134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  <c r="AA240" s="134"/>
      <c r="AB240" s="134"/>
      <c r="AC240" s="134"/>
      <c r="AD240" s="134"/>
      <c r="AE240" s="134"/>
      <c r="AF240" s="134"/>
      <c r="AG240" s="134"/>
      <c r="AH240" s="134"/>
      <c r="AI240" s="134"/>
      <c r="AJ240" s="134"/>
      <c r="AK240" s="134"/>
      <c r="AL240" s="134"/>
      <c r="AM240" s="134"/>
      <c r="AN240" s="134"/>
      <c r="AO240" s="134"/>
      <c r="AP240" s="134"/>
      <c r="AQ240" s="134"/>
      <c r="AR240" s="134"/>
      <c r="AS240" s="134"/>
      <c r="AT240" s="134"/>
      <c r="AU240" s="134"/>
      <c r="AV240" s="134"/>
      <c r="AW240" s="134"/>
      <c r="AX240" s="134"/>
      <c r="AY240" s="134"/>
      <c r="AZ240" s="134"/>
      <c r="BA240" s="134"/>
      <c r="BB240" s="135"/>
      <c r="BC240" s="135"/>
      <c r="BD240" s="135"/>
      <c r="BE240" s="135"/>
      <c r="BF240" s="135"/>
      <c r="BG240" s="135"/>
      <c r="BH240" s="135"/>
      <c r="BI240" s="135"/>
      <c r="BJ240" s="135"/>
      <c r="BK240" s="135"/>
      <c r="BL240" s="135"/>
      <c r="BM240" s="135"/>
      <c r="BN240" s="135"/>
      <c r="BO240" s="135"/>
      <c r="BP240" s="135"/>
      <c r="BQ240" s="135"/>
      <c r="BR240" s="135"/>
      <c r="BS240" s="135"/>
      <c r="BT240" s="135"/>
      <c r="BU240" s="135"/>
      <c r="BV240" s="135"/>
      <c r="BW240" s="135"/>
      <c r="BX240" s="135"/>
      <c r="BY240" s="135"/>
      <c r="BZ240" s="135"/>
      <c r="CA240" s="135"/>
      <c r="CB240" s="135"/>
      <c r="CC240" s="135"/>
      <c r="CD240" s="135"/>
      <c r="CE240" s="135"/>
      <c r="CF240" s="135"/>
      <c r="CG240" s="135"/>
      <c r="CH240" s="135"/>
      <c r="CI240" s="135"/>
      <c r="CJ240" s="135"/>
      <c r="CK240" s="135"/>
      <c r="CL240" s="135"/>
      <c r="CM240" s="135"/>
      <c r="CN240" s="135"/>
      <c r="CO240" s="135"/>
      <c r="CP240" s="135"/>
      <c r="CQ240" s="135"/>
      <c r="CR240" s="135"/>
      <c r="CS240" s="135"/>
      <c r="CT240" s="135"/>
      <c r="CU240" s="135"/>
      <c r="CV240" s="135"/>
      <c r="CW240" s="135"/>
      <c r="CX240" s="135"/>
      <c r="CY240" s="135"/>
      <c r="CZ240" s="135"/>
      <c r="DA240" s="135"/>
      <c r="DB240" s="135"/>
      <c r="DC240" s="135"/>
      <c r="DD240" s="135"/>
      <c r="DE240" s="135"/>
      <c r="DF240" s="135"/>
      <c r="DG240" s="135"/>
      <c r="DH240" s="135"/>
      <c r="DI240" s="135"/>
      <c r="DJ240" s="135"/>
      <c r="DK240" s="135"/>
      <c r="DL240" s="135"/>
      <c r="DM240" s="135"/>
      <c r="DN240" s="135"/>
      <c r="DO240" s="135"/>
      <c r="DP240" s="135"/>
      <c r="DQ240" s="135"/>
      <c r="DT240" s="134"/>
      <c r="DU240" s="134"/>
      <c r="DV240" s="134"/>
      <c r="DW240" s="134"/>
      <c r="DX240" s="134"/>
      <c r="DY240" s="134"/>
      <c r="DZ240" s="134"/>
      <c r="EA240" s="134"/>
      <c r="EB240" s="134"/>
      <c r="EC240" s="134"/>
      <c r="ED240" s="134"/>
      <c r="EE240" s="134"/>
      <c r="EF240" s="134"/>
      <c r="EG240" s="134"/>
      <c r="EH240" s="135"/>
      <c r="EI240" s="134"/>
      <c r="EJ240" s="134"/>
      <c r="EK240" s="134"/>
      <c r="EL240" s="134"/>
      <c r="EM240" s="134"/>
      <c r="EN240" s="134"/>
      <c r="EO240" s="134"/>
      <c r="EP240" s="134"/>
      <c r="EQ240" s="134"/>
      <c r="ER240" s="134"/>
      <c r="ES240" s="134"/>
      <c r="ET240" s="134"/>
      <c r="EU240" s="134"/>
      <c r="EV240" s="134"/>
      <c r="EW240" s="134"/>
    </row>
    <row r="241" spans="1:155" hidden="1" outlineLevel="1">
      <c r="A241" s="74" t="s">
        <v>319</v>
      </c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  <c r="AA241" s="74"/>
      <c r="AB241" s="74"/>
      <c r="AC241" s="74"/>
      <c r="AD241" s="74"/>
      <c r="AE241" s="74"/>
      <c r="AF241" s="74"/>
      <c r="AG241" s="74"/>
      <c r="AH241" s="74"/>
      <c r="AI241" s="74"/>
      <c r="AJ241" s="74"/>
      <c r="AK241" s="74"/>
      <c r="AL241" s="74"/>
      <c r="AM241" s="74"/>
      <c r="AN241" s="74"/>
      <c r="AO241" s="74"/>
      <c r="AP241" s="74"/>
      <c r="AQ241" s="74"/>
      <c r="AR241" s="74"/>
      <c r="AS241" s="74"/>
      <c r="AT241" s="74"/>
      <c r="AU241" s="74"/>
      <c r="AV241" s="74"/>
      <c r="AW241" s="74"/>
      <c r="AX241" s="74"/>
      <c r="AY241" s="74"/>
      <c r="AZ241" s="74"/>
      <c r="BA241" s="74"/>
      <c r="BB241" s="74"/>
      <c r="BC241" s="74"/>
      <c r="BD241" s="74"/>
      <c r="BE241" s="74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4"/>
      <c r="BT241" s="74"/>
      <c r="BU241" s="74"/>
      <c r="BV241" s="74"/>
      <c r="BW241" s="74"/>
      <c r="BX241" s="74"/>
      <c r="BY241" s="74"/>
      <c r="BZ241" s="74"/>
      <c r="CA241" s="74"/>
      <c r="CB241" s="74"/>
      <c r="CC241" s="74"/>
      <c r="CD241" s="74"/>
      <c r="CE241" s="74"/>
      <c r="CF241" s="74"/>
      <c r="CG241" s="74"/>
      <c r="CH241" s="74"/>
      <c r="CI241" s="74"/>
      <c r="CJ241" s="74"/>
      <c r="CK241" s="74"/>
      <c r="CL241" s="74"/>
      <c r="CM241" s="74"/>
      <c r="CN241" s="74"/>
      <c r="CO241" s="74"/>
      <c r="CP241" s="74"/>
      <c r="CQ241" s="74"/>
      <c r="CR241" s="74"/>
      <c r="CS241" s="74"/>
      <c r="CT241" s="74"/>
      <c r="CU241" s="74"/>
      <c r="CV241" s="74"/>
      <c r="CW241" s="74"/>
      <c r="CX241" s="74"/>
      <c r="CY241" s="74"/>
      <c r="CZ241" s="74"/>
      <c r="DA241" s="74"/>
      <c r="DB241" s="74"/>
      <c r="DC241" s="74"/>
      <c r="DD241" s="74"/>
      <c r="DE241" s="74"/>
      <c r="DF241" s="74"/>
      <c r="DG241" s="74"/>
      <c r="DH241" s="74"/>
      <c r="DI241" s="74"/>
      <c r="DJ241" s="74"/>
      <c r="DK241" s="74"/>
      <c r="DL241" s="74"/>
      <c r="DM241" s="74"/>
      <c r="DN241" s="74"/>
      <c r="DO241" s="74"/>
      <c r="DP241" s="74"/>
      <c r="DQ241" s="74"/>
      <c r="DT241" s="74"/>
      <c r="DU241" s="74"/>
      <c r="DV241" s="74"/>
      <c r="DW241" s="74"/>
      <c r="DX241" s="74"/>
      <c r="DY241" s="74"/>
      <c r="DZ241" s="74"/>
      <c r="EA241" s="74"/>
      <c r="EB241" s="74"/>
      <c r="EC241" s="74"/>
      <c r="ED241" s="74"/>
      <c r="EE241" s="74"/>
      <c r="EF241" s="74"/>
      <c r="EG241" s="74"/>
      <c r="EH241" s="74"/>
      <c r="EI241" s="74"/>
      <c r="EJ241" s="74"/>
      <c r="EK241" s="74"/>
      <c r="EL241" s="74"/>
      <c r="EM241" s="74"/>
      <c r="EN241" s="74"/>
      <c r="EO241" s="74"/>
      <c r="EP241" s="74"/>
      <c r="EQ241" s="74"/>
      <c r="ER241" s="74"/>
      <c r="ES241" s="74"/>
      <c r="ET241" s="74"/>
      <c r="EU241" s="74"/>
      <c r="EV241" s="74"/>
      <c r="EW241" s="74"/>
    </row>
    <row r="242" spans="1:155" s="49" customFormat="1" hidden="1" outlineLevel="1">
      <c r="A242" s="76" t="s">
        <v>320</v>
      </c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6">
        <v>103</v>
      </c>
      <c r="AY242" s="76">
        <v>53</v>
      </c>
      <c r="AZ242" s="76">
        <v>111</v>
      </c>
      <c r="BA242" s="76">
        <v>131</v>
      </c>
      <c r="BB242" s="76">
        <v>139</v>
      </c>
      <c r="BC242" s="76">
        <v>159</v>
      </c>
      <c r="BD242" s="76">
        <v>168</v>
      </c>
      <c r="BE242" s="76">
        <v>112</v>
      </c>
      <c r="BF242" s="76">
        <v>145</v>
      </c>
      <c r="BG242" s="76">
        <v>128</v>
      </c>
      <c r="BH242" s="76">
        <v>129</v>
      </c>
      <c r="BI242" s="76">
        <v>157</v>
      </c>
      <c r="BJ242" s="76">
        <v>160</v>
      </c>
      <c r="BK242" s="76">
        <v>166</v>
      </c>
      <c r="BL242" s="76">
        <v>241</v>
      </c>
      <c r="BM242" s="76">
        <v>257</v>
      </c>
      <c r="BN242" s="76">
        <v>332</v>
      </c>
      <c r="BO242" s="76">
        <v>333</v>
      </c>
      <c r="BP242" s="76">
        <v>419</v>
      </c>
      <c r="BQ242" s="76">
        <v>450</v>
      </c>
      <c r="BR242" s="76">
        <v>442</v>
      </c>
      <c r="BS242" s="76">
        <v>467</v>
      </c>
      <c r="BT242" s="76">
        <v>407</v>
      </c>
      <c r="BU242" s="76">
        <v>225</v>
      </c>
      <c r="BV242" s="76">
        <v>198</v>
      </c>
      <c r="BW242" s="76">
        <v>475</v>
      </c>
      <c r="BX242" s="76">
        <v>449</v>
      </c>
      <c r="BY242" s="76">
        <v>331</v>
      </c>
      <c r="BZ242" s="78"/>
      <c r="CA242" s="78"/>
      <c r="CB242" s="78"/>
      <c r="CC242" s="78"/>
      <c r="CD242" s="78"/>
      <c r="CE242" s="78"/>
      <c r="CF242" s="78"/>
      <c r="CG242" s="78"/>
      <c r="CH242" s="78"/>
      <c r="CI242" s="78"/>
      <c r="CJ242" s="78"/>
      <c r="CK242" s="78"/>
      <c r="CL242" s="78"/>
      <c r="CM242" s="78"/>
      <c r="CN242" s="78"/>
      <c r="CO242" s="78"/>
      <c r="CP242" s="78"/>
      <c r="CQ242" s="78"/>
      <c r="CR242" s="78"/>
      <c r="CS242" s="78"/>
      <c r="CT242" s="78"/>
      <c r="CU242" s="78"/>
      <c r="CV242" s="78"/>
      <c r="CW242" s="78"/>
      <c r="CX242" s="78"/>
      <c r="CY242" s="78"/>
      <c r="CZ242" s="78"/>
      <c r="DA242" s="78"/>
      <c r="DB242" s="78"/>
      <c r="DC242" s="78"/>
      <c r="DD242" s="78"/>
      <c r="DE242" s="78"/>
      <c r="DF242" s="78"/>
      <c r="DG242" s="78"/>
      <c r="DH242" s="78"/>
      <c r="DI242" s="78"/>
      <c r="DJ242" s="78"/>
      <c r="DK242" s="78"/>
      <c r="DL242" s="78"/>
      <c r="DM242" s="78"/>
      <c r="DN242" s="78"/>
      <c r="DO242" s="78"/>
      <c r="DP242" s="78"/>
      <c r="DQ242" s="78"/>
      <c r="DT242" s="77"/>
      <c r="DU242" s="77"/>
      <c r="DV242" s="77"/>
      <c r="DW242" s="77"/>
      <c r="DX242" s="77"/>
      <c r="DY242" s="77"/>
      <c r="DZ242" s="77"/>
      <c r="EA242" s="77"/>
      <c r="EB242" s="77"/>
      <c r="EC242" s="76"/>
      <c r="ED242" s="76"/>
      <c r="EE242" s="76"/>
      <c r="EF242" s="76">
        <f>SUM(AX242:BA242)</f>
        <v>398</v>
      </c>
      <c r="EG242" s="76">
        <f>SUM(BB242:BE242)</f>
        <v>578</v>
      </c>
      <c r="EH242" s="76">
        <f>SUM(BF242:BI242)</f>
        <v>559</v>
      </c>
      <c r="EI242" s="76">
        <f>SUM(BJ242:BM242)</f>
        <v>824</v>
      </c>
      <c r="EJ242" s="76">
        <f>SUM(BN242:BQ242)</f>
        <v>1534</v>
      </c>
      <c r="EK242" s="76">
        <f>SUM(BR242:BU242)</f>
        <v>1541</v>
      </c>
      <c r="EL242" s="76">
        <f>BV242+BW242+BX242+BY242</f>
        <v>1453</v>
      </c>
      <c r="EM242" s="78"/>
      <c r="EN242" s="78"/>
      <c r="EO242" s="78"/>
      <c r="EP242" s="78"/>
      <c r="EQ242" s="78"/>
      <c r="ER242" s="78"/>
      <c r="ES242" s="78"/>
      <c r="ET242" s="78"/>
      <c r="EU242" s="78"/>
      <c r="EV242" s="78"/>
      <c r="EW242" s="78"/>
    </row>
    <row r="243" spans="1:155" s="52" customFormat="1" hidden="1" outlineLevel="1">
      <c r="A243" s="51" t="s">
        <v>223</v>
      </c>
      <c r="AY243" s="52">
        <f t="shared" ref="AY243:BU243" si="340">AY242/AX242-1</f>
        <v>-0.4854368932038835</v>
      </c>
      <c r="AZ243" s="52">
        <f t="shared" si="340"/>
        <v>1.0943396226415096</v>
      </c>
      <c r="BA243" s="52">
        <f t="shared" si="340"/>
        <v>0.18018018018018012</v>
      </c>
      <c r="BB243" s="52">
        <f t="shared" si="340"/>
        <v>6.1068702290076438E-2</v>
      </c>
      <c r="BC243" s="52">
        <f t="shared" si="340"/>
        <v>0.14388489208633093</v>
      </c>
      <c r="BD243" s="52">
        <f t="shared" si="340"/>
        <v>5.6603773584905648E-2</v>
      </c>
      <c r="BE243" s="52">
        <f t="shared" si="340"/>
        <v>-0.33333333333333337</v>
      </c>
      <c r="BF243" s="52">
        <f t="shared" si="340"/>
        <v>0.29464285714285721</v>
      </c>
      <c r="BG243" s="52">
        <f t="shared" si="340"/>
        <v>-0.11724137931034484</v>
      </c>
      <c r="BH243" s="52">
        <f t="shared" si="340"/>
        <v>7.8125E-3</v>
      </c>
      <c r="BI243" s="52">
        <f t="shared" si="340"/>
        <v>0.21705426356589141</v>
      </c>
      <c r="BJ243" s="52">
        <f t="shared" si="340"/>
        <v>1.9108280254777066E-2</v>
      </c>
      <c r="BK243" s="52">
        <f t="shared" si="340"/>
        <v>3.7500000000000089E-2</v>
      </c>
      <c r="BL243" s="52">
        <f t="shared" si="340"/>
        <v>0.45180722891566272</v>
      </c>
      <c r="BM243" s="52">
        <f t="shared" si="340"/>
        <v>6.639004149377592E-2</v>
      </c>
      <c r="BN243" s="52">
        <f t="shared" si="340"/>
        <v>0.29182879377431914</v>
      </c>
      <c r="BO243" s="52">
        <f t="shared" si="340"/>
        <v>3.0120481927711218E-3</v>
      </c>
      <c r="BP243" s="52">
        <f t="shared" si="340"/>
        <v>0.25825825825825821</v>
      </c>
      <c r="BQ243" s="52">
        <f t="shared" si="340"/>
        <v>7.398568019093088E-2</v>
      </c>
      <c r="BR243" s="52">
        <f t="shared" si="340"/>
        <v>-1.7777777777777781E-2</v>
      </c>
      <c r="BS243" s="52">
        <f t="shared" si="340"/>
        <v>5.65610859728507E-2</v>
      </c>
      <c r="BT243" s="52">
        <f t="shared" si="340"/>
        <v>-0.12847965738758027</v>
      </c>
      <c r="BU243" s="52">
        <f t="shared" si="340"/>
        <v>-0.44717444717444721</v>
      </c>
      <c r="BV243" s="52">
        <f>BV242/BU242-1</f>
        <v>-0.12</v>
      </c>
      <c r="BW243" s="52">
        <f>BW242/BV242-1</f>
        <v>1.3989898989898988</v>
      </c>
      <c r="BX243" s="52">
        <f>BX242/BW242-1</f>
        <v>-5.4736842105263195E-2</v>
      </c>
      <c r="BY243" s="52">
        <f>BY242/BX242-1</f>
        <v>-0.26280623608017817</v>
      </c>
      <c r="BZ243" s="53"/>
      <c r="CA243" s="53"/>
      <c r="CB243" s="53"/>
      <c r="CC243" s="53"/>
      <c r="CD243" s="53"/>
      <c r="CE243" s="53"/>
      <c r="CF243" s="53"/>
      <c r="CG243" s="53"/>
      <c r="CH243" s="53"/>
      <c r="CI243" s="53"/>
      <c r="CJ243" s="53"/>
      <c r="CK243" s="53"/>
      <c r="CL243" s="53"/>
      <c r="CM243" s="53"/>
      <c r="CN243" s="53"/>
      <c r="CO243" s="53"/>
      <c r="CP243" s="53"/>
      <c r="CQ243" s="53"/>
      <c r="CR243" s="53"/>
      <c r="CS243" s="53"/>
      <c r="CT243" s="53"/>
      <c r="CU243" s="53"/>
      <c r="CV243" s="53"/>
      <c r="CW243" s="53"/>
      <c r="CX243" s="53"/>
      <c r="CY243" s="53"/>
      <c r="CZ243" s="53"/>
      <c r="DA243" s="53"/>
      <c r="DB243" s="53"/>
      <c r="DC243" s="53"/>
      <c r="DD243" s="53"/>
      <c r="DE243" s="53"/>
      <c r="DF243" s="53"/>
      <c r="DG243" s="53"/>
      <c r="DH243" s="53"/>
      <c r="DI243" s="53"/>
      <c r="DJ243" s="53"/>
      <c r="DK243" s="53"/>
      <c r="DL243" s="53"/>
      <c r="DM243" s="53"/>
      <c r="DN243" s="53"/>
      <c r="DO243" s="53"/>
      <c r="DP243" s="53"/>
      <c r="DQ243" s="53"/>
      <c r="EC243" s="79"/>
      <c r="ED243" s="79"/>
      <c r="EE243" s="79"/>
      <c r="EF243" s="79"/>
      <c r="EG243" s="79"/>
      <c r="EH243" s="91"/>
      <c r="EI243" s="91"/>
      <c r="EJ243" s="91"/>
      <c r="EK243" s="91"/>
      <c r="EL243" s="91"/>
      <c r="EM243" s="100"/>
      <c r="EN243" s="100"/>
      <c r="EO243" s="100"/>
      <c r="EP243" s="100"/>
      <c r="EQ243" s="100"/>
      <c r="ER243" s="100"/>
      <c r="ES243" s="100"/>
      <c r="ET243" s="100"/>
      <c r="EU243" s="100"/>
      <c r="EV243" s="100"/>
      <c r="EW243" s="100"/>
      <c r="EY243" s="56"/>
    </row>
    <row r="244" spans="1:155" s="52" customFormat="1" hidden="1" outlineLevel="1">
      <c r="A244" s="51" t="s">
        <v>225</v>
      </c>
      <c r="BB244" s="52">
        <f t="shared" ref="BB244:BU244" si="341">BB242/AX242-1</f>
        <v>0.34951456310679618</v>
      </c>
      <c r="BC244" s="52">
        <f t="shared" si="341"/>
        <v>2</v>
      </c>
      <c r="BD244" s="52">
        <f t="shared" si="341"/>
        <v>0.5135135135135136</v>
      </c>
      <c r="BE244" s="52">
        <f t="shared" si="341"/>
        <v>-0.14503816793893132</v>
      </c>
      <c r="BF244" s="52">
        <f t="shared" si="341"/>
        <v>4.3165467625899234E-2</v>
      </c>
      <c r="BG244" s="52">
        <f t="shared" si="341"/>
        <v>-0.19496855345911945</v>
      </c>
      <c r="BH244" s="52">
        <f t="shared" si="341"/>
        <v>-0.2321428571428571</v>
      </c>
      <c r="BI244" s="52">
        <f t="shared" si="341"/>
        <v>0.40178571428571419</v>
      </c>
      <c r="BJ244" s="52">
        <f t="shared" si="341"/>
        <v>0.10344827586206895</v>
      </c>
      <c r="BK244" s="52">
        <f t="shared" si="341"/>
        <v>0.296875</v>
      </c>
      <c r="BL244" s="52">
        <f t="shared" si="341"/>
        <v>0.86821705426356588</v>
      </c>
      <c r="BM244" s="52">
        <f t="shared" si="341"/>
        <v>0.63694267515923575</v>
      </c>
      <c r="BN244" s="52">
        <f t="shared" si="341"/>
        <v>1.0750000000000002</v>
      </c>
      <c r="BO244" s="52">
        <f t="shared" si="341"/>
        <v>1.0060240963855422</v>
      </c>
      <c r="BP244" s="52">
        <f t="shared" si="341"/>
        <v>0.7385892116182573</v>
      </c>
      <c r="BQ244" s="52">
        <f t="shared" si="341"/>
        <v>0.75097276264591439</v>
      </c>
      <c r="BR244" s="52">
        <f t="shared" si="341"/>
        <v>0.33132530120481918</v>
      </c>
      <c r="BS244" s="52">
        <f t="shared" si="341"/>
        <v>0.40240240240240244</v>
      </c>
      <c r="BT244" s="52">
        <f t="shared" si="341"/>
        <v>-2.863961813842486E-2</v>
      </c>
      <c r="BU244" s="52">
        <f t="shared" si="341"/>
        <v>-0.5</v>
      </c>
      <c r="BV244" s="52">
        <f>BV242/BR242-1</f>
        <v>-0.55203619909502266</v>
      </c>
      <c r="BW244" s="52">
        <f>BW242/BS242-1</f>
        <v>1.7130620985010614E-2</v>
      </c>
      <c r="BX244" s="52">
        <f>BX242/BT242-1</f>
        <v>0.10319410319410327</v>
      </c>
      <c r="BY244" s="52">
        <f>BY242/BU242-1</f>
        <v>0.47111111111111104</v>
      </c>
      <c r="BZ244" s="53"/>
      <c r="CA244" s="53"/>
      <c r="CB244" s="53"/>
      <c r="CC244" s="53"/>
      <c r="CD244" s="53"/>
      <c r="CE244" s="53"/>
      <c r="CF244" s="53"/>
      <c r="CG244" s="53"/>
      <c r="CH244" s="53"/>
      <c r="CI244" s="53"/>
      <c r="CJ244" s="53"/>
      <c r="CK244" s="53"/>
      <c r="CL244" s="53"/>
      <c r="CM244" s="53"/>
      <c r="CN244" s="53"/>
      <c r="CO244" s="53"/>
      <c r="CP244" s="53"/>
      <c r="CQ244" s="53"/>
      <c r="CR244" s="53"/>
      <c r="CS244" s="53"/>
      <c r="CT244" s="53"/>
      <c r="CU244" s="53"/>
      <c r="CV244" s="53"/>
      <c r="CW244" s="53"/>
      <c r="CX244" s="53"/>
      <c r="CY244" s="53"/>
      <c r="CZ244" s="53"/>
      <c r="DA244" s="53"/>
      <c r="DB244" s="53"/>
      <c r="DC244" s="53"/>
      <c r="DD244" s="53"/>
      <c r="DE244" s="53"/>
      <c r="DF244" s="53"/>
      <c r="DG244" s="53"/>
      <c r="DH244" s="53"/>
      <c r="DI244" s="53"/>
      <c r="DJ244" s="53"/>
      <c r="DK244" s="53"/>
      <c r="DL244" s="53"/>
      <c r="DM244" s="53"/>
      <c r="DN244" s="53"/>
      <c r="DO244" s="53"/>
      <c r="DP244" s="53"/>
      <c r="DQ244" s="53"/>
      <c r="EC244" s="79"/>
      <c r="ED244" s="79"/>
      <c r="EE244" s="79"/>
      <c r="EF244" s="79"/>
      <c r="EG244" s="91">
        <f t="shared" ref="EG244:EL244" si="342">EG242/EF242-1</f>
        <v>0.45226130653266328</v>
      </c>
      <c r="EH244" s="52">
        <f t="shared" si="342"/>
        <v>-3.2871972318339049E-2</v>
      </c>
      <c r="EI244" s="52">
        <f t="shared" si="342"/>
        <v>0.47406082289803231</v>
      </c>
      <c r="EJ244" s="52">
        <f t="shared" si="342"/>
        <v>0.86165048543689315</v>
      </c>
      <c r="EK244" s="52">
        <f t="shared" si="342"/>
        <v>4.5632333767926525E-3</v>
      </c>
      <c r="EL244" s="52">
        <f t="shared" si="342"/>
        <v>-5.7105775470473685E-2</v>
      </c>
      <c r="EM244" s="57"/>
      <c r="EN244" s="57"/>
      <c r="EO244" s="57"/>
      <c r="EP244" s="57"/>
      <c r="EQ244" s="57"/>
      <c r="ER244" s="57"/>
      <c r="ES244" s="57"/>
      <c r="ET244" s="57"/>
      <c r="EU244" s="57"/>
      <c r="EV244" s="57"/>
      <c r="EW244" s="57"/>
      <c r="EY244" s="56"/>
    </row>
    <row r="245" spans="1:155" s="52" customFormat="1" hidden="1" outlineLevel="1">
      <c r="A245" s="51" t="s">
        <v>270</v>
      </c>
      <c r="AX245" s="52">
        <f t="shared" ref="AX245:BY245" si="343">AX242/AX$254</f>
        <v>0.10785340314136126</v>
      </c>
      <c r="AY245" s="52">
        <f t="shared" si="343"/>
        <v>5.268389662027833E-2</v>
      </c>
      <c r="AZ245" s="52">
        <f t="shared" si="343"/>
        <v>0.1072463768115942</v>
      </c>
      <c r="BA245" s="52">
        <f t="shared" si="343"/>
        <v>0.1145104895104895</v>
      </c>
      <c r="BB245" s="52" t="e">
        <f t="shared" si="343"/>
        <v>#REF!</v>
      </c>
      <c r="BC245" s="52" t="e">
        <f t="shared" si="343"/>
        <v>#REF!</v>
      </c>
      <c r="BD245" s="52" t="e">
        <f t="shared" si="343"/>
        <v>#REF!</v>
      </c>
      <c r="BE245" s="52" t="e">
        <f t="shared" si="343"/>
        <v>#REF!</v>
      </c>
      <c r="BF245" s="52" t="e">
        <f t="shared" si="343"/>
        <v>#REF!</v>
      </c>
      <c r="BG245" s="52" t="e">
        <f t="shared" si="343"/>
        <v>#REF!</v>
      </c>
      <c r="BH245" s="52" t="e">
        <f t="shared" si="343"/>
        <v>#REF!</v>
      </c>
      <c r="BI245" s="52" t="e">
        <f t="shared" si="343"/>
        <v>#REF!</v>
      </c>
      <c r="BJ245" s="52" t="e">
        <f t="shared" si="343"/>
        <v>#REF!</v>
      </c>
      <c r="BK245" s="52" t="e">
        <f t="shared" si="343"/>
        <v>#REF!</v>
      </c>
      <c r="BL245" s="52" t="e">
        <f t="shared" si="343"/>
        <v>#REF!</v>
      </c>
      <c r="BM245" s="52" t="e">
        <f t="shared" si="343"/>
        <v>#REF!</v>
      </c>
      <c r="BN245" s="52" t="e">
        <f t="shared" si="343"/>
        <v>#REF!</v>
      </c>
      <c r="BO245" s="52">
        <f t="shared" si="343"/>
        <v>0.1493273542600897</v>
      </c>
      <c r="BP245" s="52">
        <f t="shared" si="343"/>
        <v>0.15895295902883155</v>
      </c>
      <c r="BQ245" s="52">
        <f>BQ242/BQ$254</f>
        <v>0.15458605290278254</v>
      </c>
      <c r="BR245" s="52">
        <f>BR242/BR$254</f>
        <v>0.13782351106953539</v>
      </c>
      <c r="BS245" s="52">
        <f t="shared" si="343"/>
        <v>0.1495357028498239</v>
      </c>
      <c r="BT245" s="52">
        <f t="shared" si="343"/>
        <v>0.12794718641936498</v>
      </c>
      <c r="BU245" s="52">
        <f t="shared" si="343"/>
        <v>0.10204081632653061</v>
      </c>
      <c r="BV245" s="52">
        <f t="shared" si="343"/>
        <v>8.9189189189189194E-2</v>
      </c>
      <c r="BW245" s="52">
        <f t="shared" si="343"/>
        <v>0.18417991469561845</v>
      </c>
      <c r="BX245" s="52">
        <f t="shared" si="343"/>
        <v>0.14897146648971465</v>
      </c>
      <c r="BY245" s="52">
        <f t="shared" si="343"/>
        <v>0.10660225442834138</v>
      </c>
      <c r="BZ245" s="53"/>
      <c r="CA245" s="53"/>
      <c r="CB245" s="53"/>
      <c r="CC245" s="53"/>
      <c r="CD245" s="53"/>
      <c r="CE245" s="53"/>
      <c r="CF245" s="53"/>
      <c r="CG245" s="53"/>
      <c r="CH245" s="53"/>
      <c r="CI245" s="53"/>
      <c r="CJ245" s="53"/>
      <c r="CK245" s="53"/>
      <c r="CL245" s="53"/>
      <c r="CM245" s="53"/>
      <c r="CN245" s="53"/>
      <c r="CO245" s="53"/>
      <c r="CP245" s="53"/>
      <c r="CQ245" s="53"/>
      <c r="CR245" s="53"/>
      <c r="CS245" s="53"/>
      <c r="CT245" s="53"/>
      <c r="CU245" s="53"/>
      <c r="CV245" s="53"/>
      <c r="CW245" s="53"/>
      <c r="CX245" s="53"/>
      <c r="CY245" s="53"/>
      <c r="CZ245" s="53"/>
      <c r="DA245" s="53"/>
      <c r="DB245" s="53"/>
      <c r="DC245" s="53"/>
      <c r="DD245" s="53"/>
      <c r="DE245" s="53"/>
      <c r="DF245" s="53"/>
      <c r="DG245" s="53"/>
      <c r="DH245" s="53"/>
      <c r="DI245" s="53"/>
      <c r="DJ245" s="53"/>
      <c r="DK245" s="53"/>
      <c r="DL245" s="53"/>
      <c r="DM245" s="53"/>
      <c r="DN245" s="53"/>
      <c r="DO245" s="53"/>
      <c r="DP245" s="53"/>
      <c r="DQ245" s="53"/>
      <c r="EC245" s="79"/>
      <c r="ED245" s="79"/>
      <c r="EE245" s="79"/>
      <c r="EF245" s="91">
        <f t="shared" ref="EF245:EK245" si="344">EF242/EF$254</f>
        <v>9.6135265700483086E-2</v>
      </c>
      <c r="EG245" s="91" t="e">
        <f t="shared" si="344"/>
        <v>#REF!</v>
      </c>
      <c r="EH245" s="52" t="e">
        <f t="shared" si="344"/>
        <v>#REF!</v>
      </c>
      <c r="EI245" s="52" t="e">
        <f t="shared" si="344"/>
        <v>#REF!</v>
      </c>
      <c r="EJ245" s="52" t="e">
        <f t="shared" si="344"/>
        <v>#REF!</v>
      </c>
      <c r="EK245" s="52">
        <f t="shared" si="344"/>
        <v>0.1315295322635712</v>
      </c>
      <c r="EL245" s="52">
        <f>EL242/EL$254</f>
        <v>0.13308298223117787</v>
      </c>
      <c r="EM245" s="53"/>
      <c r="EN245" s="53"/>
      <c r="EO245" s="53"/>
      <c r="EP245" s="53"/>
      <c r="EQ245" s="53"/>
      <c r="ER245" s="53"/>
      <c r="ES245" s="53"/>
      <c r="ET245" s="53"/>
      <c r="EU245" s="53"/>
      <c r="EV245" s="53"/>
      <c r="EW245" s="53"/>
    </row>
    <row r="246" spans="1:155" s="49" customFormat="1" hidden="1" outlineLevel="1">
      <c r="A246" s="76" t="s">
        <v>321</v>
      </c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6">
        <v>786</v>
      </c>
      <c r="AY246" s="76">
        <v>887</v>
      </c>
      <c r="AZ246" s="76">
        <v>858</v>
      </c>
      <c r="BA246" s="76">
        <v>947</v>
      </c>
      <c r="BB246" s="76" t="e">
        <f t="shared" ref="BB246:BW246" si="345">BB119-BB242-BB115</f>
        <v>#REF!</v>
      </c>
      <c r="BC246" s="76" t="e">
        <f t="shared" si="345"/>
        <v>#REF!</v>
      </c>
      <c r="BD246" s="76" t="e">
        <f t="shared" si="345"/>
        <v>#REF!</v>
      </c>
      <c r="BE246" s="76" t="e">
        <f t="shared" si="345"/>
        <v>#REF!</v>
      </c>
      <c r="BF246" s="76" t="e">
        <f t="shared" si="345"/>
        <v>#REF!</v>
      </c>
      <c r="BG246" s="76" t="e">
        <f t="shared" si="345"/>
        <v>#REF!</v>
      </c>
      <c r="BH246" s="76" t="e">
        <f t="shared" si="345"/>
        <v>#REF!</v>
      </c>
      <c r="BI246" s="76" t="e">
        <f t="shared" si="345"/>
        <v>#REF!</v>
      </c>
      <c r="BJ246" s="76" t="e">
        <f t="shared" si="345"/>
        <v>#REF!</v>
      </c>
      <c r="BK246" s="76" t="e">
        <f t="shared" si="345"/>
        <v>#REF!</v>
      </c>
      <c r="BL246" s="76" t="e">
        <f t="shared" si="345"/>
        <v>#REF!</v>
      </c>
      <c r="BM246" s="76" t="e">
        <f t="shared" si="345"/>
        <v>#REF!</v>
      </c>
      <c r="BN246" s="76" t="e">
        <f t="shared" si="345"/>
        <v>#REF!</v>
      </c>
      <c r="BO246" s="76">
        <f t="shared" si="345"/>
        <v>1897</v>
      </c>
      <c r="BP246" s="76">
        <f t="shared" si="345"/>
        <v>2217</v>
      </c>
      <c r="BQ246" s="76">
        <f t="shared" si="345"/>
        <v>2461</v>
      </c>
      <c r="BR246" s="76">
        <f t="shared" si="345"/>
        <v>2765</v>
      </c>
      <c r="BS246" s="76">
        <f t="shared" si="345"/>
        <v>2656</v>
      </c>
      <c r="BT246" s="76">
        <f t="shared" si="345"/>
        <v>2774</v>
      </c>
      <c r="BU246" s="76">
        <f t="shared" si="345"/>
        <v>1980</v>
      </c>
      <c r="BV246" s="76">
        <f t="shared" si="345"/>
        <v>2022</v>
      </c>
      <c r="BW246" s="76">
        <f t="shared" si="345"/>
        <v>2104</v>
      </c>
      <c r="BX246" s="76">
        <v>2565</v>
      </c>
      <c r="BY246" s="76">
        <v>2774</v>
      </c>
      <c r="BZ246" s="78"/>
      <c r="CA246" s="78"/>
      <c r="CB246" s="78"/>
      <c r="CC246" s="78"/>
      <c r="CD246" s="78"/>
      <c r="CE246" s="78"/>
      <c r="CF246" s="78"/>
      <c r="CG246" s="78"/>
      <c r="CH246" s="78"/>
      <c r="CI246" s="78"/>
      <c r="CJ246" s="78"/>
      <c r="CK246" s="78"/>
      <c r="CL246" s="78"/>
      <c r="CM246" s="78"/>
      <c r="CN246" s="78"/>
      <c r="CO246" s="78"/>
      <c r="CP246" s="78"/>
      <c r="CQ246" s="78"/>
      <c r="CR246" s="78"/>
      <c r="CS246" s="78"/>
      <c r="CT246" s="78"/>
      <c r="CU246" s="78"/>
      <c r="CV246" s="78"/>
      <c r="CW246" s="78"/>
      <c r="CX246" s="78"/>
      <c r="CY246" s="78"/>
      <c r="CZ246" s="78"/>
      <c r="DA246" s="78"/>
      <c r="DB246" s="78"/>
      <c r="DC246" s="78"/>
      <c r="DD246" s="78"/>
      <c r="DE246" s="78"/>
      <c r="DF246" s="78"/>
      <c r="DG246" s="78"/>
      <c r="DH246" s="78"/>
      <c r="DI246" s="78"/>
      <c r="DJ246" s="78"/>
      <c r="DK246" s="78"/>
      <c r="DL246" s="78"/>
      <c r="DM246" s="78"/>
      <c r="DN246" s="78"/>
      <c r="DO246" s="78"/>
      <c r="DP246" s="78"/>
      <c r="DQ246" s="78"/>
      <c r="DT246" s="77"/>
      <c r="DU246" s="77"/>
      <c r="DV246" s="77"/>
      <c r="DW246" s="77"/>
      <c r="DX246" s="77"/>
      <c r="DY246" s="77"/>
      <c r="DZ246" s="77"/>
      <c r="EA246" s="77"/>
      <c r="EB246" s="77"/>
      <c r="EC246" s="76"/>
      <c r="ED246" s="76"/>
      <c r="EE246" s="76"/>
      <c r="EF246" s="76">
        <f>SUM(AX246:BA246)</f>
        <v>3478</v>
      </c>
      <c r="EG246" s="76" t="e">
        <f>SUM(BB246:BE246)</f>
        <v>#REF!</v>
      </c>
      <c r="EH246" s="76" t="e">
        <f>SUM(BF246:BI246)</f>
        <v>#REF!</v>
      </c>
      <c r="EI246" s="76" t="e">
        <f>SUM(BJ246:BM246)</f>
        <v>#REF!</v>
      </c>
      <c r="EJ246" s="76" t="e">
        <f>SUM(BN246:BQ246)</f>
        <v>#REF!</v>
      </c>
      <c r="EK246" s="76">
        <f>SUM(BR246:BU246)</f>
        <v>10175</v>
      </c>
      <c r="EL246" s="76">
        <f>BV246+BW246+BX246+BY246</f>
        <v>9465</v>
      </c>
      <c r="EM246" s="78"/>
      <c r="EN246" s="78"/>
      <c r="EO246" s="78"/>
      <c r="EP246" s="78"/>
      <c r="EQ246" s="78"/>
      <c r="ER246" s="78"/>
      <c r="ES246" s="78"/>
      <c r="ET246" s="78"/>
      <c r="EU246" s="78"/>
      <c r="EV246" s="78"/>
      <c r="EW246" s="78"/>
    </row>
    <row r="247" spans="1:155" s="52" customFormat="1" hidden="1" outlineLevel="1">
      <c r="A247" s="51" t="s">
        <v>223</v>
      </c>
      <c r="AY247" s="52">
        <f t="shared" ref="AY247:BV247" si="346">AY246/AX246-1</f>
        <v>0.12849872773536886</v>
      </c>
      <c r="AZ247" s="52">
        <f t="shared" si="346"/>
        <v>-3.2694475760992159E-2</v>
      </c>
      <c r="BA247" s="52">
        <f t="shared" si="346"/>
        <v>0.10372960372960383</v>
      </c>
      <c r="BB247" s="52" t="e">
        <f t="shared" si="346"/>
        <v>#REF!</v>
      </c>
      <c r="BC247" s="52" t="e">
        <f t="shared" si="346"/>
        <v>#REF!</v>
      </c>
      <c r="BD247" s="52" t="e">
        <f t="shared" si="346"/>
        <v>#REF!</v>
      </c>
      <c r="BE247" s="52" t="e">
        <f t="shared" si="346"/>
        <v>#REF!</v>
      </c>
      <c r="BF247" s="52" t="e">
        <f t="shared" si="346"/>
        <v>#REF!</v>
      </c>
      <c r="BG247" s="52" t="e">
        <f t="shared" si="346"/>
        <v>#REF!</v>
      </c>
      <c r="BH247" s="52" t="e">
        <f t="shared" si="346"/>
        <v>#REF!</v>
      </c>
      <c r="BI247" s="52" t="e">
        <f t="shared" si="346"/>
        <v>#REF!</v>
      </c>
      <c r="BJ247" s="52" t="e">
        <f t="shared" si="346"/>
        <v>#REF!</v>
      </c>
      <c r="BK247" s="52" t="e">
        <f t="shared" si="346"/>
        <v>#REF!</v>
      </c>
      <c r="BL247" s="52" t="e">
        <f t="shared" si="346"/>
        <v>#REF!</v>
      </c>
      <c r="BM247" s="52" t="e">
        <f t="shared" si="346"/>
        <v>#REF!</v>
      </c>
      <c r="BN247" s="52" t="e">
        <f t="shared" si="346"/>
        <v>#REF!</v>
      </c>
      <c r="BO247" s="52" t="e">
        <f t="shared" si="346"/>
        <v>#REF!</v>
      </c>
      <c r="BP247" s="52">
        <f t="shared" si="346"/>
        <v>0.16868740115972591</v>
      </c>
      <c r="BQ247" s="52">
        <f t="shared" si="346"/>
        <v>0.1100586377988273</v>
      </c>
      <c r="BR247" s="52">
        <f t="shared" si="346"/>
        <v>0.12352702153596096</v>
      </c>
      <c r="BS247" s="52">
        <f t="shared" si="346"/>
        <v>-3.9421338155515406E-2</v>
      </c>
      <c r="BT247" s="52">
        <f t="shared" si="346"/>
        <v>4.4427710843373491E-2</v>
      </c>
      <c r="BU247" s="52">
        <f t="shared" si="346"/>
        <v>-0.28622927180966118</v>
      </c>
      <c r="BV247" s="52">
        <f t="shared" si="346"/>
        <v>2.1212121212121238E-2</v>
      </c>
      <c r="BW247" s="52">
        <f>BW246/BV246-1</f>
        <v>4.0553907022749858E-2</v>
      </c>
      <c r="BX247" s="52">
        <f>BX246/BW246-1</f>
        <v>0.21910646387832711</v>
      </c>
      <c r="BY247" s="52">
        <f>BY246/BX246-1</f>
        <v>8.1481481481481488E-2</v>
      </c>
      <c r="BZ247" s="53"/>
      <c r="CA247" s="53"/>
      <c r="CB247" s="53"/>
      <c r="CC247" s="53"/>
      <c r="CD247" s="53"/>
      <c r="CE247" s="53"/>
      <c r="CF247" s="53"/>
      <c r="CG247" s="53"/>
      <c r="CH247" s="53"/>
      <c r="CI247" s="53"/>
      <c r="CJ247" s="53"/>
      <c r="CK247" s="53"/>
      <c r="CL247" s="53"/>
      <c r="CM247" s="53"/>
      <c r="CN247" s="53"/>
      <c r="CO247" s="53"/>
      <c r="CP247" s="53"/>
      <c r="CQ247" s="53"/>
      <c r="CR247" s="53"/>
      <c r="CS247" s="53"/>
      <c r="CT247" s="53"/>
      <c r="CU247" s="53"/>
      <c r="CV247" s="53"/>
      <c r="CW247" s="53"/>
      <c r="CX247" s="53"/>
      <c r="CY247" s="53"/>
      <c r="CZ247" s="53"/>
      <c r="DA247" s="53"/>
      <c r="DB247" s="53"/>
      <c r="DC247" s="53"/>
      <c r="DD247" s="53"/>
      <c r="DE247" s="53"/>
      <c r="DF247" s="53"/>
      <c r="DG247" s="53"/>
      <c r="DH247" s="53"/>
      <c r="DI247" s="53"/>
      <c r="DJ247" s="53"/>
      <c r="DK247" s="53"/>
      <c r="DL247" s="53"/>
      <c r="DM247" s="53"/>
      <c r="DN247" s="53"/>
      <c r="DO247" s="53"/>
      <c r="DP247" s="53"/>
      <c r="DQ247" s="53"/>
      <c r="EC247" s="79"/>
      <c r="ED247" s="79"/>
      <c r="EE247" s="79"/>
      <c r="EF247" s="79"/>
      <c r="EG247" s="79"/>
      <c r="EH247" s="91"/>
      <c r="EI247" s="91"/>
      <c r="EJ247" s="91"/>
      <c r="EK247" s="91"/>
      <c r="EL247" s="91"/>
      <c r="EM247" s="100"/>
      <c r="EN247" s="100"/>
      <c r="EO247" s="100"/>
      <c r="EP247" s="100"/>
      <c r="EQ247" s="100"/>
      <c r="ER247" s="100"/>
      <c r="ES247" s="100"/>
      <c r="ET247" s="100"/>
      <c r="EU247" s="100"/>
      <c r="EV247" s="100"/>
      <c r="EW247" s="100"/>
      <c r="EY247" s="56"/>
    </row>
    <row r="248" spans="1:155" s="52" customFormat="1" hidden="1" outlineLevel="1">
      <c r="A248" s="51" t="s">
        <v>225</v>
      </c>
      <c r="BB248" s="52" t="e">
        <f t="shared" ref="BB248:BV248" si="347">BB246/AX246-1</f>
        <v>#REF!</v>
      </c>
      <c r="BC248" s="52" t="e">
        <f t="shared" si="347"/>
        <v>#REF!</v>
      </c>
      <c r="BD248" s="52" t="e">
        <f t="shared" si="347"/>
        <v>#REF!</v>
      </c>
      <c r="BE248" s="52" t="e">
        <f t="shared" si="347"/>
        <v>#REF!</v>
      </c>
      <c r="BF248" s="52" t="e">
        <f t="shared" si="347"/>
        <v>#REF!</v>
      </c>
      <c r="BG248" s="52" t="e">
        <f t="shared" si="347"/>
        <v>#REF!</v>
      </c>
      <c r="BH248" s="52" t="e">
        <f t="shared" si="347"/>
        <v>#REF!</v>
      </c>
      <c r="BI248" s="52" t="e">
        <f t="shared" si="347"/>
        <v>#REF!</v>
      </c>
      <c r="BJ248" s="52" t="e">
        <f t="shared" si="347"/>
        <v>#REF!</v>
      </c>
      <c r="BK248" s="52" t="e">
        <f t="shared" si="347"/>
        <v>#REF!</v>
      </c>
      <c r="BL248" s="52" t="e">
        <f t="shared" si="347"/>
        <v>#REF!</v>
      </c>
      <c r="BM248" s="52" t="e">
        <f t="shared" si="347"/>
        <v>#REF!</v>
      </c>
      <c r="BN248" s="52" t="e">
        <f t="shared" si="347"/>
        <v>#REF!</v>
      </c>
      <c r="BO248" s="52" t="e">
        <f t="shared" si="347"/>
        <v>#REF!</v>
      </c>
      <c r="BP248" s="52" t="e">
        <f t="shared" si="347"/>
        <v>#REF!</v>
      </c>
      <c r="BQ248" s="52" t="e">
        <f t="shared" si="347"/>
        <v>#REF!</v>
      </c>
      <c r="BR248" s="52" t="e">
        <f t="shared" si="347"/>
        <v>#REF!</v>
      </c>
      <c r="BS248" s="52">
        <f t="shared" si="347"/>
        <v>0.40010542962572493</v>
      </c>
      <c r="BT248" s="52">
        <f t="shared" si="347"/>
        <v>0.25124041497519167</v>
      </c>
      <c r="BU248" s="52">
        <f t="shared" si="347"/>
        <v>-0.19544900446972779</v>
      </c>
      <c r="BV248" s="52">
        <f t="shared" si="347"/>
        <v>-0.2687160940325497</v>
      </c>
      <c r="BW248" s="52">
        <f>BW246/BS246-1</f>
        <v>-0.20783132530120485</v>
      </c>
      <c r="BX248" s="52">
        <f>BX246/BT246-1</f>
        <v>-7.5342465753424626E-2</v>
      </c>
      <c r="BY248" s="52">
        <f>BY246/BU246-1</f>
        <v>0.40101010101010104</v>
      </c>
      <c r="BZ248" s="53"/>
      <c r="CA248" s="53"/>
      <c r="CB248" s="53"/>
      <c r="CC248" s="53"/>
      <c r="CD248" s="53"/>
      <c r="CE248" s="53"/>
      <c r="CF248" s="53"/>
      <c r="CG248" s="53"/>
      <c r="CH248" s="53"/>
      <c r="CI248" s="53"/>
      <c r="CJ248" s="53"/>
      <c r="CK248" s="53"/>
      <c r="CL248" s="53"/>
      <c r="CM248" s="53"/>
      <c r="CN248" s="53"/>
      <c r="CO248" s="53"/>
      <c r="CP248" s="53"/>
      <c r="CQ248" s="53"/>
      <c r="CR248" s="53"/>
      <c r="CS248" s="53"/>
      <c r="CT248" s="53"/>
      <c r="CU248" s="53"/>
      <c r="CV248" s="53"/>
      <c r="CW248" s="53"/>
      <c r="CX248" s="53"/>
      <c r="CY248" s="53"/>
      <c r="CZ248" s="53"/>
      <c r="DA248" s="53"/>
      <c r="DB248" s="53"/>
      <c r="DC248" s="53"/>
      <c r="DD248" s="53"/>
      <c r="DE248" s="53"/>
      <c r="DF248" s="53"/>
      <c r="DG248" s="53"/>
      <c r="DH248" s="53"/>
      <c r="DI248" s="53"/>
      <c r="DJ248" s="53"/>
      <c r="DK248" s="53"/>
      <c r="DL248" s="53"/>
      <c r="DM248" s="53"/>
      <c r="DN248" s="53"/>
      <c r="DO248" s="53"/>
      <c r="DP248" s="53"/>
      <c r="DQ248" s="53"/>
      <c r="EC248" s="79"/>
      <c r="ED248" s="79"/>
      <c r="EE248" s="79"/>
      <c r="EF248" s="79"/>
      <c r="EG248" s="91" t="e">
        <f t="shared" ref="EG248:EL248" si="348">EG246/EF246-1</f>
        <v>#REF!</v>
      </c>
      <c r="EH248" s="52" t="e">
        <f t="shared" si="348"/>
        <v>#REF!</v>
      </c>
      <c r="EI248" s="52" t="e">
        <f t="shared" si="348"/>
        <v>#REF!</v>
      </c>
      <c r="EJ248" s="52" t="e">
        <f t="shared" si="348"/>
        <v>#REF!</v>
      </c>
      <c r="EK248" s="52" t="e">
        <f t="shared" si="348"/>
        <v>#REF!</v>
      </c>
      <c r="EL248" s="52">
        <f t="shared" si="348"/>
        <v>-6.9778869778869823E-2</v>
      </c>
      <c r="EM248" s="57"/>
      <c r="EN248" s="57"/>
      <c r="EO248" s="57"/>
      <c r="EP248" s="57"/>
      <c r="EQ248" s="57"/>
      <c r="ER248" s="57"/>
      <c r="ES248" s="57"/>
      <c r="ET248" s="57"/>
      <c r="EU248" s="57"/>
      <c r="EV248" s="57"/>
      <c r="EW248" s="57"/>
      <c r="EY248" s="56"/>
    </row>
    <row r="249" spans="1:155" s="52" customFormat="1" hidden="1" outlineLevel="1">
      <c r="A249" s="51" t="s">
        <v>270</v>
      </c>
      <c r="AX249" s="52">
        <f t="shared" ref="AX249:BU249" si="349">AX246/AX$254</f>
        <v>0.82303664921465969</v>
      </c>
      <c r="AY249" s="52">
        <f t="shared" si="349"/>
        <v>0.88170974155069581</v>
      </c>
      <c r="AZ249" s="52">
        <f t="shared" si="349"/>
        <v>0.82898550724637676</v>
      </c>
      <c r="BA249" s="52">
        <f t="shared" si="349"/>
        <v>0.82779720279720281</v>
      </c>
      <c r="BB249" s="52" t="e">
        <f t="shared" si="349"/>
        <v>#REF!</v>
      </c>
      <c r="BC249" s="52" t="e">
        <f t="shared" si="349"/>
        <v>#REF!</v>
      </c>
      <c r="BD249" s="52" t="e">
        <f t="shared" si="349"/>
        <v>#REF!</v>
      </c>
      <c r="BE249" s="52" t="e">
        <f t="shared" si="349"/>
        <v>#REF!</v>
      </c>
      <c r="BF249" s="52" t="e">
        <f t="shared" si="349"/>
        <v>#REF!</v>
      </c>
      <c r="BG249" s="52" t="e">
        <f t="shared" si="349"/>
        <v>#REF!</v>
      </c>
      <c r="BH249" s="52" t="e">
        <f t="shared" si="349"/>
        <v>#REF!</v>
      </c>
      <c r="BI249" s="52" t="e">
        <f t="shared" si="349"/>
        <v>#REF!</v>
      </c>
      <c r="BJ249" s="52" t="e">
        <f t="shared" si="349"/>
        <v>#REF!</v>
      </c>
      <c r="BK249" s="52" t="e">
        <f t="shared" si="349"/>
        <v>#REF!</v>
      </c>
      <c r="BL249" s="52" t="e">
        <f t="shared" si="349"/>
        <v>#REF!</v>
      </c>
      <c r="BM249" s="52" t="e">
        <f t="shared" si="349"/>
        <v>#REF!</v>
      </c>
      <c r="BN249" s="52" t="e">
        <f t="shared" si="349"/>
        <v>#REF!</v>
      </c>
      <c r="BO249" s="52">
        <f t="shared" si="349"/>
        <v>0.8506726457399103</v>
      </c>
      <c r="BP249" s="52">
        <f t="shared" si="349"/>
        <v>0.84104704097116845</v>
      </c>
      <c r="BQ249" s="52">
        <f>BQ246/BQ$254</f>
        <v>0.8454139470972174</v>
      </c>
      <c r="BR249" s="52">
        <f>BR246/BR$254</f>
        <v>0.86217648893046461</v>
      </c>
      <c r="BS249" s="52">
        <f t="shared" si="349"/>
        <v>0.85046429715017613</v>
      </c>
      <c r="BT249" s="52">
        <f>BT246/BT$254</f>
        <v>0.87205281358063502</v>
      </c>
      <c r="BU249" s="52">
        <f t="shared" si="349"/>
        <v>0.89795918367346939</v>
      </c>
      <c r="BV249" s="52">
        <f>BV246/BV$254</f>
        <v>0.91081081081081083</v>
      </c>
      <c r="BW249" s="52">
        <f>BW246/BW$254</f>
        <v>0.81582008530438155</v>
      </c>
      <c r="BX249" s="52">
        <f>BX246/BX$254</f>
        <v>0.85102853351028529</v>
      </c>
      <c r="BY249" s="52">
        <f>BY246/BY$254</f>
        <v>0.89339774557165863</v>
      </c>
      <c r="BZ249" s="53"/>
      <c r="CA249" s="53"/>
      <c r="CB249" s="53"/>
      <c r="CC249" s="53"/>
      <c r="CD249" s="53"/>
      <c r="CE249" s="53"/>
      <c r="CF249" s="53"/>
      <c r="CG249" s="53"/>
      <c r="CH249" s="53"/>
      <c r="CI249" s="53"/>
      <c r="CJ249" s="53"/>
      <c r="CK249" s="53"/>
      <c r="CL249" s="53"/>
      <c r="CM249" s="53"/>
      <c r="CN249" s="53"/>
      <c r="CO249" s="53"/>
      <c r="CP249" s="53"/>
      <c r="CQ249" s="53"/>
      <c r="CR249" s="53"/>
      <c r="CS249" s="53"/>
      <c r="CT249" s="53"/>
      <c r="CU249" s="53"/>
      <c r="CV249" s="53"/>
      <c r="CW249" s="53"/>
      <c r="CX249" s="53"/>
      <c r="CY249" s="53"/>
      <c r="CZ249" s="53"/>
      <c r="DA249" s="53"/>
      <c r="DB249" s="53"/>
      <c r="DC249" s="53"/>
      <c r="DD249" s="53"/>
      <c r="DE249" s="53"/>
      <c r="DF249" s="53"/>
      <c r="DG249" s="53"/>
      <c r="DH249" s="53"/>
      <c r="DI249" s="53"/>
      <c r="DJ249" s="53"/>
      <c r="DK249" s="53"/>
      <c r="DL249" s="53"/>
      <c r="DM249" s="53"/>
      <c r="DN249" s="53"/>
      <c r="DO249" s="53"/>
      <c r="DP249" s="53"/>
      <c r="DQ249" s="53"/>
      <c r="EC249" s="79"/>
      <c r="ED249" s="79"/>
      <c r="EE249" s="79"/>
      <c r="EF249" s="91">
        <f t="shared" ref="EF249:EL249" si="350">EF246/EF$254</f>
        <v>0.84009661835748795</v>
      </c>
      <c r="EG249" s="91" t="e">
        <f t="shared" si="350"/>
        <v>#REF!</v>
      </c>
      <c r="EH249" s="52" t="e">
        <f t="shared" si="350"/>
        <v>#REF!</v>
      </c>
      <c r="EI249" s="52" t="e">
        <f t="shared" si="350"/>
        <v>#REF!</v>
      </c>
      <c r="EJ249" s="52" t="e">
        <f t="shared" si="350"/>
        <v>#REF!</v>
      </c>
      <c r="EK249" s="52">
        <f t="shared" si="350"/>
        <v>0.86847046773642878</v>
      </c>
      <c r="EL249" s="52">
        <f t="shared" si="350"/>
        <v>0.86691701776882213</v>
      </c>
      <c r="EM249" s="53"/>
      <c r="EN249" s="53"/>
      <c r="EO249" s="53"/>
      <c r="EP249" s="53"/>
      <c r="EQ249" s="53"/>
      <c r="ER249" s="53"/>
      <c r="ES249" s="53"/>
      <c r="ET249" s="53"/>
      <c r="EU249" s="53"/>
      <c r="EV249" s="53"/>
      <c r="EW249" s="53"/>
    </row>
    <row r="250" spans="1:155" s="49" customFormat="1" hidden="1" outlineLevel="1">
      <c r="A250" s="76" t="s">
        <v>271</v>
      </c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6">
        <v>66</v>
      </c>
      <c r="AY250" s="76">
        <v>66</v>
      </c>
      <c r="AZ250" s="76">
        <v>66</v>
      </c>
      <c r="BA250" s="76">
        <v>66</v>
      </c>
      <c r="BB250" s="76">
        <f t="shared" ref="BB250:BN250" si="351">BB115</f>
        <v>66</v>
      </c>
      <c r="BC250" s="76">
        <f t="shared" si="351"/>
        <v>66</v>
      </c>
      <c r="BD250" s="76">
        <f t="shared" si="351"/>
        <v>66</v>
      </c>
      <c r="BE250" s="76">
        <f t="shared" si="351"/>
        <v>66</v>
      </c>
      <c r="BF250" s="76">
        <f t="shared" si="351"/>
        <v>66</v>
      </c>
      <c r="BG250" s="76">
        <f t="shared" si="351"/>
        <v>66</v>
      </c>
      <c r="BH250" s="76">
        <f t="shared" si="351"/>
        <v>66</v>
      </c>
      <c r="BI250" s="76">
        <f t="shared" si="351"/>
        <v>66</v>
      </c>
      <c r="BJ250" s="76">
        <f t="shared" si="351"/>
        <v>66</v>
      </c>
      <c r="BK250" s="76">
        <f t="shared" si="351"/>
        <v>66</v>
      </c>
      <c r="BL250" s="76">
        <f t="shared" si="351"/>
        <v>66</v>
      </c>
      <c r="BM250" s="76">
        <f t="shared" si="351"/>
        <v>66</v>
      </c>
      <c r="BN250" s="76">
        <f t="shared" si="351"/>
        <v>43</v>
      </c>
      <c r="BO250" s="78"/>
      <c r="BP250" s="78"/>
      <c r="BQ250" s="78"/>
      <c r="BR250" s="78"/>
      <c r="BS250" s="78"/>
      <c r="BT250" s="78"/>
      <c r="BU250" s="76"/>
      <c r="BV250" s="78"/>
      <c r="BW250" s="78"/>
      <c r="BX250" s="78"/>
      <c r="BY250" s="78"/>
      <c r="BZ250" s="78"/>
      <c r="CA250" s="78"/>
      <c r="CB250" s="78"/>
      <c r="CC250" s="78"/>
      <c r="CD250" s="78"/>
      <c r="CE250" s="78"/>
      <c r="CF250" s="78"/>
      <c r="CG250" s="78"/>
      <c r="CH250" s="78"/>
      <c r="CI250" s="78"/>
      <c r="CJ250" s="78"/>
      <c r="CK250" s="78"/>
      <c r="CL250" s="78"/>
      <c r="CM250" s="78"/>
      <c r="CN250" s="78"/>
      <c r="CO250" s="78"/>
      <c r="CP250" s="78"/>
      <c r="CQ250" s="78"/>
      <c r="CR250" s="78"/>
      <c r="CS250" s="78"/>
      <c r="CT250" s="78"/>
      <c r="CU250" s="78"/>
      <c r="CV250" s="78"/>
      <c r="CW250" s="78"/>
      <c r="CX250" s="78"/>
      <c r="CY250" s="78"/>
      <c r="CZ250" s="78"/>
      <c r="DA250" s="78"/>
      <c r="DB250" s="78"/>
      <c r="DC250" s="78"/>
      <c r="DD250" s="78"/>
      <c r="DE250" s="78"/>
      <c r="DF250" s="78"/>
      <c r="DG250" s="78"/>
      <c r="DH250" s="78"/>
      <c r="DI250" s="78"/>
      <c r="DJ250" s="78"/>
      <c r="DK250" s="78"/>
      <c r="DL250" s="78"/>
      <c r="DM250" s="78"/>
      <c r="DN250" s="78"/>
      <c r="DO250" s="78"/>
      <c r="DP250" s="78"/>
      <c r="DQ250" s="78"/>
      <c r="DT250" s="77"/>
      <c r="DU250" s="77"/>
      <c r="DV250" s="77"/>
      <c r="DW250" s="77"/>
      <c r="DX250" s="77"/>
      <c r="DY250" s="77"/>
      <c r="DZ250" s="77"/>
      <c r="EA250" s="77"/>
      <c r="EB250" s="77"/>
      <c r="EC250" s="76"/>
      <c r="ED250" s="76"/>
      <c r="EE250" s="76"/>
      <c r="EF250" s="76">
        <f>SUM(AX250:BA250)</f>
        <v>264</v>
      </c>
      <c r="EG250" s="76">
        <f>SUM(BB250:BE250)</f>
        <v>264</v>
      </c>
      <c r="EH250" s="76">
        <f>SUM(BF250:BI250)</f>
        <v>264</v>
      </c>
      <c r="EI250" s="76">
        <f>SUM(BJ250:BM250)</f>
        <v>264</v>
      </c>
      <c r="EJ250" s="76">
        <f>SUM(BN250:BQ250)</f>
        <v>43</v>
      </c>
      <c r="EK250" s="76"/>
      <c r="EL250" s="76"/>
      <c r="EM250" s="78"/>
      <c r="EN250" s="78"/>
      <c r="EO250" s="78"/>
      <c r="EP250" s="78"/>
      <c r="EQ250" s="78"/>
      <c r="ER250" s="78"/>
      <c r="ES250" s="78"/>
      <c r="ET250" s="78"/>
      <c r="EU250" s="78"/>
      <c r="EV250" s="78"/>
      <c r="EW250" s="78"/>
    </row>
    <row r="251" spans="1:155" s="52" customFormat="1" hidden="1" outlineLevel="1">
      <c r="A251" s="51" t="s">
        <v>223</v>
      </c>
      <c r="AY251" s="52">
        <f t="shared" ref="AY251:BK251" si="352">AY250/AX250-1</f>
        <v>0</v>
      </c>
      <c r="AZ251" s="52">
        <f t="shared" si="352"/>
        <v>0</v>
      </c>
      <c r="BA251" s="52">
        <f t="shared" si="352"/>
        <v>0</v>
      </c>
      <c r="BB251" s="52">
        <f t="shared" si="352"/>
        <v>0</v>
      </c>
      <c r="BC251" s="52">
        <f t="shared" si="352"/>
        <v>0</v>
      </c>
      <c r="BD251" s="52">
        <f t="shared" si="352"/>
        <v>0</v>
      </c>
      <c r="BE251" s="52">
        <f t="shared" si="352"/>
        <v>0</v>
      </c>
      <c r="BF251" s="52">
        <f t="shared" si="352"/>
        <v>0</v>
      </c>
      <c r="BG251" s="52">
        <f t="shared" si="352"/>
        <v>0</v>
      </c>
      <c r="BH251" s="52">
        <f t="shared" si="352"/>
        <v>0</v>
      </c>
      <c r="BI251" s="52">
        <f t="shared" si="352"/>
        <v>0</v>
      </c>
      <c r="BJ251" s="52">
        <f t="shared" si="352"/>
        <v>0</v>
      </c>
      <c r="BK251" s="52">
        <f t="shared" si="352"/>
        <v>0</v>
      </c>
      <c r="BL251" s="52">
        <f>BL250/BK250-1</f>
        <v>0</v>
      </c>
      <c r="BM251" s="52">
        <f>BM250/BL250-1</f>
        <v>0</v>
      </c>
      <c r="BN251" s="52">
        <f>BN250/BM250-1</f>
        <v>-0.34848484848484851</v>
      </c>
      <c r="EC251" s="79"/>
      <c r="ED251" s="79"/>
      <c r="EE251" s="79"/>
      <c r="EF251" s="79"/>
      <c r="EG251" s="79"/>
      <c r="EH251" s="91"/>
      <c r="EI251" s="91"/>
      <c r="EJ251" s="91"/>
      <c r="EK251" s="91"/>
      <c r="EL251" s="91"/>
      <c r="EM251" s="100"/>
      <c r="EN251" s="100"/>
      <c r="EO251" s="100"/>
      <c r="EP251" s="100"/>
      <c r="EQ251" s="100"/>
      <c r="ER251" s="100"/>
      <c r="ES251" s="100"/>
      <c r="ET251" s="100"/>
      <c r="EU251" s="100"/>
      <c r="EV251" s="100"/>
      <c r="EW251" s="100"/>
    </row>
    <row r="252" spans="1:155" s="52" customFormat="1" hidden="1" outlineLevel="1">
      <c r="A252" s="51" t="s">
        <v>225</v>
      </c>
      <c r="BB252" s="52">
        <f t="shared" ref="BB252:BK252" si="353">BB250/AX250-1</f>
        <v>0</v>
      </c>
      <c r="BC252" s="52">
        <f t="shared" si="353"/>
        <v>0</v>
      </c>
      <c r="BD252" s="52">
        <f t="shared" si="353"/>
        <v>0</v>
      </c>
      <c r="BE252" s="52">
        <f t="shared" si="353"/>
        <v>0</v>
      </c>
      <c r="BF252" s="52">
        <f t="shared" si="353"/>
        <v>0</v>
      </c>
      <c r="BG252" s="52">
        <f t="shared" si="353"/>
        <v>0</v>
      </c>
      <c r="BH252" s="52">
        <f t="shared" si="353"/>
        <v>0</v>
      </c>
      <c r="BI252" s="52">
        <f t="shared" si="353"/>
        <v>0</v>
      </c>
      <c r="BJ252" s="52">
        <f t="shared" si="353"/>
        <v>0</v>
      </c>
      <c r="BK252" s="52">
        <f t="shared" si="353"/>
        <v>0</v>
      </c>
      <c r="BL252" s="52">
        <f>BL250/BH250-1</f>
        <v>0</v>
      </c>
      <c r="BM252" s="52">
        <f>BM250/BI250-1</f>
        <v>0</v>
      </c>
      <c r="BN252" s="52">
        <f>BN250/BJ250-1</f>
        <v>-0.34848484848484851</v>
      </c>
      <c r="EC252" s="79"/>
      <c r="ED252" s="79"/>
      <c r="EE252" s="79"/>
      <c r="EF252" s="79"/>
      <c r="EG252" s="91">
        <f>EG250/EF250-1</f>
        <v>0</v>
      </c>
      <c r="EH252" s="52">
        <f>EH250/EG250-1</f>
        <v>0</v>
      </c>
      <c r="EI252" s="52">
        <f>EI250/EH250-1</f>
        <v>0</v>
      </c>
      <c r="EJ252" s="52">
        <f>EJ250/EI250-1</f>
        <v>-0.83712121212121215</v>
      </c>
      <c r="EM252" s="53"/>
      <c r="EN252" s="53"/>
      <c r="EO252" s="53"/>
      <c r="EP252" s="53"/>
      <c r="EQ252" s="53"/>
      <c r="ER252" s="53"/>
      <c r="ES252" s="53"/>
      <c r="ET252" s="53"/>
      <c r="EU252" s="53"/>
      <c r="EV252" s="53"/>
      <c r="EW252" s="53"/>
    </row>
    <row r="253" spans="1:155" s="52" customFormat="1" hidden="1" outlineLevel="1">
      <c r="A253" s="51" t="s">
        <v>270</v>
      </c>
      <c r="AX253" s="52">
        <f t="shared" ref="AX253:BU253" si="354">AX250/AX$254</f>
        <v>6.9109947643979056E-2</v>
      </c>
      <c r="AY253" s="52">
        <f t="shared" si="354"/>
        <v>6.560636182902585E-2</v>
      </c>
      <c r="AZ253" s="52">
        <f t="shared" si="354"/>
        <v>6.3768115942028983E-2</v>
      </c>
      <c r="BA253" s="52">
        <f t="shared" si="354"/>
        <v>5.7692307692307696E-2</v>
      </c>
      <c r="BB253" s="52" t="e">
        <f t="shared" si="354"/>
        <v>#REF!</v>
      </c>
      <c r="BC253" s="52" t="e">
        <f t="shared" si="354"/>
        <v>#REF!</v>
      </c>
      <c r="BD253" s="52" t="e">
        <f t="shared" si="354"/>
        <v>#REF!</v>
      </c>
      <c r="BE253" s="52" t="e">
        <f t="shared" si="354"/>
        <v>#REF!</v>
      </c>
      <c r="BF253" s="52" t="e">
        <f t="shared" si="354"/>
        <v>#REF!</v>
      </c>
      <c r="BG253" s="52" t="e">
        <f t="shared" si="354"/>
        <v>#REF!</v>
      </c>
      <c r="BH253" s="52" t="e">
        <f t="shared" si="354"/>
        <v>#REF!</v>
      </c>
      <c r="BI253" s="52" t="e">
        <f t="shared" si="354"/>
        <v>#REF!</v>
      </c>
      <c r="BJ253" s="52" t="e">
        <f t="shared" si="354"/>
        <v>#REF!</v>
      </c>
      <c r="BK253" s="52" t="e">
        <f t="shared" si="354"/>
        <v>#REF!</v>
      </c>
      <c r="BL253" s="52" t="e">
        <f t="shared" si="354"/>
        <v>#REF!</v>
      </c>
      <c r="BM253" s="52" t="e">
        <f t="shared" si="354"/>
        <v>#REF!</v>
      </c>
      <c r="BN253" s="52" t="e">
        <f t="shared" si="354"/>
        <v>#REF!</v>
      </c>
      <c r="BO253" s="52">
        <f t="shared" si="354"/>
        <v>0</v>
      </c>
      <c r="BP253" s="52">
        <f t="shared" si="354"/>
        <v>0</v>
      </c>
      <c r="BQ253" s="52">
        <f t="shared" si="354"/>
        <v>0</v>
      </c>
      <c r="BR253" s="52">
        <f t="shared" si="354"/>
        <v>0</v>
      </c>
      <c r="BS253" s="52">
        <f t="shared" si="354"/>
        <v>0</v>
      </c>
      <c r="BT253" s="52">
        <f t="shared" si="354"/>
        <v>0</v>
      </c>
      <c r="BU253" s="52">
        <f t="shared" si="354"/>
        <v>0</v>
      </c>
      <c r="BV253" s="52">
        <f>BV250/BV$254</f>
        <v>0</v>
      </c>
      <c r="BW253" s="52">
        <f>BW250/BW$254</f>
        <v>0</v>
      </c>
      <c r="BX253" s="52">
        <f>BX250/BX$254</f>
        <v>0</v>
      </c>
      <c r="BY253" s="52">
        <f>BY250/BY$254</f>
        <v>0</v>
      </c>
      <c r="BZ253" s="53"/>
      <c r="CA253" s="53"/>
      <c r="CB253" s="53"/>
      <c r="CC253" s="53"/>
      <c r="CD253" s="53"/>
      <c r="CE253" s="53"/>
      <c r="CF253" s="53"/>
      <c r="CG253" s="53"/>
      <c r="CH253" s="53"/>
      <c r="CI253" s="53"/>
      <c r="CJ253" s="53"/>
      <c r="CK253" s="53"/>
      <c r="CL253" s="53"/>
      <c r="CM253" s="53"/>
      <c r="CN253" s="53"/>
      <c r="CO253" s="53"/>
      <c r="CP253" s="53"/>
      <c r="CQ253" s="53"/>
      <c r="CR253" s="53"/>
      <c r="CS253" s="53"/>
      <c r="CT253" s="53"/>
      <c r="CU253" s="53"/>
      <c r="CV253" s="53"/>
      <c r="CW253" s="53"/>
      <c r="CX253" s="53"/>
      <c r="CY253" s="53"/>
      <c r="CZ253" s="53"/>
      <c r="DA253" s="53"/>
      <c r="DB253" s="53"/>
      <c r="DC253" s="53"/>
      <c r="DD253" s="53"/>
      <c r="DE253" s="53"/>
      <c r="DF253" s="53"/>
      <c r="DG253" s="53"/>
      <c r="DH253" s="53"/>
      <c r="DI253" s="53"/>
      <c r="DJ253" s="53"/>
      <c r="DK253" s="53"/>
      <c r="DL253" s="53"/>
      <c r="DM253" s="53"/>
      <c r="DN253" s="53"/>
      <c r="DO253" s="53"/>
      <c r="DP253" s="53"/>
      <c r="DQ253" s="53"/>
      <c r="EC253" s="79"/>
      <c r="ED253" s="79"/>
      <c r="EE253" s="79"/>
      <c r="EF253" s="91">
        <f t="shared" ref="EF253:EL253" si="355">EF250/EF$254</f>
        <v>6.3768115942028983E-2</v>
      </c>
      <c r="EG253" s="91" t="e">
        <f t="shared" si="355"/>
        <v>#REF!</v>
      </c>
      <c r="EH253" s="52" t="e">
        <f t="shared" si="355"/>
        <v>#REF!</v>
      </c>
      <c r="EI253" s="52" t="e">
        <f t="shared" si="355"/>
        <v>#REF!</v>
      </c>
      <c r="EJ253" s="52" t="e">
        <f t="shared" si="355"/>
        <v>#REF!</v>
      </c>
      <c r="EK253" s="52">
        <f t="shared" si="355"/>
        <v>0</v>
      </c>
      <c r="EL253" s="52">
        <f t="shared" si="355"/>
        <v>0</v>
      </c>
      <c r="EM253" s="53"/>
      <c r="EN253" s="53"/>
      <c r="EO253" s="53"/>
      <c r="EP253" s="53"/>
      <c r="EQ253" s="53"/>
      <c r="ER253" s="53"/>
      <c r="ES253" s="53"/>
      <c r="ET253" s="53"/>
      <c r="EU253" s="53"/>
      <c r="EV253" s="53"/>
      <c r="EW253" s="53"/>
    </row>
    <row r="254" spans="1:155" s="49" customFormat="1" hidden="1" outlineLevel="1">
      <c r="A254" s="76" t="s">
        <v>272</v>
      </c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6">
        <f t="shared" ref="AX254:CA254" si="356">AX250+AX246+AX242</f>
        <v>955</v>
      </c>
      <c r="AY254" s="76">
        <f t="shared" si="356"/>
        <v>1006</v>
      </c>
      <c r="AZ254" s="76">
        <f t="shared" si="356"/>
        <v>1035</v>
      </c>
      <c r="BA254" s="76">
        <f t="shared" si="356"/>
        <v>1144</v>
      </c>
      <c r="BB254" s="76" t="e">
        <f t="shared" si="356"/>
        <v>#REF!</v>
      </c>
      <c r="BC254" s="76" t="e">
        <f t="shared" si="356"/>
        <v>#REF!</v>
      </c>
      <c r="BD254" s="76" t="e">
        <f t="shared" si="356"/>
        <v>#REF!</v>
      </c>
      <c r="BE254" s="76" t="e">
        <f t="shared" si="356"/>
        <v>#REF!</v>
      </c>
      <c r="BF254" s="76" t="e">
        <f t="shared" si="356"/>
        <v>#REF!</v>
      </c>
      <c r="BG254" s="76" t="e">
        <f t="shared" si="356"/>
        <v>#REF!</v>
      </c>
      <c r="BH254" s="76" t="e">
        <f t="shared" si="356"/>
        <v>#REF!</v>
      </c>
      <c r="BI254" s="76" t="e">
        <f t="shared" si="356"/>
        <v>#REF!</v>
      </c>
      <c r="BJ254" s="76" t="e">
        <f t="shared" si="356"/>
        <v>#REF!</v>
      </c>
      <c r="BK254" s="76" t="e">
        <f t="shared" si="356"/>
        <v>#REF!</v>
      </c>
      <c r="BL254" s="76" t="e">
        <f t="shared" si="356"/>
        <v>#REF!</v>
      </c>
      <c r="BM254" s="76" t="e">
        <f t="shared" si="356"/>
        <v>#REF!</v>
      </c>
      <c r="BN254" s="76" t="e">
        <f>BN250+BN246+BN242</f>
        <v>#REF!</v>
      </c>
      <c r="BO254" s="76">
        <f t="shared" si="356"/>
        <v>2230</v>
      </c>
      <c r="BP254" s="76">
        <f t="shared" si="356"/>
        <v>2636</v>
      </c>
      <c r="BQ254" s="76">
        <f t="shared" si="356"/>
        <v>2911</v>
      </c>
      <c r="BR254" s="76">
        <f t="shared" si="356"/>
        <v>3207</v>
      </c>
      <c r="BS254" s="76">
        <f t="shared" si="356"/>
        <v>3123</v>
      </c>
      <c r="BT254" s="76">
        <f t="shared" si="356"/>
        <v>3181</v>
      </c>
      <c r="BU254" s="76">
        <f t="shared" si="356"/>
        <v>2205</v>
      </c>
      <c r="BV254" s="76">
        <f t="shared" si="356"/>
        <v>2220</v>
      </c>
      <c r="BW254" s="76">
        <f t="shared" si="356"/>
        <v>2579</v>
      </c>
      <c r="BX254" s="76">
        <f t="shared" si="356"/>
        <v>3014</v>
      </c>
      <c r="BY254" s="76">
        <f t="shared" si="356"/>
        <v>3105</v>
      </c>
      <c r="BZ254" s="76">
        <f t="shared" si="356"/>
        <v>0</v>
      </c>
      <c r="CA254" s="76">
        <f t="shared" si="356"/>
        <v>0</v>
      </c>
      <c r="CB254" s="78"/>
      <c r="CC254" s="78"/>
      <c r="CD254" s="78"/>
      <c r="CE254" s="78"/>
      <c r="CF254" s="78"/>
      <c r="CG254" s="78"/>
      <c r="CH254" s="78"/>
      <c r="CI254" s="78"/>
      <c r="CJ254" s="78"/>
      <c r="CK254" s="78"/>
      <c r="CL254" s="78"/>
      <c r="CM254" s="78"/>
      <c r="CN254" s="78"/>
      <c r="CO254" s="78"/>
      <c r="CP254" s="78"/>
      <c r="CQ254" s="78"/>
      <c r="CR254" s="78"/>
      <c r="CS254" s="78"/>
      <c r="CT254" s="78"/>
      <c r="CU254" s="78"/>
      <c r="CV254" s="78"/>
      <c r="CW254" s="78"/>
      <c r="CX254" s="78"/>
      <c r="CY254" s="78"/>
      <c r="CZ254" s="78"/>
      <c r="DA254" s="78"/>
      <c r="DB254" s="78"/>
      <c r="DC254" s="78"/>
      <c r="DD254" s="78"/>
      <c r="DE254" s="78"/>
      <c r="DF254" s="78"/>
      <c r="DG254" s="78"/>
      <c r="DH254" s="78"/>
      <c r="DI254" s="78"/>
      <c r="DJ254" s="78"/>
      <c r="DK254" s="78"/>
      <c r="DL254" s="78"/>
      <c r="DM254" s="78"/>
      <c r="DN254" s="78"/>
      <c r="DO254" s="78"/>
      <c r="DP254" s="78"/>
      <c r="DQ254" s="78"/>
      <c r="DT254" s="77"/>
      <c r="DU254" s="77"/>
      <c r="DV254" s="77"/>
      <c r="DW254" s="77"/>
      <c r="DX254" s="77"/>
      <c r="DY254" s="77"/>
      <c r="DZ254" s="77"/>
      <c r="EA254" s="77"/>
      <c r="EB254" s="77"/>
      <c r="EC254" s="76"/>
      <c r="ED254" s="76"/>
      <c r="EE254" s="76"/>
      <c r="EF254" s="76">
        <f>SUM(AX254:BA254)</f>
        <v>4140</v>
      </c>
      <c r="EG254" s="76" t="e">
        <f>SUM(BB254:BE254)</f>
        <v>#REF!</v>
      </c>
      <c r="EH254" s="76" t="e">
        <f>SUM(BF254:BI254)</f>
        <v>#REF!</v>
      </c>
      <c r="EI254" s="76" t="e">
        <f>SUM(BJ254:BM254)</f>
        <v>#REF!</v>
      </c>
      <c r="EJ254" s="76" t="e">
        <f>SUM(BN254:BQ254)</f>
        <v>#REF!</v>
      </c>
      <c r="EK254" s="76">
        <f>SUM(BR254:BU254)</f>
        <v>11716</v>
      </c>
      <c r="EL254" s="76">
        <f>BV254+BW254+BX254+BY254</f>
        <v>10918</v>
      </c>
      <c r="EM254" s="78"/>
      <c r="EN254" s="78"/>
      <c r="EO254" s="78"/>
      <c r="EP254" s="78"/>
      <c r="EQ254" s="78"/>
      <c r="ER254" s="78"/>
      <c r="ES254" s="78"/>
      <c r="ET254" s="78"/>
      <c r="EU254" s="78"/>
      <c r="EV254" s="78"/>
      <c r="EW254" s="78"/>
    </row>
    <row r="255" spans="1:155" s="52" customFormat="1" hidden="1" outlineLevel="1">
      <c r="A255" s="51" t="s">
        <v>223</v>
      </c>
      <c r="AY255" s="52">
        <f t="shared" ref="AY255:CA255" si="357">AY254/AX254-1</f>
        <v>5.3403141361256568E-2</v>
      </c>
      <c r="AZ255" s="52">
        <f t="shared" si="357"/>
        <v>2.8827037773359931E-2</v>
      </c>
      <c r="BA255" s="52">
        <f t="shared" si="357"/>
        <v>0.10531400966183568</v>
      </c>
      <c r="BB255" s="52" t="e">
        <f t="shared" si="357"/>
        <v>#REF!</v>
      </c>
      <c r="BC255" s="52" t="e">
        <f t="shared" si="357"/>
        <v>#REF!</v>
      </c>
      <c r="BD255" s="52" t="e">
        <f t="shared" si="357"/>
        <v>#REF!</v>
      </c>
      <c r="BE255" s="52" t="e">
        <f t="shared" si="357"/>
        <v>#REF!</v>
      </c>
      <c r="BF255" s="52" t="e">
        <f t="shared" si="357"/>
        <v>#REF!</v>
      </c>
      <c r="BG255" s="52" t="e">
        <f t="shared" si="357"/>
        <v>#REF!</v>
      </c>
      <c r="BH255" s="52" t="e">
        <f t="shared" si="357"/>
        <v>#REF!</v>
      </c>
      <c r="BI255" s="52" t="e">
        <f t="shared" si="357"/>
        <v>#REF!</v>
      </c>
      <c r="BJ255" s="52" t="e">
        <f t="shared" si="357"/>
        <v>#REF!</v>
      </c>
      <c r="BK255" s="52" t="e">
        <f t="shared" si="357"/>
        <v>#REF!</v>
      </c>
      <c r="BL255" s="52" t="e">
        <f t="shared" si="357"/>
        <v>#REF!</v>
      </c>
      <c r="BM255" s="52" t="e">
        <f t="shared" si="357"/>
        <v>#REF!</v>
      </c>
      <c r="BN255" s="52" t="e">
        <f t="shared" si="357"/>
        <v>#REF!</v>
      </c>
      <c r="BO255" s="52" t="e">
        <f t="shared" si="357"/>
        <v>#REF!</v>
      </c>
      <c r="BP255" s="52">
        <f t="shared" si="357"/>
        <v>0.1820627802690582</v>
      </c>
      <c r="BQ255" s="52">
        <f t="shared" si="357"/>
        <v>0.10432473444613044</v>
      </c>
      <c r="BR255" s="52">
        <f t="shared" si="357"/>
        <v>0.1016832703538304</v>
      </c>
      <c r="BS255" s="52">
        <f t="shared" si="357"/>
        <v>-2.6192703461178635E-2</v>
      </c>
      <c r="BT255" s="52">
        <f t="shared" si="357"/>
        <v>1.8571886007044514E-2</v>
      </c>
      <c r="BU255" s="52">
        <f t="shared" si="357"/>
        <v>-0.30682175416535684</v>
      </c>
      <c r="BV255" s="52">
        <f t="shared" si="357"/>
        <v>6.8027210884353817E-3</v>
      </c>
      <c r="BW255" s="52">
        <f t="shared" si="357"/>
        <v>0.16171171171171173</v>
      </c>
      <c r="BX255" s="52">
        <f t="shared" si="357"/>
        <v>0.16867002714230317</v>
      </c>
      <c r="BY255" s="52">
        <f t="shared" si="357"/>
        <v>3.0192435301924281E-2</v>
      </c>
      <c r="BZ255" s="52">
        <f t="shared" si="357"/>
        <v>-1</v>
      </c>
      <c r="CA255" s="52" t="e">
        <f t="shared" si="357"/>
        <v>#DIV/0!</v>
      </c>
      <c r="CB255" s="53"/>
      <c r="CC255" s="53"/>
      <c r="CD255" s="53"/>
      <c r="CE255" s="53"/>
      <c r="CF255" s="53"/>
      <c r="CG255" s="53"/>
      <c r="CH255" s="53"/>
      <c r="CI255" s="53"/>
      <c r="CJ255" s="53"/>
      <c r="CK255" s="53"/>
      <c r="CL255" s="53"/>
      <c r="CM255" s="53"/>
      <c r="CN255" s="53"/>
      <c r="CO255" s="53"/>
      <c r="CP255" s="53"/>
      <c r="CQ255" s="53"/>
      <c r="CR255" s="53"/>
      <c r="CS255" s="53"/>
      <c r="CT255" s="53"/>
      <c r="CU255" s="53"/>
      <c r="CV255" s="53"/>
      <c r="CW255" s="53"/>
      <c r="CX255" s="53"/>
      <c r="CY255" s="53"/>
      <c r="CZ255" s="53"/>
      <c r="DA255" s="53"/>
      <c r="DB255" s="53"/>
      <c r="DC255" s="53"/>
      <c r="DD255" s="53"/>
      <c r="DE255" s="53"/>
      <c r="DF255" s="53"/>
      <c r="DG255" s="53"/>
      <c r="DH255" s="53"/>
      <c r="DI255" s="53"/>
      <c r="DJ255" s="53"/>
      <c r="DK255" s="53"/>
      <c r="DL255" s="53"/>
      <c r="DM255" s="53"/>
      <c r="DN255" s="53"/>
      <c r="DO255" s="53"/>
      <c r="DP255" s="53"/>
      <c r="DQ255" s="53"/>
      <c r="EG255" s="91"/>
      <c r="EH255" s="91"/>
      <c r="EI255" s="91"/>
      <c r="EJ255" s="91"/>
      <c r="EK255" s="91"/>
      <c r="EL255" s="91"/>
      <c r="EM255" s="100"/>
      <c r="EN255" s="100"/>
      <c r="EO255" s="100"/>
      <c r="EP255" s="100"/>
      <c r="EQ255" s="100"/>
      <c r="ER255" s="100"/>
      <c r="ES255" s="100"/>
      <c r="ET255" s="100"/>
      <c r="EU255" s="100"/>
      <c r="EV255" s="100"/>
      <c r="EW255" s="100"/>
    </row>
    <row r="256" spans="1:155" s="52" customFormat="1" hidden="1" outlineLevel="1">
      <c r="A256" s="51" t="s">
        <v>225</v>
      </c>
      <c r="BB256" s="52" t="e">
        <f t="shared" ref="BB256:CA256" si="358">BB254/AX254-1</f>
        <v>#REF!</v>
      </c>
      <c r="BC256" s="52" t="e">
        <f t="shared" si="358"/>
        <v>#REF!</v>
      </c>
      <c r="BD256" s="52" t="e">
        <f t="shared" si="358"/>
        <v>#REF!</v>
      </c>
      <c r="BE256" s="52" t="e">
        <f t="shared" si="358"/>
        <v>#REF!</v>
      </c>
      <c r="BF256" s="52" t="e">
        <f t="shared" si="358"/>
        <v>#REF!</v>
      </c>
      <c r="BG256" s="52" t="e">
        <f t="shared" si="358"/>
        <v>#REF!</v>
      </c>
      <c r="BH256" s="52" t="e">
        <f t="shared" si="358"/>
        <v>#REF!</v>
      </c>
      <c r="BI256" s="52" t="e">
        <f t="shared" si="358"/>
        <v>#REF!</v>
      </c>
      <c r="BJ256" s="52" t="e">
        <f t="shared" si="358"/>
        <v>#REF!</v>
      </c>
      <c r="BK256" s="52" t="e">
        <f t="shared" si="358"/>
        <v>#REF!</v>
      </c>
      <c r="BL256" s="52" t="e">
        <f t="shared" si="358"/>
        <v>#REF!</v>
      </c>
      <c r="BM256" s="52" t="e">
        <f t="shared" si="358"/>
        <v>#REF!</v>
      </c>
      <c r="BN256" s="52" t="e">
        <f t="shared" si="358"/>
        <v>#REF!</v>
      </c>
      <c r="BO256" s="52" t="e">
        <f t="shared" si="358"/>
        <v>#REF!</v>
      </c>
      <c r="BP256" s="52" t="e">
        <f t="shared" si="358"/>
        <v>#REF!</v>
      </c>
      <c r="BQ256" s="52" t="e">
        <f t="shared" si="358"/>
        <v>#REF!</v>
      </c>
      <c r="BR256" s="52" t="e">
        <f t="shared" si="358"/>
        <v>#REF!</v>
      </c>
      <c r="BS256" s="52">
        <f t="shared" si="358"/>
        <v>0.40044843049327361</v>
      </c>
      <c r="BT256" s="52">
        <f t="shared" si="358"/>
        <v>0.20675265553869493</v>
      </c>
      <c r="BU256" s="52">
        <f t="shared" si="358"/>
        <v>-0.24252834077636554</v>
      </c>
      <c r="BV256" s="52">
        <f t="shared" si="358"/>
        <v>-0.3077642656688494</v>
      </c>
      <c r="BW256" s="52">
        <f t="shared" si="358"/>
        <v>-0.17419148254883121</v>
      </c>
      <c r="BX256" s="52">
        <f t="shared" si="358"/>
        <v>-5.2499214083621459E-2</v>
      </c>
      <c r="BY256" s="52">
        <f t="shared" si="358"/>
        <v>0.40816326530612246</v>
      </c>
      <c r="BZ256" s="52">
        <f t="shared" si="358"/>
        <v>-1</v>
      </c>
      <c r="CA256" s="52">
        <f t="shared" si="358"/>
        <v>-1</v>
      </c>
      <c r="CB256" s="53"/>
      <c r="CC256" s="53"/>
      <c r="CD256" s="53"/>
      <c r="CE256" s="53"/>
      <c r="CF256" s="53"/>
      <c r="CG256" s="53"/>
      <c r="CH256" s="53"/>
      <c r="CI256" s="53"/>
      <c r="CJ256" s="53"/>
      <c r="CK256" s="53"/>
      <c r="CL256" s="53"/>
      <c r="CM256" s="53"/>
      <c r="CN256" s="53"/>
      <c r="CO256" s="53"/>
      <c r="CP256" s="53"/>
      <c r="CQ256" s="53"/>
      <c r="CR256" s="53"/>
      <c r="CS256" s="53"/>
      <c r="CT256" s="53"/>
      <c r="CU256" s="53"/>
      <c r="CV256" s="53"/>
      <c r="CW256" s="53"/>
      <c r="CX256" s="53"/>
      <c r="CY256" s="53"/>
      <c r="CZ256" s="53"/>
      <c r="DA256" s="53"/>
      <c r="DB256" s="53"/>
      <c r="DC256" s="53"/>
      <c r="DD256" s="53"/>
      <c r="DE256" s="53"/>
      <c r="DF256" s="53"/>
      <c r="DG256" s="53"/>
      <c r="DH256" s="53"/>
      <c r="DI256" s="53"/>
      <c r="DJ256" s="53"/>
      <c r="DK256" s="53"/>
      <c r="DL256" s="53"/>
      <c r="DM256" s="53"/>
      <c r="DN256" s="53"/>
      <c r="DO256" s="53"/>
      <c r="DP256" s="53"/>
      <c r="DQ256" s="53"/>
      <c r="EG256" s="91" t="e">
        <f t="shared" ref="EG256:EL256" si="359">EG254/EF254-1</f>
        <v>#REF!</v>
      </c>
      <c r="EH256" s="52" t="e">
        <f t="shared" si="359"/>
        <v>#REF!</v>
      </c>
      <c r="EI256" s="52" t="e">
        <f t="shared" si="359"/>
        <v>#REF!</v>
      </c>
      <c r="EJ256" s="52" t="e">
        <f t="shared" si="359"/>
        <v>#REF!</v>
      </c>
      <c r="EK256" s="52" t="e">
        <f t="shared" si="359"/>
        <v>#REF!</v>
      </c>
      <c r="EL256" s="52">
        <f t="shared" si="359"/>
        <v>-6.8111983612154314E-2</v>
      </c>
      <c r="EM256" s="57"/>
      <c r="EN256" s="57"/>
      <c r="EO256" s="57"/>
      <c r="EP256" s="57"/>
      <c r="EQ256" s="57"/>
      <c r="ER256" s="57"/>
      <c r="ES256" s="57"/>
      <c r="ET256" s="57"/>
      <c r="EU256" s="57"/>
      <c r="EV256" s="57"/>
      <c r="EW256" s="57"/>
    </row>
    <row r="257" spans="1:137" s="52" customFormat="1" hidden="1" outlineLevel="1">
      <c r="A257" s="51" t="s">
        <v>270</v>
      </c>
      <c r="AX257" s="52">
        <f t="shared" ref="AX257:CA257" si="360">AX254/AX$254</f>
        <v>1</v>
      </c>
      <c r="AY257" s="52">
        <f t="shared" si="360"/>
        <v>1</v>
      </c>
      <c r="AZ257" s="52">
        <f t="shared" si="360"/>
        <v>1</v>
      </c>
      <c r="BA257" s="52">
        <f t="shared" si="360"/>
        <v>1</v>
      </c>
      <c r="BB257" s="52" t="e">
        <f t="shared" si="360"/>
        <v>#REF!</v>
      </c>
      <c r="BC257" s="52" t="e">
        <f t="shared" si="360"/>
        <v>#REF!</v>
      </c>
      <c r="BD257" s="52" t="e">
        <f t="shared" si="360"/>
        <v>#REF!</v>
      </c>
      <c r="BE257" s="52" t="e">
        <f t="shared" si="360"/>
        <v>#REF!</v>
      </c>
      <c r="BF257" s="52" t="e">
        <f t="shared" si="360"/>
        <v>#REF!</v>
      </c>
      <c r="BG257" s="52" t="e">
        <f t="shared" si="360"/>
        <v>#REF!</v>
      </c>
      <c r="BH257" s="52" t="e">
        <f t="shared" si="360"/>
        <v>#REF!</v>
      </c>
      <c r="BI257" s="52" t="e">
        <f t="shared" si="360"/>
        <v>#REF!</v>
      </c>
      <c r="BJ257" s="52" t="e">
        <f t="shared" si="360"/>
        <v>#REF!</v>
      </c>
      <c r="BK257" s="52" t="e">
        <f t="shared" si="360"/>
        <v>#REF!</v>
      </c>
      <c r="BL257" s="52" t="e">
        <f t="shared" si="360"/>
        <v>#REF!</v>
      </c>
      <c r="BM257" s="52" t="e">
        <f t="shared" si="360"/>
        <v>#REF!</v>
      </c>
      <c r="BN257" s="52" t="e">
        <f t="shared" si="360"/>
        <v>#REF!</v>
      </c>
      <c r="BO257" s="52">
        <f t="shared" si="360"/>
        <v>1</v>
      </c>
      <c r="BP257" s="52">
        <f t="shared" si="360"/>
        <v>1</v>
      </c>
      <c r="BQ257" s="52">
        <f t="shared" si="360"/>
        <v>1</v>
      </c>
      <c r="BR257" s="52">
        <f t="shared" si="360"/>
        <v>1</v>
      </c>
      <c r="BS257" s="52">
        <f t="shared" si="360"/>
        <v>1</v>
      </c>
      <c r="BT257" s="52">
        <f t="shared" si="360"/>
        <v>1</v>
      </c>
      <c r="BU257" s="52">
        <f t="shared" si="360"/>
        <v>1</v>
      </c>
      <c r="BV257" s="52">
        <f t="shared" si="360"/>
        <v>1</v>
      </c>
      <c r="BW257" s="52">
        <f t="shared" si="360"/>
        <v>1</v>
      </c>
      <c r="BX257" s="52">
        <f t="shared" si="360"/>
        <v>1</v>
      </c>
      <c r="BY257" s="52">
        <f t="shared" si="360"/>
        <v>1</v>
      </c>
      <c r="BZ257" s="52" t="e">
        <f t="shared" si="360"/>
        <v>#DIV/0!</v>
      </c>
      <c r="CA257" s="52" t="e">
        <f t="shared" si="360"/>
        <v>#DIV/0!</v>
      </c>
      <c r="CB257" s="53"/>
      <c r="CC257" s="53"/>
      <c r="CD257" s="53"/>
      <c r="CE257" s="53"/>
      <c r="CF257" s="53"/>
      <c r="CG257" s="53"/>
      <c r="CH257" s="53"/>
      <c r="CI257" s="53"/>
      <c r="CJ257" s="53"/>
      <c r="CK257" s="53"/>
      <c r="CL257" s="53"/>
      <c r="CM257" s="53"/>
      <c r="CN257" s="53"/>
      <c r="CO257" s="53"/>
      <c r="CP257" s="53"/>
      <c r="CQ257" s="53"/>
      <c r="CR257" s="53"/>
      <c r="CS257" s="53"/>
      <c r="CT257" s="53"/>
      <c r="CU257" s="53"/>
      <c r="CV257" s="53"/>
      <c r="CW257" s="53"/>
      <c r="CX257" s="53"/>
      <c r="CY257" s="53"/>
      <c r="CZ257" s="53"/>
      <c r="DA257" s="53"/>
      <c r="DB257" s="53"/>
      <c r="DC257" s="53"/>
      <c r="DD257" s="53"/>
      <c r="DE257" s="53"/>
      <c r="DF257" s="53"/>
      <c r="DG257" s="53"/>
      <c r="DH257" s="53"/>
      <c r="DI257" s="53"/>
      <c r="DJ257" s="53"/>
      <c r="DK257" s="53"/>
      <c r="DL257" s="53"/>
      <c r="DM257" s="53"/>
      <c r="DN257" s="53"/>
      <c r="DO257" s="53"/>
      <c r="DP257" s="53"/>
      <c r="DQ257" s="53"/>
      <c r="EE257" s="91"/>
      <c r="EF257" s="91"/>
      <c r="EG257" s="91"/>
    </row>
    <row r="258" spans="1:137" collapsed="1">
      <c r="BK258" s="136" t="e">
        <f t="shared" ref="BK258:CA258" si="361">BK254-BK5</f>
        <v>#REF!</v>
      </c>
      <c r="BL258" s="136" t="e">
        <f t="shared" si="361"/>
        <v>#REF!</v>
      </c>
      <c r="BM258" s="136" t="e">
        <f t="shared" si="361"/>
        <v>#REF!</v>
      </c>
      <c r="BN258" s="136" t="e">
        <f t="shared" si="361"/>
        <v>#REF!</v>
      </c>
      <c r="BO258" s="68">
        <f t="shared" si="361"/>
        <v>0</v>
      </c>
      <c r="BP258" s="136">
        <f t="shared" si="361"/>
        <v>0</v>
      </c>
      <c r="BQ258" s="136">
        <f t="shared" si="361"/>
        <v>0</v>
      </c>
      <c r="BR258" s="136">
        <f t="shared" si="361"/>
        <v>0</v>
      </c>
      <c r="BS258" s="136">
        <f t="shared" si="361"/>
        <v>0</v>
      </c>
      <c r="BT258" s="136">
        <f t="shared" si="361"/>
        <v>0</v>
      </c>
      <c r="BU258" s="136">
        <f t="shared" si="361"/>
        <v>0</v>
      </c>
      <c r="BV258" s="136">
        <f t="shared" si="361"/>
        <v>0</v>
      </c>
      <c r="BW258" s="136">
        <f t="shared" si="361"/>
        <v>0</v>
      </c>
      <c r="BX258" s="136">
        <f t="shared" si="361"/>
        <v>0</v>
      </c>
      <c r="BY258" s="136">
        <f t="shared" si="361"/>
        <v>0</v>
      </c>
      <c r="BZ258" s="136">
        <f t="shared" si="361"/>
        <v>-3080</v>
      </c>
      <c r="CA258" s="136">
        <f t="shared" si="361"/>
        <v>-3866</v>
      </c>
      <c r="CB258" s="136"/>
      <c r="CC258" s="136"/>
      <c r="CD258" s="136"/>
      <c r="CE258" s="136"/>
      <c r="CF258" s="136"/>
      <c r="CG258" s="136"/>
      <c r="CH258" s="136"/>
      <c r="CI258" s="136"/>
      <c r="CJ258" s="136"/>
      <c r="CK258" s="136"/>
      <c r="CL258" s="136"/>
      <c r="CM258" s="136"/>
      <c r="CN258" s="136"/>
      <c r="CO258" s="136"/>
      <c r="CP258" s="136"/>
      <c r="CQ258" s="136"/>
      <c r="CR258" s="136"/>
      <c r="CS258" s="136"/>
      <c r="CT258" s="136"/>
      <c r="CU258" s="136"/>
      <c r="CV258" s="136"/>
      <c r="CW258" s="136"/>
      <c r="CX258" s="136"/>
      <c r="CY258" s="136"/>
      <c r="CZ258" s="136"/>
      <c r="DA258" s="136"/>
      <c r="DB258" s="136"/>
      <c r="DC258" s="136"/>
      <c r="DD258" s="136"/>
      <c r="DE258" s="136"/>
      <c r="DF258" s="136"/>
      <c r="DG258" s="136"/>
      <c r="DH258" s="136"/>
      <c r="DI258" s="136"/>
      <c r="DJ258" s="136"/>
      <c r="DK258" s="136"/>
      <c r="DL258" s="136"/>
      <c r="DM258" s="136"/>
      <c r="DN258" s="136"/>
      <c r="DO258" s="136"/>
      <c r="DP258" s="136"/>
      <c r="DQ258" s="136"/>
    </row>
    <row r="260" spans="1:137">
      <c r="A260" s="119" t="s">
        <v>75</v>
      </c>
    </row>
    <row r="261" spans="1:137">
      <c r="A261" s="38" t="s">
        <v>235</v>
      </c>
      <c r="BB261" s="137">
        <v>47.805</v>
      </c>
      <c r="BC261" s="137">
        <v>51.006999999999998</v>
      </c>
      <c r="BD261" s="137">
        <v>53.786000000000001</v>
      </c>
      <c r="BE261" s="137">
        <v>56.814</v>
      </c>
      <c r="BF261" s="137">
        <v>56.427999999999997</v>
      </c>
      <c r="BG261" s="137">
        <v>62.015000000000001</v>
      </c>
      <c r="BH261" s="137">
        <v>65.405000000000001</v>
      </c>
      <c r="BI261" s="137">
        <v>65.62</v>
      </c>
      <c r="BJ261" s="137">
        <v>71.171999999999997</v>
      </c>
      <c r="BK261" s="137">
        <v>82.298000000000002</v>
      </c>
      <c r="BL261" s="137">
        <v>83.927999999999997</v>
      </c>
      <c r="BM261" s="137">
        <v>85.650999999999996</v>
      </c>
      <c r="BN261" s="137">
        <v>89.582999999999998</v>
      </c>
      <c r="BO261" s="137">
        <v>92.347999999999999</v>
      </c>
      <c r="BP261" s="137">
        <v>90.915999999999997</v>
      </c>
      <c r="BQ261" s="137">
        <v>95.295000000000002</v>
      </c>
      <c r="BR261" s="38">
        <f>86.426-0.192-0.287</f>
        <v>85.947000000000003</v>
      </c>
      <c r="BS261" s="38">
        <f>86.074-0.194-0.088</f>
        <v>85.792000000000002</v>
      </c>
      <c r="BT261" s="38">
        <f>91.595-0.196</f>
        <v>91.399000000000001</v>
      </c>
      <c r="BU261" s="38">
        <f>92.126-0.196</f>
        <v>91.93</v>
      </c>
      <c r="BV261" s="38">
        <f>92.205-0.192</f>
        <v>92.013000000000005</v>
      </c>
      <c r="BW261" s="38">
        <f>99.329-0.194-0.231</f>
        <v>98.903999999999996</v>
      </c>
      <c r="BX261" s="38">
        <f>107.38-0.196</f>
        <v>107.184</v>
      </c>
      <c r="BY261" s="38">
        <f>115.961-0.196</f>
        <v>115.765</v>
      </c>
      <c r="BZ261" s="38">
        <f>122.426-0.206</f>
        <v>122.22</v>
      </c>
      <c r="CA261" s="38">
        <f>+CA264*CA$91</f>
        <v>162</v>
      </c>
      <c r="CB261" s="38">
        <f>+CB264*CB$91</f>
        <v>184.5</v>
      </c>
    </row>
    <row r="262" spans="1:137">
      <c r="A262" s="69" t="s">
        <v>223</v>
      </c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52">
        <f t="shared" ref="BC262:BZ262" si="362">BC261/BB261-1</f>
        <v>6.6980441376425004E-2</v>
      </c>
      <c r="BD262" s="52">
        <f t="shared" si="362"/>
        <v>5.4482718058305846E-2</v>
      </c>
      <c r="BE262" s="52">
        <f t="shared" si="362"/>
        <v>5.6297177704235368E-2</v>
      </c>
      <c r="BF262" s="52">
        <f t="shared" si="362"/>
        <v>-6.7941000457634182E-3</v>
      </c>
      <c r="BG262" s="52">
        <f t="shared" si="362"/>
        <v>9.9011129226625139E-2</v>
      </c>
      <c r="BH262" s="52">
        <f t="shared" si="362"/>
        <v>5.4664194146577527E-2</v>
      </c>
      <c r="BI262" s="52">
        <f t="shared" si="362"/>
        <v>3.2872104579160233E-3</v>
      </c>
      <c r="BJ262" s="52">
        <f t="shared" si="362"/>
        <v>8.4608351112465563E-2</v>
      </c>
      <c r="BK262" s="52">
        <f t="shared" si="362"/>
        <v>0.15632552127241062</v>
      </c>
      <c r="BL262" s="52">
        <f t="shared" si="362"/>
        <v>1.9806070621400274E-2</v>
      </c>
      <c r="BM262" s="52">
        <f t="shared" si="362"/>
        <v>2.0529501477456913E-2</v>
      </c>
      <c r="BN262" s="52">
        <f t="shared" si="362"/>
        <v>4.5907228170132264E-2</v>
      </c>
      <c r="BO262" s="52">
        <f t="shared" si="362"/>
        <v>3.0865231126441461E-2</v>
      </c>
      <c r="BP262" s="52">
        <f t="shared" si="362"/>
        <v>-1.5506562134534607E-2</v>
      </c>
      <c r="BQ262" s="52">
        <f t="shared" si="362"/>
        <v>4.8165339434202981E-2</v>
      </c>
      <c r="BR262" s="52">
        <f t="shared" si="362"/>
        <v>-9.8095388005666639E-2</v>
      </c>
      <c r="BS262" s="52">
        <f t="shared" si="362"/>
        <v>-1.8034370018732426E-3</v>
      </c>
      <c r="BT262" s="52">
        <f t="shared" si="362"/>
        <v>6.5355744125326298E-2</v>
      </c>
      <c r="BU262" s="52">
        <f t="shared" si="362"/>
        <v>5.8096915721179698E-3</v>
      </c>
      <c r="BV262" s="52">
        <f t="shared" si="362"/>
        <v>9.0286087240287749E-4</v>
      </c>
      <c r="BW262" s="52">
        <f t="shared" si="362"/>
        <v>7.4891591405562119E-2</v>
      </c>
      <c r="BX262" s="53">
        <f t="shared" si="362"/>
        <v>8.3717544285367707E-2</v>
      </c>
      <c r="BY262" s="53">
        <f t="shared" si="362"/>
        <v>8.0058590834452881E-2</v>
      </c>
      <c r="BZ262" s="53">
        <f t="shared" si="362"/>
        <v>5.5759512806115907E-2</v>
      </c>
    </row>
    <row r="263" spans="1:137">
      <c r="A263" s="69" t="s">
        <v>225</v>
      </c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91">
        <f t="shared" ref="BF263:BZ263" si="363">BF261/BB261-1</f>
        <v>0.18037862148310846</v>
      </c>
      <c r="BG263" s="91">
        <f t="shared" si="363"/>
        <v>0.21581351579195029</v>
      </c>
      <c r="BH263" s="91">
        <f t="shared" si="363"/>
        <v>0.21602275685122518</v>
      </c>
      <c r="BI263" s="91">
        <f t="shared" si="363"/>
        <v>0.15499700777977266</v>
      </c>
      <c r="BJ263" s="91">
        <f t="shared" si="363"/>
        <v>0.26128872191110797</v>
      </c>
      <c r="BK263" s="91">
        <f t="shared" si="363"/>
        <v>0.32706603241151333</v>
      </c>
      <c r="BL263" s="91">
        <f t="shared" si="363"/>
        <v>0.28320464796269396</v>
      </c>
      <c r="BM263" s="91">
        <f t="shared" si="363"/>
        <v>0.30525754343188027</v>
      </c>
      <c r="BN263" s="91">
        <f t="shared" si="363"/>
        <v>0.25868319001854667</v>
      </c>
      <c r="BO263" s="91">
        <f t="shared" si="363"/>
        <v>0.12211718389268267</v>
      </c>
      <c r="BP263" s="91">
        <f t="shared" si="363"/>
        <v>8.326184348489174E-2</v>
      </c>
      <c r="BQ263" s="91">
        <f t="shared" si="363"/>
        <v>0.11259646705817805</v>
      </c>
      <c r="BR263" s="91">
        <f t="shared" si="363"/>
        <v>-4.0588058002076211E-2</v>
      </c>
      <c r="BS263" s="91">
        <f t="shared" si="363"/>
        <v>-7.0992333347771441E-2</v>
      </c>
      <c r="BT263" s="91">
        <f t="shared" si="363"/>
        <v>5.3125962426856521E-3</v>
      </c>
      <c r="BU263" s="91">
        <f t="shared" si="363"/>
        <v>-3.5311401437640999E-2</v>
      </c>
      <c r="BV263" s="91">
        <f t="shared" si="363"/>
        <v>7.0578379699116844E-2</v>
      </c>
      <c r="BW263" s="91">
        <f t="shared" si="363"/>
        <v>0.15283476314807909</v>
      </c>
      <c r="BX263" s="100">
        <f t="shared" si="363"/>
        <v>0.17270429654591402</v>
      </c>
      <c r="BY263" s="100">
        <f t="shared" si="363"/>
        <v>0.25927336016534319</v>
      </c>
      <c r="BZ263" s="100">
        <f t="shared" si="363"/>
        <v>0.32829056763718167</v>
      </c>
    </row>
    <row r="264" spans="1:137">
      <c r="A264" s="138" t="s">
        <v>322</v>
      </c>
      <c r="BB264" s="139">
        <f t="shared" ref="BB264:BZ264" si="364">+BB261/BB$91</f>
        <v>0.48432196950509093</v>
      </c>
      <c r="BC264" s="139">
        <f t="shared" si="364"/>
        <v>0.49727026341957997</v>
      </c>
      <c r="BD264" s="139">
        <f t="shared" si="364"/>
        <v>0.44558769924114394</v>
      </c>
      <c r="BE264" s="139">
        <f t="shared" si="364"/>
        <v>0.40260494911987299</v>
      </c>
      <c r="BF264" s="139">
        <f t="shared" si="364"/>
        <v>0.3847145048576785</v>
      </c>
      <c r="BG264" s="139">
        <f t="shared" si="364"/>
        <v>0.38011498761860396</v>
      </c>
      <c r="BH264" s="139">
        <f t="shared" si="364"/>
        <v>0.38164397789668392</v>
      </c>
      <c r="BI264" s="139">
        <f t="shared" si="364"/>
        <v>0.37086017859161302</v>
      </c>
      <c r="BJ264" s="139">
        <f t="shared" si="364"/>
        <v>0.36162796605863523</v>
      </c>
      <c r="BK264" s="139">
        <f t="shared" si="364"/>
        <v>0.38313601891983745</v>
      </c>
      <c r="BL264" s="139">
        <f t="shared" si="364"/>
        <v>0.37432596973386673</v>
      </c>
      <c r="BM264" s="139">
        <f t="shared" si="364"/>
        <v>0.38637922012306247</v>
      </c>
      <c r="BN264" s="139">
        <f t="shared" si="364"/>
        <v>0.47486098668970739</v>
      </c>
      <c r="BO264" s="139">
        <f t="shared" si="364"/>
        <v>0.43568186750455273</v>
      </c>
      <c r="BP264" s="139">
        <f t="shared" si="364"/>
        <v>0.40281968462421186</v>
      </c>
      <c r="BQ264" s="139">
        <f t="shared" si="364"/>
        <v>0.40110530724258253</v>
      </c>
      <c r="BR264" s="70">
        <f t="shared" si="364"/>
        <v>0.34241832669322708</v>
      </c>
      <c r="BS264" s="70">
        <f t="shared" si="364"/>
        <v>0.31956850503981943</v>
      </c>
      <c r="BT264" s="70">
        <f t="shared" si="364"/>
        <v>0.32734741826074187</v>
      </c>
      <c r="BU264" s="70">
        <f t="shared" si="364"/>
        <v>0.31692350122384255</v>
      </c>
      <c r="BV264" s="70">
        <f t="shared" si="364"/>
        <v>0.30146748051386396</v>
      </c>
      <c r="BW264" s="70">
        <f t="shared" si="364"/>
        <v>0.31871205578685502</v>
      </c>
      <c r="BX264" s="70">
        <f t="shared" si="364"/>
        <v>0.31971269287787363</v>
      </c>
      <c r="BY264" s="70">
        <f t="shared" si="364"/>
        <v>0.30481800181155605</v>
      </c>
      <c r="BZ264" s="70">
        <f t="shared" si="364"/>
        <v>0.28506388397792631</v>
      </c>
      <c r="CA264" s="140">
        <v>0.3</v>
      </c>
      <c r="CB264" s="140">
        <v>0.3</v>
      </c>
    </row>
    <row r="265" spans="1:137">
      <c r="A265" s="38" t="s">
        <v>323</v>
      </c>
      <c r="BB265" s="137">
        <v>27.367999999999999</v>
      </c>
      <c r="BC265" s="137">
        <v>28.541</v>
      </c>
      <c r="BD265" s="137">
        <v>27.364000000000001</v>
      </c>
      <c r="BE265" s="137">
        <v>29.565000000000001</v>
      </c>
      <c r="BF265" s="137">
        <v>31.829000000000001</v>
      </c>
      <c r="BG265" s="137">
        <v>33.911999999999999</v>
      </c>
      <c r="BH265" s="137">
        <v>34.981999999999999</v>
      </c>
      <c r="BI265" s="137">
        <v>39.594999999999999</v>
      </c>
      <c r="BJ265" s="137">
        <v>47.353999999999999</v>
      </c>
      <c r="BK265" s="137">
        <v>45.621000000000002</v>
      </c>
      <c r="BL265" s="137">
        <v>47.515999999999998</v>
      </c>
      <c r="BM265" s="137">
        <v>49.156999999999996</v>
      </c>
      <c r="BN265" s="137">
        <v>48.235999999999997</v>
      </c>
      <c r="BO265" s="137">
        <v>51.125</v>
      </c>
      <c r="BP265" s="137">
        <v>50.868000000000002</v>
      </c>
      <c r="BQ265" s="137">
        <v>52.95</v>
      </c>
      <c r="BR265" s="38">
        <f>39.494+16.516-3.831-2.23</f>
        <v>49.948999999999998</v>
      </c>
      <c r="BS265" s="38">
        <f>59.038-2.033-10.366</f>
        <v>46.638999999999996</v>
      </c>
      <c r="BT265" s="38">
        <f>49.856-2.033-1.003</f>
        <v>46.82</v>
      </c>
      <c r="BU265" s="38">
        <f>51.552-2.033</f>
        <v>49.518999999999998</v>
      </c>
      <c r="BV265" s="38">
        <f>40.097+19.271+0.903-1.844-4.654</f>
        <v>53.772999999999996</v>
      </c>
      <c r="BW265" s="38">
        <f>39.302+19.199-1.567-3.434</f>
        <v>53.500000000000007</v>
      </c>
      <c r="BX265" s="38">
        <f>41.166+20.106-1.567-3.407</f>
        <v>56.298000000000002</v>
      </c>
      <c r="BY265" s="38">
        <f>42.161+20.897-1.567-4.406</f>
        <v>57.085000000000001</v>
      </c>
      <c r="BZ265" s="38">
        <f>44.209+17.297-1.59-1.08</f>
        <v>58.835999999999999</v>
      </c>
      <c r="CA265" s="38">
        <f>+CA268*CA$91</f>
        <v>81</v>
      </c>
      <c r="CB265" s="38">
        <f>+CB268*CB$91</f>
        <v>92.25</v>
      </c>
    </row>
    <row r="266" spans="1:137">
      <c r="A266" s="69" t="s">
        <v>223</v>
      </c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52">
        <f t="shared" ref="BC266:BZ266" si="365">BC265/BB265-1</f>
        <v>4.2860274773458107E-2</v>
      </c>
      <c r="BD266" s="52">
        <f t="shared" si="365"/>
        <v>-4.1238919449213429E-2</v>
      </c>
      <c r="BE266" s="52">
        <f t="shared" si="365"/>
        <v>8.043414705452423E-2</v>
      </c>
      <c r="BF266" s="52">
        <f t="shared" si="365"/>
        <v>7.6577033654659177E-2</v>
      </c>
      <c r="BG266" s="52">
        <f t="shared" si="365"/>
        <v>6.544346350812158E-2</v>
      </c>
      <c r="BH266" s="52">
        <f t="shared" si="365"/>
        <v>3.1552252889832433E-2</v>
      </c>
      <c r="BI266" s="52">
        <f t="shared" si="365"/>
        <v>0.13186781773483514</v>
      </c>
      <c r="BJ266" s="52">
        <f t="shared" si="365"/>
        <v>0.19595908574314946</v>
      </c>
      <c r="BK266" s="52">
        <f t="shared" si="365"/>
        <v>-3.6596697216708107E-2</v>
      </c>
      <c r="BL266" s="52">
        <f t="shared" si="365"/>
        <v>4.1537888253216693E-2</v>
      </c>
      <c r="BM266" s="52">
        <f t="shared" si="365"/>
        <v>3.4535735331256756E-2</v>
      </c>
      <c r="BN266" s="52">
        <f t="shared" si="365"/>
        <v>-1.8735887055760125E-2</v>
      </c>
      <c r="BO266" s="52">
        <f t="shared" si="365"/>
        <v>5.9893025955717771E-2</v>
      </c>
      <c r="BP266" s="52">
        <f t="shared" si="365"/>
        <v>-5.0268948655256551E-3</v>
      </c>
      <c r="BQ266" s="52">
        <f t="shared" si="365"/>
        <v>4.0929464496343382E-2</v>
      </c>
      <c r="BR266" s="52">
        <f t="shared" si="365"/>
        <v>-5.6676109537299402E-2</v>
      </c>
      <c r="BS266" s="52">
        <f t="shared" si="365"/>
        <v>-6.6267592944803777E-2</v>
      </c>
      <c r="BT266" s="52">
        <f t="shared" si="365"/>
        <v>3.8808722313943278E-3</v>
      </c>
      <c r="BU266" s="52">
        <f t="shared" si="365"/>
        <v>5.7646304997864162E-2</v>
      </c>
      <c r="BV266" s="52">
        <f t="shared" si="365"/>
        <v>8.5906419758072561E-2</v>
      </c>
      <c r="BW266" s="52">
        <f t="shared" si="365"/>
        <v>-5.0768973276549278E-3</v>
      </c>
      <c r="BX266" s="53">
        <f t="shared" si="365"/>
        <v>5.229906542056062E-2</v>
      </c>
      <c r="BY266" s="53">
        <f t="shared" si="365"/>
        <v>1.397918220895944E-2</v>
      </c>
      <c r="BZ266" s="53">
        <f t="shared" si="365"/>
        <v>3.0673556976438698E-2</v>
      </c>
    </row>
    <row r="267" spans="1:137">
      <c r="A267" s="69" t="s">
        <v>225</v>
      </c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91">
        <f t="shared" ref="BF267:BZ267" si="366">BF265/BB265-1</f>
        <v>0.16300058462437894</v>
      </c>
      <c r="BG267" s="91">
        <f t="shared" si="366"/>
        <v>0.18818541746960515</v>
      </c>
      <c r="BH267" s="91">
        <f t="shared" si="366"/>
        <v>0.27839497149539527</v>
      </c>
      <c r="BI267" s="91">
        <f t="shared" si="366"/>
        <v>0.33925249450363593</v>
      </c>
      <c r="BJ267" s="91">
        <f t="shared" si="366"/>
        <v>0.48776273209965759</v>
      </c>
      <c r="BK267" s="91">
        <f t="shared" si="366"/>
        <v>0.34527600849256901</v>
      </c>
      <c r="BL267" s="91">
        <f t="shared" si="366"/>
        <v>0.3582985535418215</v>
      </c>
      <c r="BM267" s="91">
        <f t="shared" si="366"/>
        <v>0.24149513827503477</v>
      </c>
      <c r="BN267" s="91">
        <f t="shared" si="366"/>
        <v>1.8625670481902334E-2</v>
      </c>
      <c r="BO267" s="91">
        <f t="shared" si="366"/>
        <v>0.12064619363889428</v>
      </c>
      <c r="BP267" s="91">
        <f t="shared" si="366"/>
        <v>7.0544658641299884E-2</v>
      </c>
      <c r="BQ267" s="91">
        <f t="shared" si="366"/>
        <v>7.71609333360459E-2</v>
      </c>
      <c r="BR267" s="91">
        <f t="shared" si="366"/>
        <v>3.5512894933244832E-2</v>
      </c>
      <c r="BS267" s="91">
        <f t="shared" si="366"/>
        <v>-8.7745721271393684E-2</v>
      </c>
      <c r="BT267" s="91">
        <f t="shared" si="366"/>
        <v>-7.9578516945820632E-2</v>
      </c>
      <c r="BU267" s="91">
        <f t="shared" si="366"/>
        <v>-6.4796978281397632E-2</v>
      </c>
      <c r="BV267" s="91">
        <f t="shared" si="366"/>
        <v>7.6558089251036021E-2</v>
      </c>
      <c r="BW267" s="91">
        <f t="shared" si="366"/>
        <v>0.1471086429811963</v>
      </c>
      <c r="BX267" s="100">
        <f t="shared" si="366"/>
        <v>0.20243485689876128</v>
      </c>
      <c r="BY267" s="100">
        <f t="shared" si="366"/>
        <v>0.15278983824390635</v>
      </c>
      <c r="BZ267" s="100">
        <f t="shared" si="366"/>
        <v>9.4155059230468963E-2</v>
      </c>
    </row>
    <row r="268" spans="1:137">
      <c r="A268" s="138" t="s">
        <v>322</v>
      </c>
      <c r="BB268" s="139">
        <f t="shared" ref="BB268:BZ268" si="367">+BB265/BB$91</f>
        <v>0.27727065498201714</v>
      </c>
      <c r="BC268" s="139">
        <f t="shared" si="367"/>
        <v>0.278247899077739</v>
      </c>
      <c r="BD268" s="139">
        <f t="shared" si="367"/>
        <v>0.22669582794843757</v>
      </c>
      <c r="BE268" s="139">
        <f t="shared" si="367"/>
        <v>0.20950848946965617</v>
      </c>
      <c r="BF268" s="139">
        <f t="shared" si="367"/>
        <v>0.21700357934208284</v>
      </c>
      <c r="BG268" s="139">
        <f t="shared" si="367"/>
        <v>0.20786034765979355</v>
      </c>
      <c r="BH268" s="139">
        <f t="shared" si="367"/>
        <v>0.20412307369133545</v>
      </c>
      <c r="BI268" s="139">
        <f t="shared" si="367"/>
        <v>0.22377642138578049</v>
      </c>
      <c r="BJ268" s="139">
        <f t="shared" si="367"/>
        <v>0.24060769269854174</v>
      </c>
      <c r="BK268" s="139">
        <f t="shared" si="367"/>
        <v>0.21238727938882968</v>
      </c>
      <c r="BL268" s="139">
        <f t="shared" si="367"/>
        <v>0.211925373866581</v>
      </c>
      <c r="BM268" s="139">
        <f t="shared" si="367"/>
        <v>0.22175156534762447</v>
      </c>
      <c r="BN268" s="139">
        <f t="shared" si="367"/>
        <v>0.25568907665477519</v>
      </c>
      <c r="BO268" s="139">
        <f t="shared" si="367"/>
        <v>0.24119889414140272</v>
      </c>
      <c r="BP268" s="139">
        <f t="shared" si="367"/>
        <v>0.22537982002578655</v>
      </c>
      <c r="BQ268" s="139">
        <f t="shared" si="367"/>
        <v>0.2228713575580539</v>
      </c>
      <c r="BR268" s="70">
        <f t="shared" si="367"/>
        <v>0.19899999999999998</v>
      </c>
      <c r="BS268" s="70">
        <f t="shared" si="367"/>
        <v>0.1737266354269878</v>
      </c>
      <c r="BT268" s="70">
        <f t="shared" si="367"/>
        <v>0.16768680317036219</v>
      </c>
      <c r="BU268" s="70">
        <f t="shared" si="367"/>
        <v>0.17071396559451166</v>
      </c>
      <c r="BV268" s="70">
        <f t="shared" si="367"/>
        <v>0.17617957060058909</v>
      </c>
      <c r="BW268" s="70">
        <f t="shared" si="367"/>
        <v>0.17240045887524008</v>
      </c>
      <c r="BX268" s="70">
        <f t="shared" si="367"/>
        <v>0.16792791072957278</v>
      </c>
      <c r="BY268" s="70">
        <f t="shared" si="367"/>
        <v>0.15030912308048786</v>
      </c>
      <c r="BZ268" s="70">
        <f t="shared" si="367"/>
        <v>0.13722810241961442</v>
      </c>
      <c r="CA268" s="140">
        <v>0.15</v>
      </c>
      <c r="CB268" s="140">
        <v>0.15</v>
      </c>
    </row>
    <row r="269" spans="1:137">
      <c r="A269" s="38" t="s">
        <v>324</v>
      </c>
      <c r="BB269" s="38">
        <f>+BB265+BB261</f>
        <v>75.173000000000002</v>
      </c>
      <c r="BC269" s="38">
        <f t="shared" ref="BC269:BZ269" si="368">+BC265+BC261</f>
        <v>79.548000000000002</v>
      </c>
      <c r="BD269" s="38">
        <f t="shared" si="368"/>
        <v>81.150000000000006</v>
      </c>
      <c r="BE269" s="38">
        <f t="shared" si="368"/>
        <v>86.379000000000005</v>
      </c>
      <c r="BF269" s="38">
        <f t="shared" si="368"/>
        <v>88.257000000000005</v>
      </c>
      <c r="BG269" s="38">
        <f t="shared" si="368"/>
        <v>95.926999999999992</v>
      </c>
      <c r="BH269" s="38">
        <f t="shared" si="368"/>
        <v>100.387</v>
      </c>
      <c r="BI269" s="38">
        <f t="shared" si="368"/>
        <v>105.215</v>
      </c>
      <c r="BJ269" s="38">
        <f t="shared" si="368"/>
        <v>118.526</v>
      </c>
      <c r="BK269" s="38">
        <f t="shared" si="368"/>
        <v>127.91900000000001</v>
      </c>
      <c r="BL269" s="38">
        <f t="shared" si="368"/>
        <v>131.44399999999999</v>
      </c>
      <c r="BM269" s="38">
        <f t="shared" si="368"/>
        <v>134.80799999999999</v>
      </c>
      <c r="BN269" s="38">
        <f t="shared" si="368"/>
        <v>137.81899999999999</v>
      </c>
      <c r="BO269" s="38">
        <f t="shared" si="368"/>
        <v>143.47300000000001</v>
      </c>
      <c r="BP269" s="38">
        <f t="shared" si="368"/>
        <v>141.78399999999999</v>
      </c>
      <c r="BQ269" s="38">
        <f t="shared" si="368"/>
        <v>148.245</v>
      </c>
      <c r="BR269" s="38">
        <f t="shared" si="368"/>
        <v>135.89600000000002</v>
      </c>
      <c r="BS269" s="38">
        <f t="shared" si="368"/>
        <v>132.43099999999998</v>
      </c>
      <c r="BT269" s="38">
        <f t="shared" si="368"/>
        <v>138.21899999999999</v>
      </c>
      <c r="BU269" s="38">
        <f t="shared" si="368"/>
        <v>141.44900000000001</v>
      </c>
      <c r="BV269" s="38">
        <f t="shared" si="368"/>
        <v>145.786</v>
      </c>
      <c r="BW269" s="38">
        <f t="shared" si="368"/>
        <v>152.404</v>
      </c>
      <c r="BX269" s="38">
        <f t="shared" si="368"/>
        <v>163.482</v>
      </c>
      <c r="BY269" s="38">
        <f t="shared" si="368"/>
        <v>172.85</v>
      </c>
      <c r="BZ269" s="38">
        <f t="shared" si="368"/>
        <v>181.05599999999998</v>
      </c>
      <c r="CA269" s="38">
        <f>+CA265+CA261</f>
        <v>243</v>
      </c>
      <c r="CB269" s="38">
        <f>+CB265+CB261</f>
        <v>276.75</v>
      </c>
    </row>
    <row r="270" spans="1:137">
      <c r="A270" s="69" t="s">
        <v>223</v>
      </c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52">
        <f t="shared" ref="BC270:CB270" si="369">BC269/BB269-1</f>
        <v>5.8199087438308927E-2</v>
      </c>
      <c r="BD270" s="52">
        <f t="shared" si="369"/>
        <v>2.0138784130336429E-2</v>
      </c>
      <c r="BE270" s="52">
        <f t="shared" si="369"/>
        <v>6.4436229205175666E-2</v>
      </c>
      <c r="BF270" s="52">
        <f t="shared" si="369"/>
        <v>2.1741395478067638E-2</v>
      </c>
      <c r="BG270" s="52">
        <f t="shared" si="369"/>
        <v>8.6905287965826972E-2</v>
      </c>
      <c r="BH270" s="52">
        <f t="shared" si="369"/>
        <v>4.6493687908513825E-2</v>
      </c>
      <c r="BI270" s="52">
        <f t="shared" si="369"/>
        <v>4.8093876697181903E-2</v>
      </c>
      <c r="BJ270" s="52">
        <f t="shared" si="369"/>
        <v>0.12651237941358162</v>
      </c>
      <c r="BK270" s="52">
        <f t="shared" si="369"/>
        <v>7.924843494254441E-2</v>
      </c>
      <c r="BL270" s="52">
        <f t="shared" si="369"/>
        <v>2.7556500598034495E-2</v>
      </c>
      <c r="BM270" s="52">
        <f t="shared" si="369"/>
        <v>2.5592647819603798E-2</v>
      </c>
      <c r="BN270" s="52">
        <f t="shared" si="369"/>
        <v>2.233546970506195E-2</v>
      </c>
      <c r="BO270" s="52">
        <f t="shared" si="369"/>
        <v>4.1024822412004225E-2</v>
      </c>
      <c r="BP270" s="52">
        <f t="shared" si="369"/>
        <v>-1.1772249830978798E-2</v>
      </c>
      <c r="BQ270" s="52">
        <f t="shared" si="369"/>
        <v>4.5569316707103846E-2</v>
      </c>
      <c r="BR270" s="52">
        <f t="shared" si="369"/>
        <v>-8.3301291780498388E-2</v>
      </c>
      <c r="BS270" s="52">
        <f t="shared" si="369"/>
        <v>-2.5497439218225892E-2</v>
      </c>
      <c r="BT270" s="52">
        <f t="shared" si="369"/>
        <v>4.3705778858424527E-2</v>
      </c>
      <c r="BU270" s="52">
        <f t="shared" si="369"/>
        <v>2.3368711971581524E-2</v>
      </c>
      <c r="BV270" s="52">
        <f t="shared" si="369"/>
        <v>3.0661227721652251E-2</v>
      </c>
      <c r="BW270" s="52">
        <f t="shared" si="369"/>
        <v>4.5395305447710976E-2</v>
      </c>
      <c r="BX270" s="53">
        <f t="shared" si="369"/>
        <v>7.268838088239149E-2</v>
      </c>
      <c r="BY270" s="53">
        <f t="shared" si="369"/>
        <v>5.7302944666691058E-2</v>
      </c>
      <c r="BZ270" s="53">
        <f t="shared" si="369"/>
        <v>4.7474689036737017E-2</v>
      </c>
      <c r="CA270" s="53">
        <f t="shared" si="369"/>
        <v>0.34212619300106062</v>
      </c>
      <c r="CB270" s="53">
        <f t="shared" si="369"/>
        <v>0.13888888888888884</v>
      </c>
    </row>
    <row r="271" spans="1:137">
      <c r="A271" s="69" t="s">
        <v>225</v>
      </c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91">
        <f t="shared" ref="BF271:CB271" si="370">BF269/BB269-1</f>
        <v>0.1740518537240765</v>
      </c>
      <c r="BG271" s="91">
        <f t="shared" si="370"/>
        <v>0.20590083974455653</v>
      </c>
      <c r="BH271" s="91">
        <f t="shared" si="370"/>
        <v>0.23705483672211947</v>
      </c>
      <c r="BI271" s="91">
        <f t="shared" si="370"/>
        <v>0.21806226050313149</v>
      </c>
      <c r="BJ271" s="91">
        <f t="shared" si="370"/>
        <v>0.34296429744949397</v>
      </c>
      <c r="BK271" s="91">
        <f t="shared" si="370"/>
        <v>0.33350360169712401</v>
      </c>
      <c r="BL271" s="91">
        <f t="shared" si="370"/>
        <v>0.30937272754440315</v>
      </c>
      <c r="BM271" s="91">
        <f t="shared" si="370"/>
        <v>0.28126217744618143</v>
      </c>
      <c r="BN271" s="91">
        <f t="shared" si="370"/>
        <v>0.16277441236521928</v>
      </c>
      <c r="BO271" s="91">
        <f t="shared" si="370"/>
        <v>0.12159257029839199</v>
      </c>
      <c r="BP271" s="91">
        <f t="shared" si="370"/>
        <v>7.8664678494263729E-2</v>
      </c>
      <c r="BQ271" s="91">
        <f t="shared" si="370"/>
        <v>9.9675093466263132E-2</v>
      </c>
      <c r="BR271" s="91">
        <f t="shared" si="370"/>
        <v>-1.3953083391984977E-2</v>
      </c>
      <c r="BS271" s="91">
        <f t="shared" si="370"/>
        <v>-7.6962215887310004E-2</v>
      </c>
      <c r="BT271" s="91">
        <f t="shared" si="370"/>
        <v>-2.5143880832816046E-2</v>
      </c>
      <c r="BU271" s="91">
        <f t="shared" si="370"/>
        <v>-4.5843030119059658E-2</v>
      </c>
      <c r="BV271" s="91">
        <f t="shared" si="370"/>
        <v>7.2776240654618185E-2</v>
      </c>
      <c r="BW271" s="91">
        <f t="shared" si="370"/>
        <v>0.15081816191073094</v>
      </c>
      <c r="BX271" s="100">
        <f t="shared" si="370"/>
        <v>0.18277516115729386</v>
      </c>
      <c r="BY271" s="100">
        <f t="shared" si="370"/>
        <v>0.2219952067529638</v>
      </c>
      <c r="BZ271" s="100">
        <f t="shared" si="370"/>
        <v>0.24192995212160273</v>
      </c>
      <c r="CA271" s="100">
        <f t="shared" si="370"/>
        <v>0.59444633999107643</v>
      </c>
      <c r="CB271" s="100">
        <f t="shared" si="370"/>
        <v>0.69284691892685424</v>
      </c>
    </row>
    <row r="272" spans="1:137">
      <c r="A272" s="138" t="s">
        <v>322</v>
      </c>
      <c r="BB272" s="139">
        <f t="shared" ref="BB272:BZ272" si="371">+BB269/BB$91</f>
        <v>0.76159262448710807</v>
      </c>
      <c r="BC272" s="139">
        <f t="shared" si="371"/>
        <v>0.77551816249731909</v>
      </c>
      <c r="BD272" s="139">
        <f t="shared" si="371"/>
        <v>0.67228352718958151</v>
      </c>
      <c r="BE272" s="139">
        <f t="shared" si="371"/>
        <v>0.61211343858952916</v>
      </c>
      <c r="BF272" s="139">
        <f t="shared" si="371"/>
        <v>0.60171808419976136</v>
      </c>
      <c r="BG272" s="139">
        <f t="shared" si="371"/>
        <v>0.58797533527839752</v>
      </c>
      <c r="BH272" s="139">
        <f t="shared" si="371"/>
        <v>0.58576705158801934</v>
      </c>
      <c r="BI272" s="139">
        <f t="shared" si="371"/>
        <v>0.59463659997739349</v>
      </c>
      <c r="BJ272" s="139">
        <f t="shared" si="371"/>
        <v>0.60223565875717699</v>
      </c>
      <c r="BK272" s="139">
        <f t="shared" si="371"/>
        <v>0.59552329830866713</v>
      </c>
      <c r="BL272" s="139">
        <f t="shared" si="371"/>
        <v>0.58625134360044773</v>
      </c>
      <c r="BM272" s="139">
        <f t="shared" si="371"/>
        <v>0.608130785470687</v>
      </c>
      <c r="BN272" s="139">
        <f t="shared" si="371"/>
        <v>0.73055006334448258</v>
      </c>
      <c r="BO272" s="139">
        <f t="shared" si="371"/>
        <v>0.67688076164595545</v>
      </c>
      <c r="BP272" s="139">
        <f t="shared" si="371"/>
        <v>0.62819950464999841</v>
      </c>
      <c r="BQ272" s="139">
        <f t="shared" si="371"/>
        <v>0.62397666480063652</v>
      </c>
      <c r="BR272" s="70">
        <f t="shared" si="371"/>
        <v>0.5414183266932272</v>
      </c>
      <c r="BS272" s="70">
        <f t="shared" si="371"/>
        <v>0.49329514046680717</v>
      </c>
      <c r="BT272" s="70">
        <f t="shared" si="371"/>
        <v>0.49503422143110404</v>
      </c>
      <c r="BU272" s="70">
        <f t="shared" si="371"/>
        <v>0.48763746681835424</v>
      </c>
      <c r="BV272" s="70">
        <f t="shared" si="371"/>
        <v>0.47764705111445305</v>
      </c>
      <c r="BW272" s="70">
        <f t="shared" si="371"/>
        <v>0.49111251466209505</v>
      </c>
      <c r="BX272" s="70">
        <f t="shared" si="371"/>
        <v>0.48764060360744638</v>
      </c>
      <c r="BY272" s="70">
        <f t="shared" si="371"/>
        <v>0.45512712489204388</v>
      </c>
      <c r="BZ272" s="70">
        <f t="shared" si="371"/>
        <v>0.42229198639754073</v>
      </c>
      <c r="CA272" s="70">
        <f>+CA269/CA$91</f>
        <v>0.45</v>
      </c>
      <c r="CB272" s="70">
        <f>+CB269/CB$91</f>
        <v>0.45</v>
      </c>
    </row>
    <row r="275" spans="1:142">
      <c r="EJ275" s="141"/>
    </row>
    <row r="276" spans="1:142">
      <c r="A276" s="38" t="s">
        <v>325</v>
      </c>
      <c r="EJ276" s="142">
        <f>+EJ278*EJ$91</f>
        <v>95.028230000000008</v>
      </c>
      <c r="EK276" s="142">
        <f>+EK278*EK$91</f>
        <v>130.64915999999999</v>
      </c>
      <c r="EL276" s="142">
        <f>+EL278*EL$91</f>
        <v>133.05760000000001</v>
      </c>
    </row>
    <row r="277" spans="1:142">
      <c r="A277" s="138" t="s">
        <v>225</v>
      </c>
      <c r="EK277" s="71">
        <f>+EK276/EJ276-1</f>
        <v>0.37484576951501669</v>
      </c>
      <c r="EL277" s="71">
        <f>+EL276/EK276-1</f>
        <v>1.8434408610051634E-2</v>
      </c>
    </row>
    <row r="278" spans="1:142">
      <c r="A278" s="138" t="s">
        <v>270</v>
      </c>
      <c r="EJ278" s="71">
        <v>0.11</v>
      </c>
      <c r="EK278" s="71">
        <v>0.12</v>
      </c>
      <c r="EL278" s="71">
        <v>0.1</v>
      </c>
    </row>
    <row r="279" spans="1:142">
      <c r="A279" s="38" t="s">
        <v>326</v>
      </c>
      <c r="EJ279" s="105">
        <f>+EJ281*EJ$91</f>
        <v>112.30609000000001</v>
      </c>
      <c r="EK279" s="105">
        <f>+EK281*EK$91</f>
        <v>130.64915999999999</v>
      </c>
      <c r="EL279" s="105">
        <f>+EL281*EL$91</f>
        <v>146.36336</v>
      </c>
    </row>
    <row r="280" spans="1:142">
      <c r="A280" s="138" t="s">
        <v>225</v>
      </c>
      <c r="EK280" s="71">
        <f>+EK279/EJ279-1</f>
        <v>0.16333103574347563</v>
      </c>
      <c r="EL280" s="71">
        <f>+EL279/EK279-1</f>
        <v>0.1202778494710568</v>
      </c>
    </row>
    <row r="281" spans="1:142">
      <c r="A281" s="138" t="s">
        <v>327</v>
      </c>
      <c r="EJ281" s="71">
        <v>0.13</v>
      </c>
      <c r="EK281" s="71">
        <v>0.12</v>
      </c>
      <c r="EL281" s="71">
        <v>0.11</v>
      </c>
    </row>
    <row r="282" spans="1:142">
      <c r="EJ282" s="143">
        <f>+(EJ279+EJ276)/(EJ5+EJ91)</f>
        <v>1.9600720105601373E-2</v>
      </c>
      <c r="EK282" s="143">
        <f>+(EK279+EK276)/(EK5+EK91)</f>
        <v>2.0406369733465168E-2</v>
      </c>
      <c r="EL282" s="143">
        <f>+(EL279+EL276)/(EL5+EL91)</f>
        <v>2.2812526125485934E-2</v>
      </c>
    </row>
    <row r="283" spans="1:142">
      <c r="A283" s="119" t="s">
        <v>325</v>
      </c>
    </row>
    <row r="284" spans="1:142">
      <c r="A284" s="38" t="s">
        <v>328</v>
      </c>
      <c r="BN284" s="38">
        <f>+BN287+BN290</f>
        <v>6961</v>
      </c>
      <c r="BO284" s="38">
        <f t="shared" ref="BO284:BY284" si="372">+BO287+BO290</f>
        <v>7467</v>
      </c>
      <c r="BP284" s="38">
        <f t="shared" si="372"/>
        <v>7535</v>
      </c>
      <c r="BQ284" s="38">
        <f t="shared" si="372"/>
        <v>8954</v>
      </c>
      <c r="BR284" s="38">
        <f t="shared" si="372"/>
        <v>8667</v>
      </c>
      <c r="BS284" s="38">
        <f t="shared" si="372"/>
        <v>9227</v>
      </c>
      <c r="BT284" s="38">
        <f t="shared" si="372"/>
        <v>8937</v>
      </c>
      <c r="BU284" s="38">
        <f t="shared" si="372"/>
        <v>9889</v>
      </c>
      <c r="BV284" s="38">
        <f t="shared" si="372"/>
        <v>8202</v>
      </c>
      <c r="BW284" s="38">
        <f t="shared" si="372"/>
        <v>8621</v>
      </c>
      <c r="BX284" s="38">
        <f t="shared" si="372"/>
        <v>8390</v>
      </c>
      <c r="BY284" s="38">
        <f t="shared" si="372"/>
        <v>8756</v>
      </c>
      <c r="BZ284" s="144">
        <f>+BZ287+BZ290</f>
        <v>7192.2600460296526</v>
      </c>
      <c r="CA284" s="144">
        <f>+CA287+CA290</f>
        <v>7756.617836395696</v>
      </c>
      <c r="EJ284" s="38">
        <f>SUM(BN284:BQ284)</f>
        <v>30917</v>
      </c>
      <c r="EK284" s="38">
        <f>SUM(BR284:BU284)</f>
        <v>36720</v>
      </c>
      <c r="EL284" s="38">
        <f>BV284+BW284+BX284+BY284</f>
        <v>33969</v>
      </c>
    </row>
    <row r="285" spans="1:142">
      <c r="A285" s="27" t="s">
        <v>223</v>
      </c>
      <c r="BK285" s="52"/>
      <c r="BL285" s="52"/>
      <c r="BM285" s="52"/>
      <c r="BN285" s="52"/>
      <c r="BO285" s="52">
        <f t="shared" ref="BO285:CA285" si="373">BO284/BN284-1</f>
        <v>7.2690705358425589E-2</v>
      </c>
      <c r="BP285" s="52">
        <f t="shared" si="373"/>
        <v>9.1067363064147866E-3</v>
      </c>
      <c r="BQ285" s="52">
        <f t="shared" si="373"/>
        <v>0.18832116788321174</v>
      </c>
      <c r="BR285" s="52">
        <f t="shared" si="373"/>
        <v>-3.2052713870895699E-2</v>
      </c>
      <c r="BS285" s="52">
        <f t="shared" si="373"/>
        <v>6.4612899503865284E-2</v>
      </c>
      <c r="BT285" s="52">
        <f t="shared" si="373"/>
        <v>-3.1429500379321573E-2</v>
      </c>
      <c r="BU285" s="52">
        <f t="shared" si="373"/>
        <v>0.10652344187087381</v>
      </c>
      <c r="BV285" s="52">
        <f t="shared" si="373"/>
        <v>-0.17059358883608045</v>
      </c>
      <c r="BW285" s="52">
        <f t="shared" si="373"/>
        <v>5.1085101194830562E-2</v>
      </c>
      <c r="BX285" s="52">
        <f t="shared" si="373"/>
        <v>-2.6795035378726406E-2</v>
      </c>
      <c r="BY285" s="52">
        <f t="shared" si="373"/>
        <v>4.3623361144219386E-2</v>
      </c>
      <c r="BZ285" s="52">
        <f t="shared" si="373"/>
        <v>-0.17859067541918083</v>
      </c>
      <c r="CA285" s="52">
        <f t="shared" si="373"/>
        <v>7.8467378369833307E-2</v>
      </c>
      <c r="EJ285" s="38"/>
      <c r="EK285" s="38"/>
      <c r="EL285" s="38"/>
    </row>
    <row r="286" spans="1:142">
      <c r="A286" s="27" t="s">
        <v>225</v>
      </c>
      <c r="BK286" s="91"/>
      <c r="BL286" s="91"/>
      <c r="BM286" s="91"/>
      <c r="BN286" s="91"/>
      <c r="BO286" s="91"/>
      <c r="BP286" s="91"/>
      <c r="BQ286" s="91"/>
      <c r="BR286" s="52">
        <f t="shared" ref="BR286:CA286" si="374">BR284/BN284-1</f>
        <v>0.24507972992386162</v>
      </c>
      <c r="BS286" s="52">
        <f t="shared" si="374"/>
        <v>0.23570376322485598</v>
      </c>
      <c r="BT286" s="52">
        <f t="shared" si="374"/>
        <v>0.18606502986065032</v>
      </c>
      <c r="BU286" s="52">
        <f t="shared" si="374"/>
        <v>0.10442260442260443</v>
      </c>
      <c r="BV286" s="52">
        <f t="shared" si="374"/>
        <v>-5.3651782623745259E-2</v>
      </c>
      <c r="BW286" s="52">
        <f t="shared" si="374"/>
        <v>-6.5676818034030582E-2</v>
      </c>
      <c r="BX286" s="52">
        <f t="shared" si="374"/>
        <v>-6.1206221327067212E-2</v>
      </c>
      <c r="BY286" s="52">
        <f t="shared" si="374"/>
        <v>-0.11457174638487211</v>
      </c>
      <c r="BZ286" s="52">
        <f t="shared" si="374"/>
        <v>-0.12310899219340987</v>
      </c>
      <c r="CA286" s="52">
        <f t="shared" si="374"/>
        <v>-0.10026472144812715</v>
      </c>
      <c r="EJ286" s="38"/>
      <c r="EK286" s="71">
        <f>+EK284/EJ284-1</f>
        <v>0.18769608953003192</v>
      </c>
      <c r="EL286" s="71">
        <f>+EL284/EK284-1</f>
        <v>-7.4918300653594727E-2</v>
      </c>
    </row>
    <row r="287" spans="1:142">
      <c r="A287" s="145" t="s">
        <v>329</v>
      </c>
      <c r="BN287" s="38">
        <v>3256</v>
      </c>
      <c r="BO287" s="38">
        <v>3777</v>
      </c>
      <c r="BP287" s="38">
        <v>3875</v>
      </c>
      <c r="BQ287" s="38">
        <v>4625</v>
      </c>
      <c r="BR287" s="38">
        <v>4585</v>
      </c>
      <c r="BS287" s="38">
        <v>5061</v>
      </c>
      <c r="BT287" s="38">
        <v>5054</v>
      </c>
      <c r="BU287" s="38">
        <v>5253</v>
      </c>
      <c r="BV287" s="38">
        <v>4180</v>
      </c>
      <c r="BW287" s="38">
        <v>4437</v>
      </c>
      <c r="BX287" s="38">
        <v>4241</v>
      </c>
      <c r="BY287" s="38">
        <v>4269</v>
      </c>
      <c r="BZ287" s="105">
        <v>3696.4619800086293</v>
      </c>
      <c r="CA287" s="105">
        <v>4036.1758406156091</v>
      </c>
      <c r="EJ287" s="38">
        <f>SUM(BN287:BQ287)</f>
        <v>15533</v>
      </c>
      <c r="EK287" s="38">
        <f>SUM(BR287:BU287)</f>
        <v>19953</v>
      </c>
      <c r="EL287" s="38">
        <f>BV287+BW287+BX287+BY287</f>
        <v>17127</v>
      </c>
    </row>
    <row r="288" spans="1:142">
      <c r="A288" s="138" t="s">
        <v>223</v>
      </c>
      <c r="BO288" s="52">
        <f t="shared" ref="BO288:CA288" si="375">BO287/BN287-1</f>
        <v>0.16001228501228493</v>
      </c>
      <c r="BP288" s="52">
        <f t="shared" si="375"/>
        <v>2.5946518400847163E-2</v>
      </c>
      <c r="BQ288" s="52">
        <f t="shared" si="375"/>
        <v>0.19354838709677424</v>
      </c>
      <c r="BR288" s="52">
        <f t="shared" si="375"/>
        <v>-8.6486486486486713E-3</v>
      </c>
      <c r="BS288" s="52">
        <f t="shared" si="375"/>
        <v>0.10381679389312981</v>
      </c>
      <c r="BT288" s="52">
        <f t="shared" si="375"/>
        <v>-1.3831258644536604E-3</v>
      </c>
      <c r="BU288" s="52">
        <f t="shared" si="375"/>
        <v>3.9374752671151647E-2</v>
      </c>
      <c r="BV288" s="52">
        <f t="shared" si="375"/>
        <v>-0.2042642299638302</v>
      </c>
      <c r="BW288" s="52">
        <f t="shared" si="375"/>
        <v>6.1483253588516806E-2</v>
      </c>
      <c r="BX288" s="52">
        <f t="shared" si="375"/>
        <v>-4.4173991435654703E-2</v>
      </c>
      <c r="BY288" s="52">
        <f t="shared" si="375"/>
        <v>6.6022164583825482E-3</v>
      </c>
      <c r="BZ288" s="52">
        <f t="shared" si="375"/>
        <v>-0.13411525415586101</v>
      </c>
      <c r="CA288" s="52">
        <f t="shared" si="375"/>
        <v>9.1902436016990219E-2</v>
      </c>
    </row>
    <row r="289" spans="1:142">
      <c r="A289" s="138" t="s">
        <v>225</v>
      </c>
      <c r="BO289" s="91"/>
      <c r="BP289" s="91"/>
      <c r="BQ289" s="91"/>
      <c r="BR289" s="52">
        <f t="shared" ref="BR289:CA289" si="376">BR287/BN287-1</f>
        <v>0.40816953316953319</v>
      </c>
      <c r="BS289" s="52">
        <f t="shared" si="376"/>
        <v>0.33995234312946776</v>
      </c>
      <c r="BT289" s="52">
        <f t="shared" si="376"/>
        <v>0.30425806451612902</v>
      </c>
      <c r="BU289" s="52">
        <f t="shared" si="376"/>
        <v>0.13578378378378386</v>
      </c>
      <c r="BV289" s="52">
        <f t="shared" si="376"/>
        <v>-8.8331515812431816E-2</v>
      </c>
      <c r="BW289" s="52">
        <f t="shared" si="376"/>
        <v>-0.12329579134558388</v>
      </c>
      <c r="BX289" s="52">
        <f t="shared" si="376"/>
        <v>-0.16086268302334783</v>
      </c>
      <c r="BY289" s="52">
        <f t="shared" si="376"/>
        <v>-0.18732153055396916</v>
      </c>
      <c r="BZ289" s="52">
        <f t="shared" si="376"/>
        <v>-0.11567895215104562</v>
      </c>
      <c r="CA289" s="52">
        <f t="shared" si="376"/>
        <v>-9.0336749917599879E-2</v>
      </c>
      <c r="EK289" s="71">
        <f>+EK287/EJ287-1</f>
        <v>0.28455546256357422</v>
      </c>
      <c r="EL289" s="71">
        <f>+EL287/EK287-1</f>
        <v>-0.14163283716734321</v>
      </c>
    </row>
    <row r="290" spans="1:142">
      <c r="A290" s="145" t="s">
        <v>330</v>
      </c>
      <c r="BN290" s="38">
        <v>3705</v>
      </c>
      <c r="BO290" s="38">
        <v>3690</v>
      </c>
      <c r="BP290" s="38">
        <v>3660</v>
      </c>
      <c r="BQ290" s="38">
        <v>4329</v>
      </c>
      <c r="BR290" s="38">
        <v>4082</v>
      </c>
      <c r="BS290" s="38">
        <v>4166</v>
      </c>
      <c r="BT290" s="38">
        <v>3883</v>
      </c>
      <c r="BU290" s="38">
        <v>4636</v>
      </c>
      <c r="BV290" s="38">
        <v>4022</v>
      </c>
      <c r="BW290" s="38">
        <v>4184</v>
      </c>
      <c r="BX290" s="38">
        <v>4149</v>
      </c>
      <c r="BY290" s="38">
        <v>4487</v>
      </c>
      <c r="BZ290" s="105">
        <v>3495.7980660210233</v>
      </c>
      <c r="CA290" s="105">
        <v>3720.4419957800869</v>
      </c>
      <c r="EJ290" s="38">
        <f>SUM(BN290:BQ290)</f>
        <v>15384</v>
      </c>
      <c r="EK290" s="38">
        <f>SUM(BR290:BU290)</f>
        <v>16767</v>
      </c>
      <c r="EL290" s="38">
        <f>BV290+BW290+BX290+BY290</f>
        <v>16842</v>
      </c>
    </row>
    <row r="291" spans="1:142">
      <c r="A291" s="138" t="s">
        <v>223</v>
      </c>
      <c r="BO291" s="52">
        <f t="shared" ref="BO291:CA291" si="377">BO290/BN290-1</f>
        <v>-4.0485829959514552E-3</v>
      </c>
      <c r="BP291" s="52">
        <f t="shared" si="377"/>
        <v>-8.1300813008130524E-3</v>
      </c>
      <c r="BQ291" s="52">
        <f t="shared" si="377"/>
        <v>0.18278688524590159</v>
      </c>
      <c r="BR291" s="52">
        <f t="shared" si="377"/>
        <v>-5.7057057057057103E-2</v>
      </c>
      <c r="BS291" s="52">
        <f t="shared" si="377"/>
        <v>2.0578147966682891E-2</v>
      </c>
      <c r="BT291" s="52">
        <f t="shared" si="377"/>
        <v>-6.793086893903022E-2</v>
      </c>
      <c r="BU291" s="52">
        <f t="shared" si="377"/>
        <v>0.19392222508369827</v>
      </c>
      <c r="BV291" s="52">
        <f t="shared" si="377"/>
        <v>-0.13244176013805009</v>
      </c>
      <c r="BW291" s="52">
        <f t="shared" si="377"/>
        <v>4.0278468423669889E-2</v>
      </c>
      <c r="BX291" s="52">
        <f t="shared" si="377"/>
        <v>-8.3652007648183924E-3</v>
      </c>
      <c r="BY291" s="52">
        <f t="shared" si="377"/>
        <v>8.1465413352615146E-2</v>
      </c>
      <c r="BZ291" s="52">
        <f t="shared" si="377"/>
        <v>-0.22090526721171755</v>
      </c>
      <c r="CA291" s="52">
        <f t="shared" si="377"/>
        <v>6.426112879419188E-2</v>
      </c>
    </row>
    <row r="292" spans="1:142">
      <c r="A292" s="138" t="s">
        <v>225</v>
      </c>
      <c r="BO292" s="91"/>
      <c r="BP292" s="91"/>
      <c r="BQ292" s="91"/>
      <c r="BR292" s="52">
        <f t="shared" ref="BR292:CA292" si="378">BR290/BN290-1</f>
        <v>0.10175438596491237</v>
      </c>
      <c r="BS292" s="52">
        <f t="shared" si="378"/>
        <v>0.12899728997289972</v>
      </c>
      <c r="BT292" s="52">
        <f t="shared" si="378"/>
        <v>6.0928961748633936E-2</v>
      </c>
      <c r="BU292" s="52">
        <f t="shared" si="378"/>
        <v>7.0917070917071001E-2</v>
      </c>
      <c r="BV292" s="52">
        <f t="shared" si="378"/>
        <v>-1.4698677119059256E-2</v>
      </c>
      <c r="BW292" s="52">
        <f t="shared" si="378"/>
        <v>4.3206913106097478E-3</v>
      </c>
      <c r="BX292" s="52">
        <f t="shared" si="378"/>
        <v>6.8503734226113888E-2</v>
      </c>
      <c r="BY292" s="52">
        <f t="shared" si="378"/>
        <v>-3.2139775668679871E-2</v>
      </c>
      <c r="BZ292" s="52">
        <f t="shared" si="378"/>
        <v>-0.13083091347065556</v>
      </c>
      <c r="CA292" s="52">
        <f t="shared" si="378"/>
        <v>-0.11079302204108821</v>
      </c>
      <c r="EK292" s="71">
        <f>+EK290/EJ290-1</f>
        <v>8.9898595943837645E-2</v>
      </c>
      <c r="EL292" s="71">
        <f>+EL290/EK290-1</f>
        <v>4.4730721059222933E-3</v>
      </c>
    </row>
    <row r="295" spans="1:142">
      <c r="A295" s="119" t="s">
        <v>326</v>
      </c>
    </row>
    <row r="296" spans="1:142">
      <c r="A296" s="38" t="s">
        <v>331</v>
      </c>
      <c r="BQ296" s="105">
        <f>+BQ299+BQ302</f>
        <v>4551</v>
      </c>
      <c r="BR296" s="105">
        <f t="shared" ref="BR296:CA296" si="379">+BR299+BR302</f>
        <v>4294</v>
      </c>
      <c r="BS296" s="105">
        <f t="shared" si="379"/>
        <v>4573</v>
      </c>
      <c r="BT296" s="105">
        <f t="shared" si="379"/>
        <v>4711</v>
      </c>
      <c r="BU296" s="105">
        <f t="shared" si="379"/>
        <v>4354</v>
      </c>
      <c r="BV296" s="105">
        <f t="shared" si="379"/>
        <v>4039</v>
      </c>
      <c r="BW296" s="105">
        <f t="shared" si="379"/>
        <v>4033</v>
      </c>
      <c r="BX296" s="105">
        <f t="shared" si="379"/>
        <v>4126</v>
      </c>
      <c r="BY296" s="105">
        <f t="shared" si="379"/>
        <v>3834</v>
      </c>
      <c r="BZ296" s="105">
        <f t="shared" si="379"/>
        <v>3385.93629873598</v>
      </c>
      <c r="CA296" s="105">
        <f t="shared" si="379"/>
        <v>3336.0624593128387</v>
      </c>
    </row>
    <row r="297" spans="1:142">
      <c r="A297" s="146" t="s">
        <v>223</v>
      </c>
      <c r="BR297" s="52">
        <f t="shared" ref="BR297:CA297" si="380">BR296/BQ296-1</f>
        <v>-5.6471105251593046E-2</v>
      </c>
      <c r="BS297" s="52">
        <f t="shared" si="380"/>
        <v>6.4974382859804392E-2</v>
      </c>
      <c r="BT297" s="52">
        <f t="shared" si="380"/>
        <v>3.0177126612726868E-2</v>
      </c>
      <c r="BU297" s="52">
        <f t="shared" si="380"/>
        <v>-7.5780089153046015E-2</v>
      </c>
      <c r="BV297" s="52">
        <f t="shared" si="380"/>
        <v>-7.2347266881028993E-2</v>
      </c>
      <c r="BW297" s="52">
        <f t="shared" si="380"/>
        <v>-1.4855162168854186E-3</v>
      </c>
      <c r="BX297" s="52">
        <f t="shared" si="380"/>
        <v>2.3059757004711079E-2</v>
      </c>
      <c r="BY297" s="52">
        <f t="shared" si="380"/>
        <v>-7.0770722249151707E-2</v>
      </c>
      <c r="BZ297" s="52">
        <f t="shared" si="380"/>
        <v>-0.1168658584413198</v>
      </c>
      <c r="CA297" s="52">
        <f t="shared" si="380"/>
        <v>-1.4729703994065146E-2</v>
      </c>
    </row>
    <row r="298" spans="1:142">
      <c r="A298" s="146" t="s">
        <v>225</v>
      </c>
      <c r="BR298" s="52"/>
      <c r="BS298" s="52"/>
      <c r="BT298" s="52"/>
      <c r="BU298" s="52">
        <f t="shared" ref="BU298:CA298" si="381">BU296/BQ296-1</f>
        <v>-4.3287189628653078E-2</v>
      </c>
      <c r="BV298" s="52">
        <f t="shared" si="381"/>
        <v>-5.9385188635305064E-2</v>
      </c>
      <c r="BW298" s="52">
        <f t="shared" si="381"/>
        <v>-0.11808440848458346</v>
      </c>
      <c r="BX298" s="52">
        <f t="shared" si="381"/>
        <v>-0.12417745701549565</v>
      </c>
      <c r="BY298" s="52">
        <f t="shared" si="381"/>
        <v>-0.11943040881947631</v>
      </c>
      <c r="BZ298" s="52">
        <f t="shared" si="381"/>
        <v>-0.1616894531478138</v>
      </c>
      <c r="CA298" s="52">
        <f t="shared" si="381"/>
        <v>-0.17280871328717118</v>
      </c>
    </row>
    <row r="299" spans="1:142">
      <c r="A299" s="38" t="s">
        <v>332</v>
      </c>
      <c r="BQ299" s="105">
        <v>3864</v>
      </c>
      <c r="BR299" s="105">
        <v>3591</v>
      </c>
      <c r="BS299" s="105">
        <v>3840</v>
      </c>
      <c r="BT299" s="105">
        <v>3847</v>
      </c>
      <c r="BU299" s="105">
        <v>3575</v>
      </c>
      <c r="BV299" s="105">
        <v>3318</v>
      </c>
      <c r="BW299" s="105">
        <v>3400</v>
      </c>
      <c r="BX299" s="105">
        <v>3349</v>
      </c>
      <c r="BY299" s="105">
        <v>3011</v>
      </c>
      <c r="BZ299" s="105">
        <v>2649.7162987359798</v>
      </c>
      <c r="CA299" s="105">
        <v>2651.3624593128388</v>
      </c>
      <c r="EJ299" s="38"/>
      <c r="EK299" s="38">
        <f>SUM(BR299:BU299)</f>
        <v>14853</v>
      </c>
      <c r="EL299" s="38">
        <f>BV299+BW299+BX299+BY299</f>
        <v>13078</v>
      </c>
    </row>
    <row r="300" spans="1:142">
      <c r="A300" s="146" t="s">
        <v>223</v>
      </c>
      <c r="BO300" s="52"/>
      <c r="BP300" s="52"/>
      <c r="BQ300" s="52"/>
      <c r="BR300" s="52">
        <f t="shared" ref="BR300:CA300" si="382">BR299/BQ299-1</f>
        <v>-7.0652173913043459E-2</v>
      </c>
      <c r="BS300" s="52">
        <f t="shared" si="382"/>
        <v>6.9340016708437702E-2</v>
      </c>
      <c r="BT300" s="52">
        <f t="shared" si="382"/>
        <v>1.822916666666563E-3</v>
      </c>
      <c r="BU300" s="52">
        <f t="shared" si="382"/>
        <v>-7.0704445022095164E-2</v>
      </c>
      <c r="BV300" s="52">
        <f t="shared" si="382"/>
        <v>-7.1888111888111839E-2</v>
      </c>
      <c r="BW300" s="52">
        <f t="shared" si="382"/>
        <v>2.471368294153109E-2</v>
      </c>
      <c r="BX300" s="52">
        <f t="shared" si="382"/>
        <v>-1.5000000000000013E-2</v>
      </c>
      <c r="BY300" s="52">
        <f t="shared" si="382"/>
        <v>-0.1009256494475963</v>
      </c>
      <c r="BZ300" s="52">
        <f t="shared" si="382"/>
        <v>-0.119987944624384</v>
      </c>
      <c r="CA300" s="52">
        <f t="shared" si="382"/>
        <v>6.2125918070710107E-4</v>
      </c>
    </row>
    <row r="301" spans="1:142">
      <c r="A301" s="146" t="s">
        <v>225</v>
      </c>
      <c r="BO301" s="91"/>
      <c r="BP301" s="91"/>
      <c r="BQ301" s="91"/>
      <c r="BR301" s="52"/>
      <c r="BS301" s="52"/>
      <c r="BT301" s="52"/>
      <c r="BU301" s="52">
        <f t="shared" ref="BU301:CA301" si="383">BU299/BQ299-1</f>
        <v>-7.4792960662525831E-2</v>
      </c>
      <c r="BV301" s="52">
        <f t="shared" si="383"/>
        <v>-7.6023391812865548E-2</v>
      </c>
      <c r="BW301" s="52">
        <f t="shared" si="383"/>
        <v>-0.11458333333333337</v>
      </c>
      <c r="BX301" s="52">
        <f t="shared" si="383"/>
        <v>-0.12945152066545362</v>
      </c>
      <c r="BY301" s="52">
        <f t="shared" si="383"/>
        <v>-0.15776223776223774</v>
      </c>
      <c r="BZ301" s="52">
        <f t="shared" si="383"/>
        <v>-0.20141160375648592</v>
      </c>
      <c r="CA301" s="52">
        <f t="shared" si="383"/>
        <v>-0.22018751196681208</v>
      </c>
      <c r="EL301" s="71">
        <f>+EL299/EK299-1</f>
        <v>-0.11950447720999124</v>
      </c>
    </row>
    <row r="302" spans="1:142">
      <c r="A302" s="38" t="s">
        <v>333</v>
      </c>
      <c r="BQ302" s="105">
        <v>687</v>
      </c>
      <c r="BR302" s="105">
        <v>703</v>
      </c>
      <c r="BS302" s="105">
        <v>733</v>
      </c>
      <c r="BT302" s="105">
        <v>864</v>
      </c>
      <c r="BU302" s="105">
        <v>779</v>
      </c>
      <c r="BV302" s="105">
        <v>721</v>
      </c>
      <c r="BW302" s="105">
        <v>633</v>
      </c>
      <c r="BX302" s="105">
        <v>777</v>
      </c>
      <c r="BY302" s="105">
        <v>823</v>
      </c>
      <c r="BZ302" s="105">
        <v>736.22</v>
      </c>
      <c r="CA302" s="105">
        <v>684.7</v>
      </c>
      <c r="EJ302" s="38"/>
      <c r="EK302" s="38">
        <f>SUM(BR302:BU302)</f>
        <v>3079</v>
      </c>
      <c r="EL302" s="38">
        <f>BV302+BW302+BX302+BY302</f>
        <v>2954</v>
      </c>
    </row>
    <row r="303" spans="1:142">
      <c r="A303" s="146" t="s">
        <v>223</v>
      </c>
      <c r="BO303" s="52"/>
      <c r="BP303" s="52"/>
      <c r="BQ303" s="52"/>
      <c r="BR303" s="52">
        <f t="shared" ref="BR303:CA303" si="384">BR302/BQ302-1</f>
        <v>2.3289665211062571E-2</v>
      </c>
      <c r="BS303" s="52">
        <f t="shared" si="384"/>
        <v>4.2674253200569057E-2</v>
      </c>
      <c r="BT303" s="52">
        <f t="shared" si="384"/>
        <v>0.17871759890859473</v>
      </c>
      <c r="BU303" s="52">
        <f t="shared" si="384"/>
        <v>-9.837962962962965E-2</v>
      </c>
      <c r="BV303" s="52">
        <f t="shared" si="384"/>
        <v>-7.4454428754813895E-2</v>
      </c>
      <c r="BW303" s="52">
        <f t="shared" si="384"/>
        <v>-0.12205270457697637</v>
      </c>
      <c r="BX303" s="52">
        <f t="shared" si="384"/>
        <v>0.22748815165876768</v>
      </c>
      <c r="BY303" s="52">
        <f t="shared" si="384"/>
        <v>5.9202059202059232E-2</v>
      </c>
      <c r="BZ303" s="52">
        <f t="shared" si="384"/>
        <v>-0.10544349939246656</v>
      </c>
      <c r="CA303" s="52">
        <f t="shared" si="384"/>
        <v>-6.9979082339518106E-2</v>
      </c>
    </row>
    <row r="304" spans="1:142">
      <c r="A304" s="146" t="s">
        <v>225</v>
      </c>
      <c r="BO304" s="91"/>
      <c r="BP304" s="91"/>
      <c r="BQ304" s="91"/>
      <c r="BR304" s="52"/>
      <c r="BS304" s="52"/>
      <c r="BT304" s="52"/>
      <c r="BU304" s="52">
        <f t="shared" ref="BU304:CA304" si="385">BU302/BQ302-1</f>
        <v>0.13391557496360984</v>
      </c>
      <c r="BV304" s="52">
        <f t="shared" si="385"/>
        <v>2.560455192034139E-2</v>
      </c>
      <c r="BW304" s="52">
        <f t="shared" si="385"/>
        <v>-0.13642564802182811</v>
      </c>
      <c r="BX304" s="52">
        <f t="shared" si="385"/>
        <v>-0.10069444444444442</v>
      </c>
      <c r="BY304" s="52">
        <f t="shared" si="385"/>
        <v>5.6482670089858855E-2</v>
      </c>
      <c r="BZ304" s="52">
        <f t="shared" si="385"/>
        <v>2.1109570041608849E-2</v>
      </c>
      <c r="CA304" s="52">
        <f t="shared" si="385"/>
        <v>8.1674565560821533E-2</v>
      </c>
      <c r="EL304" s="71">
        <f>+EL302/EK302-1</f>
        <v>-4.0597596622279908E-2</v>
      </c>
    </row>
    <row r="305" spans="1:142">
      <c r="A305" s="38" t="s">
        <v>330</v>
      </c>
      <c r="B305" s="38"/>
      <c r="C305" s="38"/>
      <c r="D305" s="38"/>
      <c r="E305" s="38"/>
      <c r="F305" s="38"/>
      <c r="G305" s="38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  <c r="BG305" s="38"/>
      <c r="BH305" s="38"/>
      <c r="BI305" s="38"/>
      <c r="BJ305" s="38"/>
      <c r="BK305" s="38"/>
      <c r="BL305" s="38"/>
      <c r="BM305" s="38"/>
      <c r="BN305" s="38"/>
      <c r="BO305" s="38"/>
      <c r="BP305" s="38"/>
      <c r="BQ305" s="105">
        <v>1297</v>
      </c>
      <c r="BR305" s="105">
        <v>1282</v>
      </c>
      <c r="BS305" s="105">
        <v>1247</v>
      </c>
      <c r="BT305" s="105">
        <v>1332</v>
      </c>
      <c r="BU305" s="105">
        <v>1356</v>
      </c>
      <c r="BV305" s="105">
        <v>1318</v>
      </c>
      <c r="BW305" s="105">
        <v>1255</v>
      </c>
      <c r="BX305" s="105">
        <v>1256</v>
      </c>
      <c r="BY305" s="105">
        <v>1250</v>
      </c>
      <c r="BZ305" s="105">
        <v>1107.1199999999999</v>
      </c>
      <c r="CA305" s="105">
        <v>1004</v>
      </c>
      <c r="EJ305" s="38"/>
      <c r="EK305" s="38">
        <f>SUM(BR305:BU305)</f>
        <v>5217</v>
      </c>
      <c r="EL305" s="38">
        <f>BV305+BW305+BX305+BY305</f>
        <v>5079</v>
      </c>
    </row>
    <row r="306" spans="1:142">
      <c r="A306" s="146" t="s">
        <v>223</v>
      </c>
      <c r="BO306" s="52"/>
      <c r="BP306" s="52"/>
      <c r="BQ306" s="52"/>
      <c r="BR306" s="52">
        <f t="shared" ref="BR306:CA306" si="386">BR305/BQ305-1</f>
        <v>-1.1565150346954489E-2</v>
      </c>
      <c r="BS306" s="52">
        <f t="shared" si="386"/>
        <v>-2.7301092043681696E-2</v>
      </c>
      <c r="BT306" s="52">
        <f t="shared" si="386"/>
        <v>6.8163592622293434E-2</v>
      </c>
      <c r="BU306" s="52">
        <f t="shared" si="386"/>
        <v>1.8018018018018056E-2</v>
      </c>
      <c r="BV306" s="52">
        <f t="shared" si="386"/>
        <v>-2.8023598820059004E-2</v>
      </c>
      <c r="BW306" s="52">
        <f t="shared" si="386"/>
        <v>-4.7799696509863376E-2</v>
      </c>
      <c r="BX306" s="52">
        <f t="shared" si="386"/>
        <v>7.9681274900389454E-4</v>
      </c>
      <c r="BY306" s="52">
        <f t="shared" si="386"/>
        <v>-4.777070063694322E-3</v>
      </c>
      <c r="BZ306" s="52">
        <f t="shared" si="386"/>
        <v>-0.11430400000000007</v>
      </c>
      <c r="CA306" s="52">
        <f t="shared" si="386"/>
        <v>-9.3142568104631729E-2</v>
      </c>
    </row>
    <row r="307" spans="1:142">
      <c r="A307" s="146" t="s">
        <v>225</v>
      </c>
      <c r="BO307" s="91"/>
      <c r="BP307" s="91"/>
      <c r="BQ307" s="91"/>
      <c r="BR307" s="52"/>
      <c r="BS307" s="52"/>
      <c r="BT307" s="52"/>
      <c r="BU307" s="52">
        <f t="shared" ref="BU307:CA307" si="387">BU305/BQ305-1</f>
        <v>4.5489591364687776E-2</v>
      </c>
      <c r="BV307" s="52">
        <f t="shared" si="387"/>
        <v>2.808112324492984E-2</v>
      </c>
      <c r="BW307" s="52">
        <f t="shared" si="387"/>
        <v>6.4153969526865584E-3</v>
      </c>
      <c r="BX307" s="52">
        <f t="shared" si="387"/>
        <v>-5.7057057057057103E-2</v>
      </c>
      <c r="BY307" s="52">
        <f t="shared" si="387"/>
        <v>-7.8171091445427776E-2</v>
      </c>
      <c r="BZ307" s="52">
        <f t="shared" si="387"/>
        <v>-0.16000000000000003</v>
      </c>
      <c r="CA307" s="52">
        <f t="shared" si="387"/>
        <v>-0.19999999999999996</v>
      </c>
      <c r="EL307" s="71">
        <f>+EL305/EK305-1</f>
        <v>-2.6451983898792442E-2</v>
      </c>
    </row>
    <row r="308" spans="1:142">
      <c r="A308" s="38" t="s">
        <v>334</v>
      </c>
      <c r="B308" s="38"/>
      <c r="C308" s="38"/>
      <c r="D308" s="38"/>
      <c r="E308" s="38"/>
      <c r="F308" s="38"/>
      <c r="G308" s="38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38"/>
      <c r="BG308" s="38"/>
      <c r="BH308" s="38"/>
      <c r="BI308" s="38"/>
      <c r="BJ308" s="38"/>
      <c r="BK308" s="38"/>
      <c r="BL308" s="38"/>
      <c r="BM308" s="38"/>
      <c r="BN308" s="38"/>
      <c r="BO308" s="38"/>
      <c r="BP308" s="38"/>
      <c r="BQ308" s="105">
        <v>285</v>
      </c>
      <c r="BR308" s="105">
        <v>293</v>
      </c>
      <c r="BS308" s="105">
        <v>267</v>
      </c>
      <c r="BT308" s="105">
        <v>273</v>
      </c>
      <c r="BU308" s="105">
        <v>241</v>
      </c>
      <c r="BV308" s="105">
        <v>260</v>
      </c>
      <c r="BW308" s="105">
        <v>242</v>
      </c>
      <c r="BX308" s="105">
        <v>269</v>
      </c>
      <c r="BY308" s="105">
        <v>243</v>
      </c>
      <c r="BZ308" s="105">
        <v>234</v>
      </c>
      <c r="CA308" s="105">
        <v>193.60000000000002</v>
      </c>
      <c r="EJ308" s="38"/>
      <c r="EK308" s="38">
        <f>SUM(BR308:BU308)</f>
        <v>1074</v>
      </c>
      <c r="EL308" s="38">
        <f>BV308+BW308+BX308+BY308</f>
        <v>1014</v>
      </c>
    </row>
    <row r="309" spans="1:142">
      <c r="A309" s="146" t="s">
        <v>223</v>
      </c>
      <c r="BO309" s="52"/>
      <c r="BP309" s="52"/>
      <c r="BQ309" s="52"/>
      <c r="BR309" s="52">
        <f t="shared" ref="BR309:CA309" si="388">BR308/BQ308-1</f>
        <v>2.8070175438596578E-2</v>
      </c>
      <c r="BS309" s="52">
        <f t="shared" si="388"/>
        <v>-8.8737201365187701E-2</v>
      </c>
      <c r="BT309" s="52">
        <f t="shared" si="388"/>
        <v>2.2471910112359605E-2</v>
      </c>
      <c r="BU309" s="52">
        <f t="shared" si="388"/>
        <v>-0.11721611721611724</v>
      </c>
      <c r="BV309" s="52">
        <f t="shared" si="388"/>
        <v>7.8838174273858863E-2</v>
      </c>
      <c r="BW309" s="52">
        <f t="shared" si="388"/>
        <v>-6.9230769230769207E-2</v>
      </c>
      <c r="BX309" s="52">
        <f t="shared" si="388"/>
        <v>0.11157024793388426</v>
      </c>
      <c r="BY309" s="52">
        <f t="shared" si="388"/>
        <v>-9.6654275092936781E-2</v>
      </c>
      <c r="BZ309" s="52">
        <f t="shared" si="388"/>
        <v>-3.703703703703709E-2</v>
      </c>
      <c r="CA309" s="52">
        <f t="shared" si="388"/>
        <v>-0.17264957264957259</v>
      </c>
    </row>
    <row r="310" spans="1:142">
      <c r="A310" s="146" t="s">
        <v>225</v>
      </c>
      <c r="BO310" s="91"/>
      <c r="BP310" s="91"/>
      <c r="BQ310" s="91"/>
      <c r="BR310" s="52"/>
      <c r="BS310" s="52"/>
      <c r="BT310" s="52"/>
      <c r="BU310" s="52">
        <f t="shared" ref="BU310:CA310" si="389">BU308/BQ308-1</f>
        <v>-0.15438596491228074</v>
      </c>
      <c r="BV310" s="52">
        <f t="shared" si="389"/>
        <v>-0.11262798634812288</v>
      </c>
      <c r="BW310" s="52">
        <f t="shared" si="389"/>
        <v>-9.3632958801498134E-2</v>
      </c>
      <c r="BX310" s="52">
        <f t="shared" si="389"/>
        <v>-1.46520146520146E-2</v>
      </c>
      <c r="BY310" s="52">
        <f t="shared" si="389"/>
        <v>8.2987551867219622E-3</v>
      </c>
      <c r="BZ310" s="52">
        <f t="shared" si="389"/>
        <v>-9.9999999999999978E-2</v>
      </c>
      <c r="CA310" s="52">
        <f t="shared" si="389"/>
        <v>-0.19999999999999996</v>
      </c>
      <c r="EL310" s="71">
        <f>+EL308/EK308-1</f>
        <v>-5.5865921787709549E-2</v>
      </c>
    </row>
  </sheetData>
  <printOptions horizontalCentered="1" verticalCentered="1"/>
  <pageMargins left="0.25" right="0.25" top="0.75" bottom="0.75" header="0.3" footer="0.3"/>
  <pageSetup scale="17" orientation="landscape" r:id="rId1"/>
  <customProperties>
    <customPr name="Qube.Worksheet.Visibility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CF0AE-8C89-4883-BAF8-684642DF9AFF}">
  <sheetPr>
    <tabColor rgb="FF0000FF"/>
    <pageSetUpPr autoPageBreaks="0" fitToPage="1"/>
  </sheetPr>
  <dimension ref="A1:FQ1327"/>
  <sheetViews>
    <sheetView zoomScaleNormal="100" zoomScaleSheetLayoutView="85" workbookViewId="0">
      <pane xSplit="1" ySplit="4" topLeftCell="EE5" activePane="bottomRight" state="frozen"/>
      <selection activeCell="F32" sqref="F32"/>
      <selection pane="topRight" activeCell="F32" sqref="F32"/>
      <selection pane="bottomLeft" activeCell="F32" sqref="F32"/>
      <selection pane="bottomRight"/>
    </sheetView>
  </sheetViews>
  <sheetFormatPr defaultColWidth="9.140625" defaultRowHeight="12.75" outlineLevelRow="2" outlineLevelCol="2"/>
  <cols>
    <col min="1" max="1" width="27.85546875" style="171" customWidth="1"/>
    <col min="2" max="2" width="8.140625" style="148" hidden="1" customWidth="1" outlineLevel="1"/>
    <col min="3" max="3" width="9.140625" style="148" hidden="1" customWidth="1" outlineLevel="1"/>
    <col min="4" max="5" width="7.85546875" style="148" hidden="1" customWidth="1" outlineLevel="1"/>
    <col min="6" max="6" width="7.140625" style="148" hidden="1" customWidth="1" outlineLevel="1" collapsed="1"/>
    <col min="7" max="7" width="9.5703125" style="148" hidden="1" customWidth="1" outlineLevel="2"/>
    <col min="8" max="8" width="10.5703125" style="148" hidden="1" customWidth="1" outlineLevel="2"/>
    <col min="9" max="10" width="7.85546875" style="148" hidden="1" customWidth="1" outlineLevel="2"/>
    <col min="11" max="11" width="7.5703125" style="148" hidden="1" customWidth="1" outlineLevel="1"/>
    <col min="12" max="12" width="7.85546875" style="148" hidden="1" customWidth="1" outlineLevel="2" collapsed="1"/>
    <col min="13" max="15" width="7.85546875" style="148" hidden="1" customWidth="1" outlineLevel="2"/>
    <col min="16" max="16" width="7.5703125" style="148" hidden="1" customWidth="1" outlineLevel="1"/>
    <col min="17" max="17" width="7.85546875" style="148" hidden="1" customWidth="1" outlineLevel="2" collapsed="1"/>
    <col min="18" max="20" width="7.85546875" style="148" hidden="1" customWidth="1" outlineLevel="2"/>
    <col min="21" max="21" width="7.140625" style="148" hidden="1" customWidth="1" outlineLevel="1"/>
    <col min="22" max="22" width="7.85546875" style="148" hidden="1" customWidth="1" outlineLevel="2" collapsed="1"/>
    <col min="23" max="25" width="7.85546875" style="148" hidden="1" customWidth="1" outlineLevel="2"/>
    <col min="26" max="26" width="7.7109375" style="148" hidden="1" customWidth="1" outlineLevel="1"/>
    <col min="27" max="28" width="7.85546875" style="148" hidden="1" customWidth="1" outlineLevel="2"/>
    <col min="29" max="29" width="8.140625" style="148" hidden="1" customWidth="1" outlineLevel="2"/>
    <col min="30" max="30" width="9.140625" style="409" hidden="1" customWidth="1" outlineLevel="2"/>
    <col min="31" max="31" width="7.7109375" style="409" hidden="1" customWidth="1" outlineLevel="1"/>
    <col min="32" max="32" width="8" style="409" hidden="1" customWidth="1" outlineLevel="2"/>
    <col min="33" max="35" width="8" style="149" hidden="1" customWidth="1" outlineLevel="2"/>
    <col min="36" max="36" width="7.7109375" style="149" hidden="1" customWidth="1" outlineLevel="1"/>
    <col min="37" max="37" width="9.140625" style="149" hidden="1" customWidth="1" outlineLevel="2"/>
    <col min="38" max="38" width="8" style="149" hidden="1" customWidth="1" outlineLevel="2"/>
    <col min="39" max="40" width="8.85546875" style="149" hidden="1" customWidth="1" outlineLevel="2"/>
    <col min="41" max="41" width="7.7109375" style="149" hidden="1" customWidth="1" outlineLevel="1"/>
    <col min="42" max="45" width="8" style="149" hidden="1" customWidth="1" outlineLevel="2"/>
    <col min="46" max="46" width="7.7109375" style="149" hidden="1" customWidth="1" outlineLevel="1"/>
    <col min="47" max="50" width="8" style="149" hidden="1" customWidth="1" outlineLevel="2"/>
    <col min="51" max="51" width="7.7109375" style="149" hidden="1" customWidth="1" outlineLevel="1"/>
    <col min="52" max="53" width="8" style="149" hidden="1" customWidth="1" outlineLevel="2"/>
    <col min="54" max="55" width="8.42578125" style="149" hidden="1" customWidth="1" outlineLevel="2"/>
    <col min="56" max="56" width="7.7109375" style="149" hidden="1" customWidth="1" outlineLevel="1"/>
    <col min="57" max="57" width="8.85546875" style="149" hidden="1" customWidth="1" outlineLevel="2"/>
    <col min="58" max="58" width="8" style="149" hidden="1" customWidth="1" outlineLevel="2"/>
    <col min="59" max="59" width="8.140625" style="149" hidden="1" customWidth="1" outlineLevel="2"/>
    <col min="60" max="60" width="8" style="149" hidden="1" customWidth="1" outlineLevel="2"/>
    <col min="61" max="61" width="7.7109375" style="149" hidden="1" customWidth="1" outlineLevel="1"/>
    <col min="62" max="62" width="8.85546875" style="149" hidden="1" customWidth="1" outlineLevel="2"/>
    <col min="63" max="63" width="8" style="149" hidden="1" customWidth="1" outlineLevel="2"/>
    <col min="64" max="64" width="8.85546875" style="149" hidden="1" customWidth="1" outlineLevel="2"/>
    <col min="65" max="65" width="8" style="149" hidden="1" customWidth="1" outlineLevel="2"/>
    <col min="66" max="66" width="7.7109375" style="149" hidden="1" customWidth="1" outlineLevel="1"/>
    <col min="67" max="67" width="8.85546875" style="149" hidden="1" customWidth="1" outlineLevel="2"/>
    <col min="68" max="68" width="7.85546875" style="149" hidden="1" customWidth="1" outlineLevel="2"/>
    <col min="69" max="69" width="8.85546875" style="149" hidden="1" customWidth="1" outlineLevel="2"/>
    <col min="70" max="70" width="7.85546875" style="149" hidden="1" customWidth="1" outlineLevel="2"/>
    <col min="71" max="71" width="7.7109375" style="149" hidden="1" customWidth="1" outlineLevel="1"/>
    <col min="72" max="72" width="8.85546875" style="149" hidden="1" customWidth="1" outlineLevel="2"/>
    <col min="73" max="75" width="8" style="149" hidden="1" customWidth="1" outlineLevel="2"/>
    <col min="76" max="76" width="7.7109375" style="149" hidden="1" customWidth="1" outlineLevel="1"/>
    <col min="77" max="77" width="8.85546875" style="149" hidden="1" customWidth="1" outlineLevel="2"/>
    <col min="78" max="80" width="8" style="149" hidden="1" customWidth="1" outlineLevel="2"/>
    <col min="81" max="81" width="7.7109375" style="149" hidden="1" customWidth="1" outlineLevel="1"/>
    <col min="82" max="82" width="8.85546875" style="149" hidden="1" customWidth="1" outlineLevel="2"/>
    <col min="83" max="85" width="8" style="149" hidden="1" customWidth="1" outlineLevel="2"/>
    <col min="86" max="86" width="7.85546875" style="149" hidden="1" customWidth="1" outlineLevel="1"/>
    <col min="87" max="87" width="8.85546875" style="149" hidden="1" customWidth="1" outlineLevel="2"/>
    <col min="88" max="88" width="9.5703125" style="149" hidden="1" customWidth="1" outlineLevel="2"/>
    <col min="89" max="90" width="8" style="149" hidden="1" customWidth="1" outlineLevel="2"/>
    <col min="91" max="91" width="7.85546875" style="149" hidden="1" customWidth="1" outlineLevel="1"/>
    <col min="92" max="92" width="8.85546875" style="149" hidden="1" customWidth="1" outlineLevel="2"/>
    <col min="93" max="93" width="8.7109375" style="149" hidden="1" customWidth="1" outlineLevel="2"/>
    <col min="94" max="95" width="8" style="149" hidden="1" customWidth="1" outlineLevel="2"/>
    <col min="96" max="96" width="7.7109375" style="149" hidden="1" customWidth="1" outlineLevel="1"/>
    <col min="97" max="97" width="8.85546875" style="149" hidden="1" customWidth="1" outlineLevel="2"/>
    <col min="98" max="100" width="8" style="149" hidden="1" customWidth="1" outlineLevel="2"/>
    <col min="101" max="101" width="8" style="149" hidden="1" customWidth="1" outlineLevel="1"/>
    <col min="102" max="102" width="8.85546875" style="149" hidden="1" customWidth="1" outlineLevel="1"/>
    <col min="103" max="105" width="8" style="149" hidden="1" customWidth="1" outlineLevel="1"/>
    <col min="106" max="106" width="9.140625" style="148" bestFit="1" customWidth="1" collapsed="1"/>
    <col min="107" max="108" width="8.85546875" style="149" hidden="1" customWidth="1" outlineLevel="1"/>
    <col min="109" max="110" width="8.42578125" style="149" hidden="1" customWidth="1" outlineLevel="1"/>
    <col min="111" max="111" width="8.7109375" style="149" bestFit="1" customWidth="1" collapsed="1"/>
    <col min="112" max="112" width="8.85546875" style="149" hidden="1" customWidth="1" outlineLevel="1"/>
    <col min="113" max="113" width="8" style="149" hidden="1" customWidth="1" outlineLevel="1"/>
    <col min="114" max="115" width="8.42578125" style="149" hidden="1" customWidth="1" outlineLevel="1"/>
    <col min="116" max="116" width="8.7109375" style="149" bestFit="1" customWidth="1" collapsed="1"/>
    <col min="117" max="117" width="8.42578125" style="149" hidden="1" customWidth="1" outlineLevel="1"/>
    <col min="118" max="118" width="8.85546875" style="149" hidden="1" customWidth="1" outlineLevel="1"/>
    <col min="119" max="119" width="8.42578125" style="149" hidden="1" customWidth="1" outlineLevel="1"/>
    <col min="120" max="120" width="9.7109375" style="149" hidden="1" customWidth="1" outlineLevel="1"/>
    <col min="121" max="121" width="7.140625" style="149" bestFit="1" customWidth="1" collapsed="1"/>
    <col min="122" max="125" width="9.7109375" style="149" hidden="1" customWidth="1" outlineLevel="1"/>
    <col min="126" max="126" width="8.140625" style="149" bestFit="1" customWidth="1" collapsed="1"/>
    <col min="127" max="127" width="9.7109375" style="149" hidden="1" customWidth="1" outlineLevel="1"/>
    <col min="128" max="130" width="10.42578125" style="149" hidden="1" customWidth="1" outlineLevel="1"/>
    <col min="131" max="131" width="9" style="149" bestFit="1" customWidth="1" collapsed="1"/>
    <col min="132" max="135" width="10.42578125" style="149" hidden="1" customWidth="1" outlineLevel="1"/>
    <col min="136" max="136" width="7.85546875" style="149" bestFit="1" customWidth="1" collapsed="1"/>
    <col min="137" max="140" width="10.42578125" style="149" hidden="1" customWidth="1" outlineLevel="1"/>
    <col min="141" max="141" width="8.42578125" style="149" bestFit="1" customWidth="1" collapsed="1"/>
    <col min="142" max="145" width="10.5703125" style="149" bestFit="1" customWidth="1"/>
    <col min="146" max="146" width="8.42578125" style="149" bestFit="1" customWidth="1"/>
    <col min="147" max="150" width="10.5703125" style="149" bestFit="1" customWidth="1"/>
    <col min="151" max="151" width="9" style="149" bestFit="1" customWidth="1"/>
    <col min="152" max="155" width="10.5703125" style="149" bestFit="1" customWidth="1"/>
    <col min="156" max="156" width="9" style="149" bestFit="1" customWidth="1"/>
    <col min="157" max="160" width="10.5703125" style="149" bestFit="1" customWidth="1"/>
    <col min="161" max="161" width="9" style="149" bestFit="1" customWidth="1"/>
    <col min="162" max="165" width="10.5703125" style="149" bestFit="1" customWidth="1"/>
    <col min="166" max="166" width="9" style="149" bestFit="1" customWidth="1"/>
    <col min="167" max="170" width="10.5703125" style="149" bestFit="1" customWidth="1"/>
    <col min="171" max="171" width="9" style="149" bestFit="1" customWidth="1"/>
    <col min="172" max="172" width="8.7109375" style="149" customWidth="1"/>
    <col min="173" max="173" width="9.5703125" style="149" customWidth="1"/>
    <col min="174" max="16384" width="9.140625" style="149"/>
  </cols>
  <sheetData>
    <row r="1" spans="1:173">
      <c r="A1" s="147"/>
      <c r="AD1" s="148"/>
      <c r="AE1" s="148"/>
      <c r="AF1" s="148"/>
      <c r="BQ1" s="150"/>
      <c r="BR1" s="150"/>
      <c r="BS1" s="150"/>
      <c r="BT1" s="150"/>
      <c r="BU1" s="151"/>
      <c r="BV1" s="150"/>
      <c r="BW1" s="150"/>
      <c r="BX1" s="150"/>
      <c r="BY1" s="150"/>
      <c r="BZ1" s="151"/>
      <c r="CA1" s="150"/>
      <c r="CB1" s="150"/>
      <c r="CC1" s="150"/>
      <c r="CD1" s="150"/>
      <c r="CE1" s="151"/>
      <c r="CF1" s="150"/>
      <c r="CG1" s="150"/>
      <c r="CH1" s="150"/>
      <c r="CI1" s="150"/>
      <c r="CO1" s="152"/>
      <c r="CP1" s="150"/>
      <c r="CQ1" s="150"/>
      <c r="CR1" s="150"/>
      <c r="CS1" s="150"/>
      <c r="CT1" s="150"/>
      <c r="CU1" s="150"/>
      <c r="CV1" s="150"/>
      <c r="CW1" s="150"/>
      <c r="CX1" s="150"/>
      <c r="CY1" s="150"/>
      <c r="CZ1" s="150"/>
      <c r="DA1" s="150"/>
      <c r="EI1" s="153"/>
      <c r="EJ1" s="153"/>
    </row>
    <row r="2" spans="1:173" s="148" customFormat="1">
      <c r="A2" s="154" t="s">
        <v>335</v>
      </c>
      <c r="B2" s="155" t="s">
        <v>336</v>
      </c>
      <c r="C2" s="155" t="s">
        <v>337</v>
      </c>
      <c r="D2" s="155" t="s">
        <v>338</v>
      </c>
      <c r="E2" s="155" t="s">
        <v>339</v>
      </c>
      <c r="F2" s="156" t="s">
        <v>340</v>
      </c>
      <c r="G2" s="155" t="s">
        <v>341</v>
      </c>
      <c r="H2" s="155" t="s">
        <v>342</v>
      </c>
      <c r="I2" s="155" t="s">
        <v>343</v>
      </c>
      <c r="J2" s="155" t="s">
        <v>344</v>
      </c>
      <c r="K2" s="156" t="s">
        <v>340</v>
      </c>
      <c r="L2" s="155" t="s">
        <v>345</v>
      </c>
      <c r="M2" s="155" t="s">
        <v>346</v>
      </c>
      <c r="N2" s="155" t="s">
        <v>347</v>
      </c>
      <c r="O2" s="155" t="s">
        <v>348</v>
      </c>
      <c r="P2" s="156" t="s">
        <v>340</v>
      </c>
      <c r="Q2" s="155" t="s">
        <v>349</v>
      </c>
      <c r="R2" s="155" t="s">
        <v>350</v>
      </c>
      <c r="S2" s="155" t="s">
        <v>351</v>
      </c>
      <c r="T2" s="155" t="s">
        <v>352</v>
      </c>
      <c r="U2" s="156" t="s">
        <v>340</v>
      </c>
      <c r="V2" s="155" t="s">
        <v>353</v>
      </c>
      <c r="W2" s="155" t="s">
        <v>354</v>
      </c>
      <c r="X2" s="155" t="s">
        <v>355</v>
      </c>
      <c r="Y2" s="155" t="s">
        <v>356</v>
      </c>
      <c r="Z2" s="156" t="s">
        <v>340</v>
      </c>
      <c r="AA2" s="155" t="s">
        <v>357</v>
      </c>
      <c r="AB2" s="155" t="s">
        <v>358</v>
      </c>
      <c r="AC2" s="155" t="s">
        <v>359</v>
      </c>
      <c r="AD2" s="155" t="s">
        <v>360</v>
      </c>
      <c r="AE2" s="156" t="s">
        <v>340</v>
      </c>
      <c r="AF2" s="155" t="s">
        <v>361</v>
      </c>
      <c r="AG2" s="155" t="s">
        <v>362</v>
      </c>
      <c r="AH2" s="155" t="s">
        <v>363</v>
      </c>
      <c r="AI2" s="155" t="s">
        <v>364</v>
      </c>
      <c r="AJ2" s="156" t="s">
        <v>340</v>
      </c>
      <c r="AK2" s="155" t="s">
        <v>92</v>
      </c>
      <c r="AL2" s="155" t="s">
        <v>93</v>
      </c>
      <c r="AM2" s="155" t="s">
        <v>94</v>
      </c>
      <c r="AN2" s="155" t="s">
        <v>95</v>
      </c>
      <c r="AO2" s="156" t="s">
        <v>340</v>
      </c>
      <c r="AP2" s="155" t="s">
        <v>96</v>
      </c>
      <c r="AQ2" s="155" t="s">
        <v>97</v>
      </c>
      <c r="AR2" s="155" t="s">
        <v>98</v>
      </c>
      <c r="AS2" s="155" t="s">
        <v>99</v>
      </c>
      <c r="AT2" s="156" t="s">
        <v>340</v>
      </c>
      <c r="AU2" s="155" t="s">
        <v>100</v>
      </c>
      <c r="AV2" s="155" t="s">
        <v>101</v>
      </c>
      <c r="AW2" s="155" t="s">
        <v>102</v>
      </c>
      <c r="AX2" s="157" t="s">
        <v>103</v>
      </c>
      <c r="AY2" s="156" t="s">
        <v>340</v>
      </c>
      <c r="AZ2" s="155" t="s">
        <v>104</v>
      </c>
      <c r="BA2" s="155" t="s">
        <v>105</v>
      </c>
      <c r="BB2" s="155" t="s">
        <v>106</v>
      </c>
      <c r="BC2" s="155" t="s">
        <v>107</v>
      </c>
      <c r="BD2" s="156" t="s">
        <v>340</v>
      </c>
      <c r="BE2" s="155" t="s">
        <v>108</v>
      </c>
      <c r="BF2" s="155" t="s">
        <v>109</v>
      </c>
      <c r="BG2" s="155" t="s">
        <v>110</v>
      </c>
      <c r="BH2" s="155" t="s">
        <v>111</v>
      </c>
      <c r="BI2" s="156" t="s">
        <v>340</v>
      </c>
      <c r="BJ2" s="155" t="s">
        <v>112</v>
      </c>
      <c r="BK2" s="155" t="s">
        <v>113</v>
      </c>
      <c r="BL2" s="155" t="s">
        <v>114</v>
      </c>
      <c r="BM2" s="155" t="s">
        <v>115</v>
      </c>
      <c r="BN2" s="156" t="s">
        <v>340</v>
      </c>
      <c r="BO2" s="155" t="s">
        <v>116</v>
      </c>
      <c r="BP2" s="155" t="s">
        <v>117</v>
      </c>
      <c r="BQ2" s="155" t="s">
        <v>118</v>
      </c>
      <c r="BR2" s="155" t="s">
        <v>119</v>
      </c>
      <c r="BS2" s="156" t="s">
        <v>340</v>
      </c>
      <c r="BT2" s="155" t="s">
        <v>120</v>
      </c>
      <c r="BU2" s="155" t="s">
        <v>121</v>
      </c>
      <c r="BV2" s="155" t="s">
        <v>122</v>
      </c>
      <c r="BW2" s="155" t="s">
        <v>123</v>
      </c>
      <c r="BX2" s="156" t="s">
        <v>340</v>
      </c>
      <c r="BY2" s="155" t="s">
        <v>124</v>
      </c>
      <c r="BZ2" s="155" t="s">
        <v>125</v>
      </c>
      <c r="CA2" s="155" t="s">
        <v>126</v>
      </c>
      <c r="CB2" s="155" t="s">
        <v>127</v>
      </c>
      <c r="CC2" s="156" t="s">
        <v>340</v>
      </c>
      <c r="CD2" s="155" t="s">
        <v>128</v>
      </c>
      <c r="CE2" s="155" t="s">
        <v>129</v>
      </c>
      <c r="CF2" s="155" t="s">
        <v>130</v>
      </c>
      <c r="CG2" s="155" t="s">
        <v>131</v>
      </c>
      <c r="CH2" s="156" t="s">
        <v>340</v>
      </c>
      <c r="CI2" s="155" t="s">
        <v>132</v>
      </c>
      <c r="CJ2" s="155" t="s">
        <v>133</v>
      </c>
      <c r="CK2" s="155" t="s">
        <v>134</v>
      </c>
      <c r="CL2" s="155" t="s">
        <v>135</v>
      </c>
      <c r="CM2" s="156" t="s">
        <v>340</v>
      </c>
      <c r="CN2" s="155" t="s">
        <v>136</v>
      </c>
      <c r="CO2" s="155" t="s">
        <v>137</v>
      </c>
      <c r="CP2" s="155" t="s">
        <v>138</v>
      </c>
      <c r="CQ2" s="155" t="s">
        <v>139</v>
      </c>
      <c r="CR2" s="156" t="s">
        <v>340</v>
      </c>
      <c r="CS2" s="155" t="s">
        <v>140</v>
      </c>
      <c r="CT2" s="155" t="s">
        <v>141</v>
      </c>
      <c r="CU2" s="155" t="s">
        <v>142</v>
      </c>
      <c r="CV2" s="155" t="s">
        <v>143</v>
      </c>
      <c r="CW2" s="156" t="s">
        <v>340</v>
      </c>
      <c r="CX2" s="155" t="s">
        <v>144</v>
      </c>
      <c r="CY2" s="155" t="s">
        <v>145</v>
      </c>
      <c r="CZ2" s="155" t="s">
        <v>146</v>
      </c>
      <c r="DA2" s="155" t="s">
        <v>147</v>
      </c>
      <c r="DB2" s="156" t="s">
        <v>340</v>
      </c>
      <c r="DC2" s="155" t="s">
        <v>148</v>
      </c>
      <c r="DD2" s="155" t="s">
        <v>149</v>
      </c>
      <c r="DE2" s="155" t="s">
        <v>150</v>
      </c>
      <c r="DF2" s="155" t="s">
        <v>151</v>
      </c>
      <c r="DG2" s="156" t="s">
        <v>340</v>
      </c>
      <c r="DH2" s="155" t="s">
        <v>152</v>
      </c>
      <c r="DI2" s="155" t="s">
        <v>153</v>
      </c>
      <c r="DJ2" s="155" t="s">
        <v>154</v>
      </c>
      <c r="DK2" s="155" t="s">
        <v>155</v>
      </c>
      <c r="DL2" s="156" t="s">
        <v>340</v>
      </c>
      <c r="DM2" s="155" t="s">
        <v>156</v>
      </c>
      <c r="DN2" s="155" t="s">
        <v>157</v>
      </c>
      <c r="DO2" s="155" t="s">
        <v>158</v>
      </c>
      <c r="DP2" s="155" t="s">
        <v>159</v>
      </c>
      <c r="DQ2" s="156" t="s">
        <v>340</v>
      </c>
      <c r="DR2" s="155" t="s">
        <v>160</v>
      </c>
      <c r="DS2" s="155" t="s">
        <v>161</v>
      </c>
      <c r="DT2" s="155" t="s">
        <v>162</v>
      </c>
      <c r="DU2" s="155" t="s">
        <v>163</v>
      </c>
      <c r="DV2" s="156" t="s">
        <v>340</v>
      </c>
      <c r="DW2" s="155" t="s">
        <v>164</v>
      </c>
      <c r="DX2" s="155" t="s">
        <v>165</v>
      </c>
      <c r="DY2" s="155" t="s">
        <v>166</v>
      </c>
      <c r="DZ2" s="155" t="s">
        <v>167</v>
      </c>
      <c r="EA2" s="156" t="s">
        <v>340</v>
      </c>
      <c r="EB2" s="155" t="s">
        <v>168</v>
      </c>
      <c r="EC2" s="155" t="s">
        <v>169</v>
      </c>
      <c r="ED2" s="155" t="s">
        <v>170</v>
      </c>
      <c r="EE2" s="155" t="s">
        <v>171</v>
      </c>
      <c r="EF2" s="156" t="s">
        <v>340</v>
      </c>
      <c r="EG2" s="155" t="s">
        <v>172</v>
      </c>
      <c r="EH2" s="155" t="s">
        <v>173</v>
      </c>
      <c r="EI2" s="155" t="s">
        <v>174</v>
      </c>
      <c r="EJ2" s="155" t="s">
        <v>175</v>
      </c>
      <c r="EK2" s="156" t="s">
        <v>340</v>
      </c>
      <c r="EL2" s="155" t="s">
        <v>176</v>
      </c>
      <c r="EM2" s="155" t="s">
        <v>365</v>
      </c>
      <c r="EN2" s="155" t="s">
        <v>366</v>
      </c>
      <c r="EO2" s="155" t="s">
        <v>367</v>
      </c>
      <c r="EP2" s="156" t="s">
        <v>340</v>
      </c>
      <c r="EQ2" s="155" t="s">
        <v>368</v>
      </c>
      <c r="ER2" s="155" t="s">
        <v>181</v>
      </c>
      <c r="ES2" s="155" t="s">
        <v>182</v>
      </c>
      <c r="ET2" s="155" t="s">
        <v>183</v>
      </c>
      <c r="EU2" s="156" t="s">
        <v>340</v>
      </c>
      <c r="EV2" s="155" t="s">
        <v>184</v>
      </c>
      <c r="EW2" s="155" t="s">
        <v>185</v>
      </c>
      <c r="EX2" s="155" t="s">
        <v>186</v>
      </c>
      <c r="EY2" s="155" t="s">
        <v>187</v>
      </c>
      <c r="EZ2" s="156" t="s">
        <v>340</v>
      </c>
      <c r="FA2" s="155" t="s">
        <v>184</v>
      </c>
      <c r="FB2" s="155" t="s">
        <v>185</v>
      </c>
      <c r="FC2" s="155" t="s">
        <v>186</v>
      </c>
      <c r="FD2" s="155" t="s">
        <v>187</v>
      </c>
      <c r="FE2" s="156" t="s">
        <v>340</v>
      </c>
      <c r="FF2" s="155" t="s">
        <v>184</v>
      </c>
      <c r="FG2" s="155" t="s">
        <v>185</v>
      </c>
      <c r="FH2" s="155" t="s">
        <v>186</v>
      </c>
      <c r="FI2" s="155" t="s">
        <v>187</v>
      </c>
      <c r="FJ2" s="156" t="s">
        <v>340</v>
      </c>
      <c r="FK2" s="155" t="s">
        <v>184</v>
      </c>
      <c r="FL2" s="155" t="s">
        <v>185</v>
      </c>
      <c r="FM2" s="155" t="s">
        <v>186</v>
      </c>
      <c r="FN2" s="155" t="s">
        <v>187</v>
      </c>
      <c r="FO2" s="156" t="s">
        <v>340</v>
      </c>
      <c r="FP2" s="158"/>
      <c r="FQ2" s="159"/>
    </row>
    <row r="3" spans="1:173" s="148" customFormat="1">
      <c r="A3" s="154"/>
      <c r="B3" s="160">
        <v>35519</v>
      </c>
      <c r="C3" s="160">
        <v>35610</v>
      </c>
      <c r="D3" s="160">
        <v>35701</v>
      </c>
      <c r="E3" s="160">
        <v>35795</v>
      </c>
      <c r="F3" s="156">
        <f>K3-1</f>
        <v>1998</v>
      </c>
      <c r="G3" s="160">
        <v>35911</v>
      </c>
      <c r="H3" s="160">
        <v>36002</v>
      </c>
      <c r="I3" s="160">
        <v>36093</v>
      </c>
      <c r="J3" s="160">
        <v>36191</v>
      </c>
      <c r="K3" s="156">
        <f>P3-1</f>
        <v>1999</v>
      </c>
      <c r="L3" s="160">
        <v>36282</v>
      </c>
      <c r="M3" s="160">
        <v>36373</v>
      </c>
      <c r="N3" s="160">
        <v>36464</v>
      </c>
      <c r="O3" s="160">
        <v>36555</v>
      </c>
      <c r="P3" s="156">
        <f>U3-1</f>
        <v>2000</v>
      </c>
      <c r="Q3" s="160">
        <v>36646</v>
      </c>
      <c r="R3" s="160">
        <v>36737</v>
      </c>
      <c r="S3" s="160">
        <v>36828</v>
      </c>
      <c r="T3" s="160">
        <v>36919</v>
      </c>
      <c r="U3" s="156">
        <f>Z3-1</f>
        <v>2001</v>
      </c>
      <c r="V3" s="160">
        <v>37010</v>
      </c>
      <c r="W3" s="160">
        <v>37101</v>
      </c>
      <c r="X3" s="160">
        <v>37192</v>
      </c>
      <c r="Y3" s="160">
        <v>37283</v>
      </c>
      <c r="Z3" s="156">
        <f>AE3-1</f>
        <v>2002</v>
      </c>
      <c r="AA3" s="160">
        <v>37374</v>
      </c>
      <c r="AB3" s="160">
        <v>37465</v>
      </c>
      <c r="AC3" s="160">
        <v>37556</v>
      </c>
      <c r="AD3" s="160">
        <v>37647</v>
      </c>
      <c r="AE3" s="156">
        <f>AJ3-1</f>
        <v>2003</v>
      </c>
      <c r="AF3" s="160">
        <v>37741</v>
      </c>
      <c r="AG3" s="160">
        <v>37833</v>
      </c>
      <c r="AH3" s="160">
        <v>37925</v>
      </c>
      <c r="AI3" s="160">
        <v>38017</v>
      </c>
      <c r="AJ3" s="156">
        <f>AO3-1</f>
        <v>2004</v>
      </c>
      <c r="AK3" s="160">
        <v>38102</v>
      </c>
      <c r="AL3" s="160">
        <v>38199</v>
      </c>
      <c r="AM3" s="160">
        <v>38291</v>
      </c>
      <c r="AN3" s="160">
        <v>38383</v>
      </c>
      <c r="AO3" s="156">
        <f>AT3-1</f>
        <v>2005</v>
      </c>
      <c r="AP3" s="160">
        <v>38443</v>
      </c>
      <c r="AQ3" s="160">
        <v>38564</v>
      </c>
      <c r="AR3" s="160">
        <v>38656</v>
      </c>
      <c r="AS3" s="160">
        <v>38748</v>
      </c>
      <c r="AT3" s="156">
        <f>AY3-1</f>
        <v>2006</v>
      </c>
      <c r="AU3" s="160">
        <v>38837</v>
      </c>
      <c r="AV3" s="160">
        <v>38928</v>
      </c>
      <c r="AW3" s="160">
        <v>39019</v>
      </c>
      <c r="AX3" s="161">
        <v>39113</v>
      </c>
      <c r="AY3" s="156">
        <f>BD3-1</f>
        <v>2007</v>
      </c>
      <c r="AZ3" s="160">
        <v>39201</v>
      </c>
      <c r="BA3" s="160">
        <v>39294</v>
      </c>
      <c r="BB3" s="160">
        <v>39386</v>
      </c>
      <c r="BC3" s="160">
        <v>39478</v>
      </c>
      <c r="BD3" s="156">
        <f>BI3-1</f>
        <v>2008</v>
      </c>
      <c r="BE3" s="160" t="s">
        <v>198</v>
      </c>
      <c r="BF3" s="160">
        <v>39660</v>
      </c>
      <c r="BG3" s="160">
        <v>39752</v>
      </c>
      <c r="BH3" s="160">
        <v>39844</v>
      </c>
      <c r="BI3" s="156">
        <f>BN3-1</f>
        <v>2009</v>
      </c>
      <c r="BJ3" s="160" t="s">
        <v>199</v>
      </c>
      <c r="BK3" s="160">
        <v>40025</v>
      </c>
      <c r="BL3" s="160">
        <v>40117</v>
      </c>
      <c r="BM3" s="160">
        <v>40209</v>
      </c>
      <c r="BN3" s="156">
        <f>BS3-1</f>
        <v>2010</v>
      </c>
      <c r="BO3" s="160" t="s">
        <v>200</v>
      </c>
      <c r="BP3" s="160">
        <v>40390</v>
      </c>
      <c r="BQ3" s="160">
        <v>40482</v>
      </c>
      <c r="BR3" s="160">
        <v>40574</v>
      </c>
      <c r="BS3" s="156">
        <f>BX3-1</f>
        <v>2011</v>
      </c>
      <c r="BT3" s="160" t="s">
        <v>201</v>
      </c>
      <c r="BU3" s="160">
        <v>40755</v>
      </c>
      <c r="BV3" s="160">
        <v>40847</v>
      </c>
      <c r="BW3" s="160">
        <v>40939</v>
      </c>
      <c r="BX3" s="156">
        <f>CC3-1</f>
        <v>2012</v>
      </c>
      <c r="BY3" s="160" t="s">
        <v>202</v>
      </c>
      <c r="BZ3" s="160">
        <v>41121</v>
      </c>
      <c r="CA3" s="160">
        <v>41213</v>
      </c>
      <c r="CB3" s="160">
        <v>41305</v>
      </c>
      <c r="CC3" s="156">
        <f>CH3-1</f>
        <v>2013</v>
      </c>
      <c r="CD3" s="160" t="s">
        <v>203</v>
      </c>
      <c r="CE3" s="160">
        <v>41486</v>
      </c>
      <c r="CF3" s="160">
        <v>41578</v>
      </c>
      <c r="CG3" s="160">
        <v>41670</v>
      </c>
      <c r="CH3" s="156">
        <f>CM3-1</f>
        <v>2014</v>
      </c>
      <c r="CI3" s="160" t="s">
        <v>369</v>
      </c>
      <c r="CJ3" s="160">
        <v>41851</v>
      </c>
      <c r="CK3" s="160">
        <v>41943</v>
      </c>
      <c r="CL3" s="160">
        <v>42035</v>
      </c>
      <c r="CM3" s="156">
        <f>CR3-1</f>
        <v>2015</v>
      </c>
      <c r="CN3" s="160" t="s">
        <v>370</v>
      </c>
      <c r="CO3" s="160">
        <v>42216</v>
      </c>
      <c r="CP3" s="160">
        <v>42308</v>
      </c>
      <c r="CQ3" s="160">
        <v>42400</v>
      </c>
      <c r="CR3" s="156">
        <f>CW3-1</f>
        <v>2016</v>
      </c>
      <c r="CS3" s="160" t="s">
        <v>371</v>
      </c>
      <c r="CT3" s="160">
        <v>42582</v>
      </c>
      <c r="CU3" s="160">
        <v>42674</v>
      </c>
      <c r="CV3" s="160">
        <v>42766</v>
      </c>
      <c r="CW3" s="156">
        <f>DB3-1</f>
        <v>2017</v>
      </c>
      <c r="CX3" s="160" t="s">
        <v>207</v>
      </c>
      <c r="CY3" s="160">
        <v>42947</v>
      </c>
      <c r="CZ3" s="160">
        <v>43039</v>
      </c>
      <c r="DA3" s="160">
        <v>43131</v>
      </c>
      <c r="DB3" s="156">
        <v>2018</v>
      </c>
      <c r="DC3" s="160" t="s">
        <v>372</v>
      </c>
      <c r="DD3" s="160">
        <v>43312</v>
      </c>
      <c r="DE3" s="160">
        <v>43404</v>
      </c>
      <c r="DF3" s="160">
        <v>43496</v>
      </c>
      <c r="DG3" s="156">
        <v>2019</v>
      </c>
      <c r="DH3" s="160" t="s">
        <v>373</v>
      </c>
      <c r="DI3" s="160">
        <v>43677</v>
      </c>
      <c r="DJ3" s="160">
        <v>43769</v>
      </c>
      <c r="DK3" s="160">
        <v>43861</v>
      </c>
      <c r="DL3" s="156">
        <v>2020</v>
      </c>
      <c r="DM3" s="160" t="s">
        <v>374</v>
      </c>
      <c r="DN3" s="160">
        <v>44043</v>
      </c>
      <c r="DO3" s="160">
        <v>44135</v>
      </c>
      <c r="DP3" s="160">
        <v>44227</v>
      </c>
      <c r="DQ3" s="156">
        <v>2021</v>
      </c>
      <c r="DR3" s="160" t="s">
        <v>375</v>
      </c>
      <c r="DS3" s="160">
        <v>44408</v>
      </c>
      <c r="DT3" s="160">
        <v>44500</v>
      </c>
      <c r="DU3" s="160">
        <v>44592</v>
      </c>
      <c r="DV3" s="156">
        <v>2022</v>
      </c>
      <c r="DW3" s="160" t="s">
        <v>376</v>
      </c>
      <c r="DX3" s="160">
        <v>44773</v>
      </c>
      <c r="DY3" s="160">
        <v>44865</v>
      </c>
      <c r="DZ3" s="160">
        <v>44957</v>
      </c>
      <c r="EA3" s="156">
        <v>2023</v>
      </c>
      <c r="EB3" s="160" t="s">
        <v>213</v>
      </c>
      <c r="EC3" s="160">
        <v>45138</v>
      </c>
      <c r="ED3" s="160">
        <v>45230</v>
      </c>
      <c r="EE3" s="160">
        <v>45322</v>
      </c>
      <c r="EF3" s="156">
        <v>2024</v>
      </c>
      <c r="EG3" s="160" t="s">
        <v>214</v>
      </c>
      <c r="EH3" s="160">
        <v>45504</v>
      </c>
      <c r="EI3" s="160">
        <v>45596</v>
      </c>
      <c r="EJ3" s="160">
        <v>45688</v>
      </c>
      <c r="EK3" s="156">
        <v>2025</v>
      </c>
      <c r="EL3" s="160" t="s">
        <v>215</v>
      </c>
      <c r="EM3" s="160">
        <v>45869</v>
      </c>
      <c r="EN3" s="160">
        <v>45961</v>
      </c>
      <c r="EO3" s="160">
        <v>46053</v>
      </c>
      <c r="EP3" s="156">
        <v>2026</v>
      </c>
      <c r="EQ3" s="160" t="s">
        <v>216</v>
      </c>
      <c r="ER3" s="160">
        <v>46234</v>
      </c>
      <c r="ES3" s="160">
        <v>46326</v>
      </c>
      <c r="ET3" s="160">
        <v>46418</v>
      </c>
      <c r="EU3" s="156">
        <v>2027</v>
      </c>
      <c r="EV3" s="160" t="s">
        <v>377</v>
      </c>
      <c r="EW3" s="160">
        <v>46599</v>
      </c>
      <c r="EX3" s="160">
        <v>46691</v>
      </c>
      <c r="EY3" s="160">
        <v>46783</v>
      </c>
      <c r="EZ3" s="156">
        <v>2028</v>
      </c>
      <c r="FA3" s="160" t="s">
        <v>378</v>
      </c>
      <c r="FB3" s="160">
        <v>46965</v>
      </c>
      <c r="FC3" s="160">
        <v>47057</v>
      </c>
      <c r="FD3" s="160">
        <v>47149</v>
      </c>
      <c r="FE3" s="156">
        <v>2029</v>
      </c>
      <c r="FF3" s="160" t="s">
        <v>379</v>
      </c>
      <c r="FG3" s="160">
        <v>47330</v>
      </c>
      <c r="FH3" s="160">
        <v>47422</v>
      </c>
      <c r="FI3" s="160">
        <v>47514</v>
      </c>
      <c r="FJ3" s="156">
        <v>2030</v>
      </c>
      <c r="FK3" s="160" t="s">
        <v>380</v>
      </c>
      <c r="FL3" s="160">
        <v>47695</v>
      </c>
      <c r="FM3" s="160">
        <v>47787</v>
      </c>
      <c r="FN3" s="160">
        <v>47879</v>
      </c>
      <c r="FO3" s="156">
        <v>2031</v>
      </c>
      <c r="FP3" s="158"/>
      <c r="FQ3" s="159"/>
    </row>
    <row r="4" spans="1:173">
      <c r="A4" s="162" t="s">
        <v>381</v>
      </c>
      <c r="B4" s="156" t="s">
        <v>382</v>
      </c>
      <c r="C4" s="156" t="s">
        <v>383</v>
      </c>
      <c r="D4" s="156" t="s">
        <v>384</v>
      </c>
      <c r="E4" s="156" t="s">
        <v>385</v>
      </c>
      <c r="F4" s="156"/>
      <c r="G4" s="156" t="s">
        <v>382</v>
      </c>
      <c r="H4" s="156" t="s">
        <v>383</v>
      </c>
      <c r="I4" s="156" t="s">
        <v>384</v>
      </c>
      <c r="J4" s="156" t="s">
        <v>385</v>
      </c>
      <c r="K4" s="156"/>
      <c r="L4" s="156" t="s">
        <v>382</v>
      </c>
      <c r="M4" s="156" t="s">
        <v>383</v>
      </c>
      <c r="N4" s="156" t="s">
        <v>384</v>
      </c>
      <c r="O4" s="156" t="s">
        <v>385</v>
      </c>
      <c r="P4" s="156"/>
      <c r="Q4" s="156" t="s">
        <v>382</v>
      </c>
      <c r="R4" s="156" t="s">
        <v>383</v>
      </c>
      <c r="S4" s="156" t="s">
        <v>384</v>
      </c>
      <c r="T4" s="156" t="s">
        <v>385</v>
      </c>
      <c r="U4" s="156"/>
      <c r="V4" s="156" t="s">
        <v>382</v>
      </c>
      <c r="W4" s="156" t="s">
        <v>383</v>
      </c>
      <c r="X4" s="156" t="s">
        <v>384</v>
      </c>
      <c r="Y4" s="156" t="s">
        <v>385</v>
      </c>
      <c r="Z4" s="156"/>
      <c r="AA4" s="156" t="s">
        <v>382</v>
      </c>
      <c r="AB4" s="156" t="s">
        <v>383</v>
      </c>
      <c r="AC4" s="156" t="s">
        <v>384</v>
      </c>
      <c r="AD4" s="156" t="s">
        <v>385</v>
      </c>
      <c r="AE4" s="156"/>
      <c r="AF4" s="156"/>
      <c r="AG4" s="156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  <c r="BA4" s="163"/>
      <c r="BB4" s="163"/>
      <c r="BC4" s="163"/>
      <c r="BD4" s="163"/>
      <c r="BE4" s="163"/>
      <c r="BF4" s="163"/>
      <c r="BG4" s="163"/>
      <c r="BH4" s="163"/>
      <c r="BI4" s="163"/>
      <c r="BJ4" s="163"/>
      <c r="BK4" s="163"/>
      <c r="BL4" s="163"/>
      <c r="BM4" s="163"/>
      <c r="BN4" s="163"/>
      <c r="BO4" s="163"/>
      <c r="BP4" s="163"/>
      <c r="BQ4" s="163"/>
      <c r="BR4" s="163"/>
      <c r="BS4" s="163"/>
      <c r="BT4" s="163"/>
      <c r="BU4" s="163"/>
      <c r="BV4" s="163"/>
      <c r="BW4" s="163"/>
      <c r="BX4" s="163"/>
      <c r="BY4" s="163"/>
      <c r="BZ4" s="163"/>
      <c r="CA4" s="163"/>
      <c r="CB4" s="163"/>
      <c r="CC4" s="163"/>
      <c r="CD4" s="163"/>
      <c r="CE4" s="163"/>
      <c r="CF4" s="163"/>
      <c r="CG4" s="163"/>
      <c r="CH4" s="163"/>
      <c r="CI4" s="163"/>
      <c r="CJ4" s="163"/>
      <c r="CK4" s="163"/>
      <c r="CL4" s="163"/>
      <c r="CM4" s="163"/>
      <c r="CN4" s="163"/>
      <c r="CO4" s="163"/>
      <c r="CP4" s="163"/>
      <c r="CQ4" s="163"/>
      <c r="CR4" s="163"/>
      <c r="CS4" s="163"/>
      <c r="CT4" s="163"/>
      <c r="CU4" s="163"/>
      <c r="CV4" s="163"/>
      <c r="CW4" s="163"/>
      <c r="CX4" s="163"/>
      <c r="CY4" s="163"/>
      <c r="CZ4" s="163"/>
      <c r="DA4" s="163"/>
      <c r="DB4" s="156"/>
      <c r="DC4" s="163"/>
      <c r="DD4" s="163"/>
      <c r="DE4" s="163"/>
      <c r="DF4" s="163"/>
      <c r="DG4" s="163"/>
      <c r="DH4" s="163"/>
      <c r="DI4" s="163"/>
      <c r="DJ4" s="163"/>
      <c r="DK4" s="163"/>
      <c r="DL4" s="163"/>
      <c r="DM4" s="163"/>
      <c r="DN4" s="163"/>
      <c r="DO4" s="163"/>
      <c r="DP4" s="163"/>
      <c r="DQ4" s="163"/>
      <c r="DR4" s="163"/>
      <c r="DS4" s="163"/>
      <c r="DT4" s="163"/>
      <c r="DU4" s="163"/>
      <c r="DV4" s="163"/>
      <c r="DW4" s="163"/>
      <c r="DX4" s="163"/>
      <c r="DY4" s="163"/>
      <c r="DZ4" s="163"/>
      <c r="EA4" s="163"/>
      <c r="EB4" s="163"/>
      <c r="EC4" s="163"/>
      <c r="ED4" s="163"/>
      <c r="EE4" s="163"/>
      <c r="EF4" s="163"/>
      <c r="EG4" s="163"/>
      <c r="EH4" s="163"/>
      <c r="EI4" s="163"/>
      <c r="EJ4" s="163"/>
      <c r="EK4" s="163"/>
      <c r="EL4" s="163"/>
      <c r="EM4" s="163"/>
      <c r="EN4" s="163"/>
      <c r="EO4" s="163"/>
      <c r="EP4" s="163"/>
      <c r="EQ4" s="163"/>
      <c r="ER4" s="163"/>
      <c r="ES4" s="163"/>
      <c r="ET4" s="163"/>
      <c r="EU4" s="163"/>
      <c r="EV4" s="163"/>
      <c r="EW4" s="163"/>
      <c r="EX4" s="163"/>
      <c r="EY4" s="163"/>
      <c r="EZ4" s="163"/>
      <c r="FA4" s="163"/>
      <c r="FB4" s="163"/>
      <c r="FC4" s="163"/>
      <c r="FD4" s="163"/>
      <c r="FE4" s="163"/>
      <c r="FF4" s="163"/>
      <c r="FG4" s="163"/>
      <c r="FH4" s="163"/>
      <c r="FI4" s="163"/>
      <c r="FJ4" s="163"/>
      <c r="FK4" s="163"/>
      <c r="FL4" s="163"/>
      <c r="FM4" s="163"/>
      <c r="FN4" s="163"/>
      <c r="FO4" s="163"/>
      <c r="FP4" s="164"/>
      <c r="FQ4" s="159"/>
    </row>
    <row r="5" spans="1:173">
      <c r="A5" s="162" t="s">
        <v>386</v>
      </c>
      <c r="B5" s="155"/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65"/>
      <c r="AI5" s="165"/>
      <c r="AJ5" s="165"/>
      <c r="AK5" s="165"/>
      <c r="AL5" s="165"/>
      <c r="AM5" s="165"/>
      <c r="AN5" s="165"/>
      <c r="AO5" s="165"/>
      <c r="AP5" s="165"/>
      <c r="AQ5" s="165"/>
      <c r="AR5" s="165"/>
      <c r="AS5" s="165"/>
      <c r="AT5" s="165"/>
      <c r="AU5" s="165"/>
      <c r="AV5" s="165"/>
      <c r="AW5" s="165"/>
      <c r="AX5" s="165"/>
      <c r="AY5" s="165"/>
      <c r="AZ5" s="165"/>
      <c r="BA5" s="165"/>
      <c r="BB5" s="165"/>
      <c r="BC5" s="165"/>
      <c r="BD5" s="165"/>
      <c r="BE5" s="165"/>
      <c r="BF5" s="165"/>
      <c r="BG5" s="165"/>
      <c r="BH5" s="165"/>
      <c r="BI5" s="165"/>
      <c r="BJ5" s="165"/>
      <c r="BK5" s="165"/>
      <c r="BL5" s="165"/>
      <c r="BM5" s="165"/>
      <c r="BN5" s="165"/>
      <c r="BO5" s="165"/>
      <c r="BP5" s="165"/>
      <c r="BQ5" s="165"/>
      <c r="BR5" s="165"/>
      <c r="BS5" s="165"/>
      <c r="BT5" s="165"/>
      <c r="BU5" s="165"/>
      <c r="BV5" s="165"/>
      <c r="BW5" s="165"/>
      <c r="BX5" s="165"/>
      <c r="BY5" s="165"/>
      <c r="BZ5" s="165"/>
      <c r="CA5" s="165"/>
      <c r="CB5" s="165"/>
      <c r="CC5" s="165"/>
      <c r="CD5" s="165"/>
      <c r="CE5" s="165"/>
      <c r="CF5" s="165"/>
      <c r="CG5" s="165"/>
      <c r="CH5" s="165"/>
      <c r="CI5" s="165"/>
      <c r="CJ5" s="165"/>
      <c r="CK5" s="165"/>
      <c r="CL5" s="165"/>
      <c r="CM5" s="165"/>
      <c r="CN5" s="165"/>
      <c r="CO5" s="165"/>
      <c r="CP5" s="165"/>
      <c r="CQ5" s="165"/>
      <c r="CR5" s="165"/>
      <c r="CS5" s="165"/>
      <c r="CT5" s="165"/>
      <c r="CU5" s="165"/>
      <c r="CV5" s="165"/>
      <c r="CW5" s="165"/>
      <c r="CX5" s="165"/>
      <c r="CY5" s="165"/>
      <c r="CZ5" s="165"/>
      <c r="DA5" s="165"/>
      <c r="DB5" s="155"/>
      <c r="DC5" s="165"/>
      <c r="DD5" s="165"/>
      <c r="DE5" s="165"/>
      <c r="DF5" s="165"/>
      <c r="DG5" s="165"/>
      <c r="DH5" s="165"/>
      <c r="DI5" s="165"/>
      <c r="DJ5" s="165"/>
      <c r="DK5" s="165"/>
      <c r="DL5" s="165"/>
      <c r="DM5" s="165"/>
      <c r="DN5" s="165"/>
      <c r="DO5" s="165"/>
      <c r="DP5" s="165"/>
      <c r="DQ5" s="165"/>
      <c r="DR5" s="165"/>
      <c r="DS5" s="165"/>
      <c r="DT5" s="165"/>
      <c r="DU5" s="165"/>
      <c r="DV5" s="165"/>
      <c r="DW5" s="165"/>
      <c r="DX5" s="165"/>
      <c r="DY5" s="165"/>
      <c r="DZ5" s="165"/>
      <c r="EA5" s="165"/>
      <c r="EB5" s="165"/>
      <c r="EC5" s="165"/>
      <c r="ED5" s="165"/>
      <c r="EE5" s="165"/>
      <c r="EF5" s="165"/>
      <c r="EG5" s="165"/>
      <c r="EH5" s="165"/>
      <c r="EI5" s="165"/>
      <c r="EJ5" s="165"/>
      <c r="EK5" s="165"/>
      <c r="EL5" s="165"/>
      <c r="EM5" s="165"/>
      <c r="EN5" s="165"/>
      <c r="EO5" s="165"/>
      <c r="EP5" s="165"/>
      <c r="EQ5" s="165"/>
      <c r="ER5" s="165"/>
      <c r="ES5" s="165"/>
      <c r="ET5" s="165"/>
      <c r="EU5" s="165"/>
      <c r="EV5" s="165"/>
      <c r="EW5" s="165"/>
      <c r="EX5" s="165"/>
      <c r="EY5" s="165"/>
      <c r="EZ5" s="165"/>
      <c r="FA5" s="165"/>
      <c r="FB5" s="165"/>
      <c r="FC5" s="165"/>
      <c r="FD5" s="165"/>
      <c r="FE5" s="165"/>
      <c r="FF5" s="165"/>
      <c r="FG5" s="165"/>
      <c r="FH5" s="165"/>
      <c r="FI5" s="165"/>
      <c r="FJ5" s="165"/>
      <c r="FK5" s="165"/>
      <c r="FL5" s="165"/>
      <c r="FM5" s="165"/>
      <c r="FN5" s="165"/>
      <c r="FO5" s="165"/>
      <c r="FP5" s="166"/>
      <c r="FQ5" s="159"/>
    </row>
    <row r="6" spans="1:173" s="678" customFormat="1" ht="11.25" customHeight="1">
      <c r="A6" s="662"/>
      <c r="B6" s="663"/>
      <c r="C6" s="663"/>
      <c r="D6" s="663"/>
      <c r="E6" s="663"/>
      <c r="F6" s="664"/>
      <c r="G6" s="663"/>
      <c r="H6" s="663"/>
      <c r="I6" s="663"/>
      <c r="J6" s="663"/>
      <c r="K6" s="664"/>
      <c r="L6" s="665"/>
      <c r="M6" s="666"/>
      <c r="N6" s="666"/>
      <c r="O6" s="666"/>
      <c r="P6" s="664"/>
      <c r="Q6" s="666"/>
      <c r="R6" s="666"/>
      <c r="S6" s="666"/>
      <c r="T6" s="666"/>
      <c r="U6" s="664"/>
      <c r="V6" s="666"/>
      <c r="W6" s="666"/>
      <c r="X6" s="666"/>
      <c r="Y6" s="666"/>
      <c r="Z6" s="664"/>
      <c r="AA6" s="667"/>
      <c r="AB6" s="665"/>
      <c r="AC6" s="668"/>
      <c r="AD6" s="668"/>
      <c r="AE6" s="664"/>
      <c r="AF6" s="667"/>
      <c r="AG6" s="667"/>
      <c r="AH6" s="667"/>
      <c r="AI6" s="667"/>
      <c r="AJ6" s="664"/>
      <c r="AK6" s="668"/>
      <c r="AL6" s="669"/>
      <c r="AM6" s="670"/>
      <c r="AN6" s="671"/>
      <c r="AO6" s="664"/>
      <c r="AP6" s="670"/>
      <c r="AQ6" s="672"/>
      <c r="AR6" s="673"/>
      <c r="AS6" s="674"/>
      <c r="AT6" s="664"/>
      <c r="AU6" s="675"/>
      <c r="AV6" s="674"/>
      <c r="AW6" s="675"/>
      <c r="AX6" s="676"/>
      <c r="AY6" s="664"/>
      <c r="AZ6" s="676"/>
      <c r="BA6" s="677"/>
      <c r="BB6" s="677"/>
      <c r="BC6" s="677"/>
      <c r="BD6" s="664"/>
      <c r="BF6" s="677"/>
      <c r="BG6" s="677"/>
      <c r="BI6" s="664"/>
      <c r="BJ6" s="677"/>
      <c r="BK6" s="679"/>
      <c r="BL6" s="679"/>
      <c r="BM6" s="679"/>
      <c r="BN6" s="664"/>
      <c r="BO6" s="679"/>
      <c r="BP6" s="674"/>
      <c r="BQ6" s="674"/>
      <c r="BR6" s="674"/>
      <c r="BS6" s="664"/>
      <c r="BT6" s="674"/>
      <c r="BU6" s="674"/>
      <c r="BV6" s="674"/>
      <c r="BW6" s="680"/>
      <c r="BX6" s="664"/>
      <c r="BY6" s="680"/>
      <c r="BZ6" s="680"/>
      <c r="CA6" s="680"/>
      <c r="CB6" s="167"/>
      <c r="CC6" s="664"/>
      <c r="CD6" s="167"/>
      <c r="CE6" s="167"/>
      <c r="CF6" s="167"/>
      <c r="CG6" s="167"/>
      <c r="CH6" s="664"/>
      <c r="CI6" s="167"/>
      <c r="CJ6" s="167"/>
      <c r="CK6" s="167"/>
      <c r="CL6" s="167"/>
      <c r="CM6" s="664"/>
      <c r="CN6" s="167"/>
      <c r="CO6" s="167"/>
      <c r="CP6" s="167"/>
      <c r="CQ6" s="167"/>
      <c r="CR6" s="664"/>
      <c r="CS6" s="167"/>
      <c r="CT6" s="167"/>
      <c r="CU6" s="167"/>
      <c r="CV6" s="168"/>
      <c r="CW6" s="664"/>
      <c r="CX6" s="167"/>
      <c r="CY6" s="167"/>
      <c r="CZ6" s="167"/>
      <c r="DA6" s="167"/>
      <c r="DB6" s="664"/>
      <c r="FQ6" s="37"/>
    </row>
    <row r="7" spans="1:173" s="169" customFormat="1">
      <c r="A7" s="147" t="s">
        <v>222</v>
      </c>
      <c r="B7" s="681">
        <v>6.5000000000000002E-2</v>
      </c>
      <c r="C7" s="681">
        <v>6.0000000000000001E-3</v>
      </c>
      <c r="D7" s="681">
        <v>5.4660000000000002</v>
      </c>
      <c r="E7" s="681">
        <v>23.534000000000002</v>
      </c>
      <c r="F7" s="682">
        <f>SUM(B7:E7)</f>
        <v>29.071000000000002</v>
      </c>
      <c r="G7" s="681">
        <v>28.263000000000002</v>
      </c>
      <c r="H7" s="681">
        <v>12.134</v>
      </c>
      <c r="I7" s="681">
        <v>52.302999999999997</v>
      </c>
      <c r="J7" s="681">
        <v>65.536999999999992</v>
      </c>
      <c r="K7" s="682">
        <f>SUM(G7:J7)</f>
        <v>158.23699999999999</v>
      </c>
      <c r="L7" s="681">
        <v>71.018000000000001</v>
      </c>
      <c r="M7" s="681">
        <v>78.016999999999996</v>
      </c>
      <c r="N7" s="681">
        <v>97.015000000000001</v>
      </c>
      <c r="O7" s="681">
        <v>128.45500000000001</v>
      </c>
      <c r="P7" s="682">
        <f>SUM(L7:O7)</f>
        <v>374.505</v>
      </c>
      <c r="Q7" s="681">
        <v>148.483</v>
      </c>
      <c r="R7" s="681">
        <v>169.31800000000001</v>
      </c>
      <c r="S7" s="681">
        <v>197.667</v>
      </c>
      <c r="T7" s="681">
        <v>219.79599999999999</v>
      </c>
      <c r="U7" s="682">
        <f>SUM(Q7:T7)</f>
        <v>735.26400000000012</v>
      </c>
      <c r="V7" s="681">
        <v>240.93199999999999</v>
      </c>
      <c r="W7" s="681">
        <v>259.875</v>
      </c>
      <c r="X7" s="681">
        <v>364.976</v>
      </c>
      <c r="Y7" s="681">
        <v>503.68799999999999</v>
      </c>
      <c r="Z7" s="682">
        <f>SUM(V7:Y7)</f>
        <v>1369.471</v>
      </c>
      <c r="AA7" s="681">
        <v>582.90499999999997</v>
      </c>
      <c r="AB7" s="681">
        <v>427.28500000000003</v>
      </c>
      <c r="AC7" s="681">
        <v>430.30399999999997</v>
      </c>
      <c r="AD7" s="681">
        <f>468.953-40.365</f>
        <v>428.58799999999997</v>
      </c>
      <c r="AE7" s="682">
        <f>SUM(AA7:AD7)</f>
        <v>1869.0820000000001</v>
      </c>
      <c r="AF7" s="681">
        <v>404.983</v>
      </c>
      <c r="AG7" s="681">
        <v>459.774</v>
      </c>
      <c r="AH7" s="681">
        <v>486.06900000000002</v>
      </c>
      <c r="AI7" s="681">
        <v>472.11900000000003</v>
      </c>
      <c r="AJ7" s="682">
        <f>SUM(AF7:AI7)</f>
        <v>1822.9450000000002</v>
      </c>
      <c r="AK7" s="681">
        <v>471.90499999999997</v>
      </c>
      <c r="AL7" s="681">
        <v>456.06099999999998</v>
      </c>
      <c r="AM7" s="681">
        <v>515.59100000000001</v>
      </c>
      <c r="AN7" s="681">
        <v>566.476</v>
      </c>
      <c r="AO7" s="682">
        <f>SUM(AK7:AN7)</f>
        <v>2010.0329999999999</v>
      </c>
      <c r="AP7" s="681">
        <v>583.846</v>
      </c>
      <c r="AQ7" s="681">
        <v>574.81200000000001</v>
      </c>
      <c r="AR7" s="681">
        <v>583.41499999999996</v>
      </c>
      <c r="AS7" s="681">
        <v>633.61400000000003</v>
      </c>
      <c r="AT7" s="682">
        <f>SUM(AP7:AS7)</f>
        <v>2375.6869999999999</v>
      </c>
      <c r="AU7" s="681">
        <v>681.80700000000002</v>
      </c>
      <c r="AV7" s="681">
        <v>687.51900000000001</v>
      </c>
      <c r="AW7" s="681">
        <v>820.572</v>
      </c>
      <c r="AX7" s="681">
        <v>878.87300000000005</v>
      </c>
      <c r="AY7" s="682">
        <f>SUM(AU7:AX7)</f>
        <v>3068.7710000000002</v>
      </c>
      <c r="AZ7" s="681">
        <v>844.28</v>
      </c>
      <c r="BA7" s="681">
        <v>935.25300000000004</v>
      </c>
      <c r="BB7" s="681">
        <v>1115.597</v>
      </c>
      <c r="BC7" s="681">
        <v>1202.73</v>
      </c>
      <c r="BD7" s="682">
        <f>SUM(AZ7:BC7)</f>
        <v>4097.8600000000006</v>
      </c>
      <c r="BE7" s="681">
        <v>1153.3879999999999</v>
      </c>
      <c r="BF7" s="681">
        <v>892.67600000000004</v>
      </c>
      <c r="BG7" s="681">
        <v>897.65499999999997</v>
      </c>
      <c r="BH7" s="681">
        <v>481.14</v>
      </c>
      <c r="BI7" s="682">
        <f>SUM(BE7:BH7)</f>
        <v>3424.8589999999999</v>
      </c>
      <c r="BJ7" s="681">
        <v>664.23099999999999</v>
      </c>
      <c r="BK7" s="681">
        <v>776.52</v>
      </c>
      <c r="BL7" s="681">
        <v>903.20600000000002</v>
      </c>
      <c r="BM7" s="681">
        <v>982.48800000000006</v>
      </c>
      <c r="BN7" s="682">
        <f>SUM(BJ7:BM7)</f>
        <v>3326.4449999999997</v>
      </c>
      <c r="BO7" s="681">
        <v>1001.813</v>
      </c>
      <c r="BP7" s="681">
        <v>811.20799999999997</v>
      </c>
      <c r="BQ7" s="681">
        <v>843.91200000000003</v>
      </c>
      <c r="BR7" s="681">
        <v>886.37599999999998</v>
      </c>
      <c r="BS7" s="682">
        <f>SUM(BO7:BR7)</f>
        <v>3543.3090000000002</v>
      </c>
      <c r="BT7" s="681">
        <v>962.03899999999999</v>
      </c>
      <c r="BU7" s="681">
        <v>1016.5170000000001</v>
      </c>
      <c r="BV7" s="681">
        <v>1066.18</v>
      </c>
      <c r="BW7" s="681">
        <v>953.19399999999996</v>
      </c>
      <c r="BX7" s="682">
        <f>SUM(BT7:BW7)</f>
        <v>3997.93</v>
      </c>
      <c r="BY7" s="681">
        <v>924.87699999999995</v>
      </c>
      <c r="BZ7" s="681">
        <v>1044.27</v>
      </c>
      <c r="CA7" s="681">
        <v>1204.1099999999999</v>
      </c>
      <c r="CB7" s="681">
        <v>1106.902</v>
      </c>
      <c r="CC7" s="682">
        <f>SUM(BY7:CB7)</f>
        <v>4280.1589999999997</v>
      </c>
      <c r="CD7" s="681">
        <v>954.73900000000003</v>
      </c>
      <c r="CE7" s="681">
        <v>977.23800000000006</v>
      </c>
      <c r="CF7" s="681">
        <v>1053.9670000000001</v>
      </c>
      <c r="CG7" s="681">
        <v>1144.2180000000001</v>
      </c>
      <c r="CH7" s="682">
        <f>SUM(CD7:CG7)</f>
        <v>4130.1620000000003</v>
      </c>
      <c r="CI7" s="681">
        <v>1102.787</v>
      </c>
      <c r="CJ7" s="681">
        <v>1102.8240000000001</v>
      </c>
      <c r="CK7" s="681">
        <v>1225.3820000000001</v>
      </c>
      <c r="CL7" s="681">
        <v>1250.5139999999999</v>
      </c>
      <c r="CM7" s="682">
        <f>SUM(CI7:CL7)</f>
        <v>4681.5069999999996</v>
      </c>
      <c r="CN7" s="681">
        <f>1151</f>
        <v>1151</v>
      </c>
      <c r="CO7" s="681">
        <f>1153</f>
        <v>1153</v>
      </c>
      <c r="CP7" s="681">
        <f>1305</f>
        <v>1305</v>
      </c>
      <c r="CQ7" s="681">
        <f>1401</f>
        <v>1401</v>
      </c>
      <c r="CR7" s="682">
        <f>SUM(CN7:CQ7)</f>
        <v>5010</v>
      </c>
      <c r="CS7" s="681">
        <v>1305</v>
      </c>
      <c r="CT7" s="681">
        <v>1428</v>
      </c>
      <c r="CU7" s="681">
        <v>2004</v>
      </c>
      <c r="CV7" s="681">
        <v>2173</v>
      </c>
      <c r="CW7" s="682">
        <f>SUM(CS7:CV7)</f>
        <v>6910</v>
      </c>
      <c r="CX7" s="681">
        <v>1937</v>
      </c>
      <c r="CY7" s="681">
        <v>2230</v>
      </c>
      <c r="CZ7" s="681">
        <v>2636</v>
      </c>
      <c r="DA7" s="681">
        <v>2911</v>
      </c>
      <c r="DB7" s="682">
        <f>SUM(CX7:DA7)</f>
        <v>9714</v>
      </c>
      <c r="DC7" s="681">
        <v>3207</v>
      </c>
      <c r="DD7" s="681">
        <v>3123</v>
      </c>
      <c r="DE7" s="681">
        <v>3181</v>
      </c>
      <c r="DF7" s="681">
        <v>2205</v>
      </c>
      <c r="DG7" s="682">
        <f>SUM(DC7:DF7)</f>
        <v>11716</v>
      </c>
      <c r="DH7" s="681">
        <v>2220</v>
      </c>
      <c r="DI7" s="681">
        <v>2579</v>
      </c>
      <c r="DJ7" s="681">
        <v>3014</v>
      </c>
      <c r="DK7" s="681">
        <v>3105</v>
      </c>
      <c r="DL7" s="682">
        <f>SUM(DH7:DK7)</f>
        <v>10918</v>
      </c>
      <c r="DM7" s="681">
        <v>3080</v>
      </c>
      <c r="DN7" s="681">
        <v>3866</v>
      </c>
      <c r="DO7" s="681">
        <v>4726</v>
      </c>
      <c r="DP7" s="681">
        <v>5003</v>
      </c>
      <c r="DQ7" s="682">
        <f>SUM(DM7:DP7)</f>
        <v>16675</v>
      </c>
      <c r="DR7" s="681">
        <v>5661</v>
      </c>
      <c r="DS7" s="681">
        <v>6507</v>
      </c>
      <c r="DT7" s="681">
        <v>7103</v>
      </c>
      <c r="DU7" s="681">
        <v>7643</v>
      </c>
      <c r="DV7" s="682">
        <f>SUM(DR7:DU7)</f>
        <v>26914</v>
      </c>
      <c r="DW7" s="681">
        <v>8288</v>
      </c>
      <c r="DX7" s="681">
        <v>6704</v>
      </c>
      <c r="DY7" s="681">
        <v>5931</v>
      </c>
      <c r="DZ7" s="681">
        <v>6051</v>
      </c>
      <c r="EA7" s="682">
        <f>SUM(DW7:DZ7)</f>
        <v>26974</v>
      </c>
      <c r="EB7" s="681">
        <v>7192</v>
      </c>
      <c r="EC7" s="681">
        <v>13507</v>
      </c>
      <c r="ED7" s="681">
        <v>18120</v>
      </c>
      <c r="EE7" s="681">
        <v>22103</v>
      </c>
      <c r="EF7" s="682">
        <f>SUM(EB7:EE7)</f>
        <v>60922</v>
      </c>
      <c r="EG7" s="681">
        <v>26044</v>
      </c>
      <c r="EH7" s="681">
        <v>30040</v>
      </c>
      <c r="EI7" s="681">
        <v>35082</v>
      </c>
      <c r="EJ7" s="681">
        <v>39331</v>
      </c>
      <c r="EK7" s="682">
        <f>SUM(EG7:EJ7)</f>
        <v>130497</v>
      </c>
      <c r="EL7" s="681">
        <v>44062</v>
      </c>
      <c r="EM7" s="681">
        <v>46743</v>
      </c>
      <c r="EN7" s="681">
        <v>57006</v>
      </c>
      <c r="EO7" s="681">
        <v>68127</v>
      </c>
      <c r="EP7" s="682">
        <f>SUM(EL7:EO7)</f>
        <v>215938</v>
      </c>
      <c r="EQ7" s="681">
        <v>81615</v>
      </c>
      <c r="ER7" s="683">
        <f>Worksheet!CY5</f>
        <v>93049.695490204525</v>
      </c>
      <c r="ES7" s="683">
        <f>Worksheet!CZ5</f>
        <v>110657.39095874946</v>
      </c>
      <c r="ET7" s="683">
        <f>Worksheet!DA5</f>
        <v>125531.96101679027</v>
      </c>
      <c r="EU7" s="682">
        <f>SUM(EQ7:ET7)</f>
        <v>410854.0474657442</v>
      </c>
      <c r="EV7" s="683">
        <f>Worksheet!DB5</f>
        <v>137051.70908200651</v>
      </c>
      <c r="EW7" s="683">
        <f>Worksheet!DC5</f>
        <v>150458.66198219327</v>
      </c>
      <c r="EX7" s="683">
        <f>Worksheet!DD5</f>
        <v>168193.16456000754</v>
      </c>
      <c r="EY7" s="683">
        <f>Worksheet!DE5</f>
        <v>179416.30495241054</v>
      </c>
      <c r="EZ7" s="682">
        <f>SUM(EV7:EY7)</f>
        <v>635119.84057661786</v>
      </c>
      <c r="FA7" s="683">
        <f>Worksheet!DF5</f>
        <v>184068.19608337298</v>
      </c>
      <c r="FB7" s="683">
        <f>Worksheet!DG5</f>
        <v>189743.54436478182</v>
      </c>
      <c r="FC7" s="683">
        <f>Worksheet!DH5</f>
        <v>203037.54684201549</v>
      </c>
      <c r="FD7" s="683">
        <f>Worksheet!DI5</f>
        <v>213173.61696678013</v>
      </c>
      <c r="FE7" s="682">
        <f>SUM(FA7:FD7)</f>
        <v>790022.90425695048</v>
      </c>
      <c r="FF7" s="683">
        <f>Worksheet!DJ5</f>
        <v>214693.75352959812</v>
      </c>
      <c r="FG7" s="683">
        <f>Worksheet!DK5</f>
        <v>217155.38940562791</v>
      </c>
      <c r="FH7" s="683">
        <f>Worksheet!DL5</f>
        <v>224007.64071852161</v>
      </c>
      <c r="FI7" s="683">
        <f>Worksheet!DM5</f>
        <v>228757.07306025701</v>
      </c>
      <c r="FJ7" s="682">
        <f>SUM(FF7:FI7)</f>
        <v>884613.85671400465</v>
      </c>
      <c r="FK7" s="683">
        <f>Worksheet!DN5</f>
        <v>232581.4708820176</v>
      </c>
      <c r="FL7" s="683">
        <f>Worksheet!DO5</f>
        <v>239721.66388916987</v>
      </c>
      <c r="FM7" s="683">
        <f>Worksheet!DP5</f>
        <v>254182.09054237412</v>
      </c>
      <c r="FN7" s="683">
        <f>Worksheet!DQ5</f>
        <v>264442.47541311057</v>
      </c>
      <c r="FO7" s="682">
        <f>SUM(FK7:FN7)</f>
        <v>990927.70072667208</v>
      </c>
      <c r="FP7" s="682"/>
      <c r="FQ7" s="37"/>
    </row>
    <row r="8" spans="1:173">
      <c r="A8" s="170" t="s">
        <v>387</v>
      </c>
      <c r="B8" s="684"/>
      <c r="C8" s="684"/>
      <c r="D8" s="684"/>
      <c r="E8" s="684"/>
      <c r="F8" s="685" t="s">
        <v>224</v>
      </c>
      <c r="G8" s="684">
        <f>G7/E7-1</f>
        <v>0.20094331605336957</v>
      </c>
      <c r="H8" s="684">
        <f t="shared" ref="H8:BM8" si="0">H7/G7-1</f>
        <v>-0.57067544138980297</v>
      </c>
      <c r="I8" s="684">
        <f t="shared" si="0"/>
        <v>3.3104499752760832</v>
      </c>
      <c r="J8" s="684">
        <f t="shared" si="0"/>
        <v>0.25302563906468079</v>
      </c>
      <c r="K8" s="685" t="s">
        <v>224</v>
      </c>
      <c r="L8" s="684">
        <f>L7/J7-1</f>
        <v>8.3632146726276835E-2</v>
      </c>
      <c r="M8" s="684">
        <f t="shared" si="0"/>
        <v>9.8552479653045699E-2</v>
      </c>
      <c r="N8" s="684">
        <f t="shared" si="0"/>
        <v>0.24351102964738458</v>
      </c>
      <c r="O8" s="684">
        <f t="shared" si="0"/>
        <v>0.32407359686646409</v>
      </c>
      <c r="P8" s="685" t="s">
        <v>224</v>
      </c>
      <c r="Q8" s="684">
        <f>Q7/O7-1</f>
        <v>0.15591452259546146</v>
      </c>
      <c r="R8" s="684">
        <f t="shared" si="0"/>
        <v>0.14031909376831031</v>
      </c>
      <c r="S8" s="684">
        <f t="shared" si="0"/>
        <v>0.16743051536162712</v>
      </c>
      <c r="T8" s="684">
        <f>T7/S7-1</f>
        <v>0.11195090733405166</v>
      </c>
      <c r="U8" s="685" t="s">
        <v>224</v>
      </c>
      <c r="V8" s="684">
        <f>V7/T7-1</f>
        <v>9.6161895575897605E-2</v>
      </c>
      <c r="W8" s="684">
        <f t="shared" si="0"/>
        <v>7.8623844072186477E-2</v>
      </c>
      <c r="X8" s="684">
        <f t="shared" si="0"/>
        <v>0.40442905242905236</v>
      </c>
      <c r="Y8" s="684">
        <f t="shared" si="0"/>
        <v>0.38005786681864007</v>
      </c>
      <c r="Z8" s="685" t="s">
        <v>224</v>
      </c>
      <c r="AA8" s="684">
        <f>AA7/Y7-1</f>
        <v>0.15727394736424127</v>
      </c>
      <c r="AB8" s="684">
        <f t="shared" si="0"/>
        <v>-0.26697317744743987</v>
      </c>
      <c r="AC8" s="684">
        <f t="shared" si="0"/>
        <v>7.0655417344394067E-3</v>
      </c>
      <c r="AD8" s="684">
        <f t="shared" si="0"/>
        <v>-3.987878337175621E-3</v>
      </c>
      <c r="AE8" s="685" t="s">
        <v>224</v>
      </c>
      <c r="AF8" s="684">
        <f>AF7/AD7-1</f>
        <v>-5.5076203720122785E-2</v>
      </c>
      <c r="AG8" s="684">
        <f t="shared" si="0"/>
        <v>0.13529209868068537</v>
      </c>
      <c r="AH8" s="684">
        <f t="shared" si="0"/>
        <v>5.7191141734852291E-2</v>
      </c>
      <c r="AI8" s="684">
        <f t="shared" si="0"/>
        <v>-2.8699629065009225E-2</v>
      </c>
      <c r="AJ8" s="685" t="s">
        <v>224</v>
      </c>
      <c r="AK8" s="684">
        <f>AK7/AI7-1</f>
        <v>-4.5327555129126562E-4</v>
      </c>
      <c r="AL8" s="684">
        <f t="shared" si="0"/>
        <v>-3.3574554200527684E-2</v>
      </c>
      <c r="AM8" s="684">
        <f t="shared" si="0"/>
        <v>0.13053078425912323</v>
      </c>
      <c r="AN8" s="684">
        <f t="shared" si="0"/>
        <v>9.8692568334202813E-2</v>
      </c>
      <c r="AO8" s="685" t="s">
        <v>224</v>
      </c>
      <c r="AP8" s="684">
        <f>AP7/AN7-1</f>
        <v>3.0663258461082199E-2</v>
      </c>
      <c r="AQ8" s="684">
        <f t="shared" si="0"/>
        <v>-1.5473258359224862E-2</v>
      </c>
      <c r="AR8" s="684">
        <f t="shared" si="0"/>
        <v>1.4966632568561566E-2</v>
      </c>
      <c r="AS8" s="684">
        <f t="shared" si="0"/>
        <v>8.6043382497879017E-2</v>
      </c>
      <c r="AT8" s="685" t="s">
        <v>224</v>
      </c>
      <c r="AU8" s="684">
        <f>AU7/AS7-1</f>
        <v>7.60605037136175E-2</v>
      </c>
      <c r="AV8" s="684">
        <f t="shared" si="0"/>
        <v>8.3777373948932254E-3</v>
      </c>
      <c r="AW8" s="684">
        <f t="shared" si="0"/>
        <v>0.19352628800076799</v>
      </c>
      <c r="AX8" s="684">
        <f t="shared" si="0"/>
        <v>7.1049219325056256E-2</v>
      </c>
      <c r="AY8" s="685" t="s">
        <v>224</v>
      </c>
      <c r="AZ8" s="684">
        <f>AZ7/AX7-1</f>
        <v>-3.9360635723250215E-2</v>
      </c>
      <c r="BA8" s="684">
        <f t="shared" si="0"/>
        <v>0.10775216752736072</v>
      </c>
      <c r="BB8" s="684">
        <f>BB7/BA7-1</f>
        <v>0.19282910613491744</v>
      </c>
      <c r="BC8" s="684">
        <f>BC7/BB7-1</f>
        <v>7.8104369230107329E-2</v>
      </c>
      <c r="BD8" s="685" t="s">
        <v>224</v>
      </c>
      <c r="BE8" s="684">
        <f>BE7/BC7-1</f>
        <v>-4.1025001455023191E-2</v>
      </c>
      <c r="BF8" s="684">
        <f t="shared" si="0"/>
        <v>-0.2260401530100884</v>
      </c>
      <c r="BG8" s="684">
        <f t="shared" si="0"/>
        <v>5.5776115858383601E-3</v>
      </c>
      <c r="BH8" s="684">
        <f t="shared" si="0"/>
        <v>-0.46400343116230625</v>
      </c>
      <c r="BI8" s="685" t="s">
        <v>224</v>
      </c>
      <c r="BJ8" s="684">
        <f>BJ7/BH7-1</f>
        <v>0.38053581078272436</v>
      </c>
      <c r="BK8" s="684">
        <f t="shared" si="0"/>
        <v>0.16905112829723401</v>
      </c>
      <c r="BL8" s="684">
        <f t="shared" si="0"/>
        <v>0.16314583011384132</v>
      </c>
      <c r="BM8" s="684">
        <f t="shared" si="0"/>
        <v>8.7778424855459392E-2</v>
      </c>
      <c r="BN8" s="685" t="s">
        <v>224</v>
      </c>
      <c r="BO8" s="684">
        <f>BO7/BM7-1</f>
        <v>1.9669451433503404E-2</v>
      </c>
      <c r="BP8" s="684">
        <f t="shared" ref="BP8:BW8" si="1">BP7/BO7-1</f>
        <v>-0.19026005851391425</v>
      </c>
      <c r="BQ8" s="684">
        <f t="shared" si="1"/>
        <v>4.0315184268399751E-2</v>
      </c>
      <c r="BR8" s="684">
        <f t="shared" si="1"/>
        <v>5.0318042639516891E-2</v>
      </c>
      <c r="BS8" s="685" t="s">
        <v>224</v>
      </c>
      <c r="BT8" s="684">
        <f>BT7/BR7-1</f>
        <v>8.5362193922218221E-2</v>
      </c>
      <c r="BU8" s="684">
        <f t="shared" si="1"/>
        <v>5.6627641914724913E-2</v>
      </c>
      <c r="BV8" s="684">
        <f t="shared" si="1"/>
        <v>4.8856044709532753E-2</v>
      </c>
      <c r="BW8" s="684">
        <f t="shared" si="1"/>
        <v>-0.10597272505580679</v>
      </c>
      <c r="BX8" s="685" t="s">
        <v>224</v>
      </c>
      <c r="BY8" s="684">
        <f>BY7/BW7-1</f>
        <v>-2.9707488716882446E-2</v>
      </c>
      <c r="BZ8" s="684">
        <f t="shared" ref="BZ8:CG8" si="2">BZ7/BY7-1</f>
        <v>0.12909067908489447</v>
      </c>
      <c r="CA8" s="684">
        <f t="shared" si="2"/>
        <v>0.153063862794105</v>
      </c>
      <c r="CB8" s="684">
        <f>CB7/CA7-1</f>
        <v>-8.0730165848635016E-2</v>
      </c>
      <c r="CC8" s="685" t="s">
        <v>224</v>
      </c>
      <c r="CD8" s="684">
        <f>CD7/CB7-1</f>
        <v>-0.13746745421003848</v>
      </c>
      <c r="CE8" s="684">
        <f t="shared" si="2"/>
        <v>2.3565602745881264E-2</v>
      </c>
      <c r="CF8" s="684">
        <f t="shared" si="2"/>
        <v>7.8516185412356165E-2</v>
      </c>
      <c r="CG8" s="684">
        <f t="shared" si="2"/>
        <v>8.5629815734268755E-2</v>
      </c>
      <c r="CH8" s="685" t="s">
        <v>224</v>
      </c>
      <c r="CI8" s="684">
        <f>CI7/CG7-1</f>
        <v>-3.6209009122387559E-2</v>
      </c>
      <c r="CJ8" s="684">
        <f>CJ7/CI7-1</f>
        <v>3.3551356698913182E-5</v>
      </c>
      <c r="CK8" s="684">
        <f t="shared" ref="CK8:CP8" si="3">CK7/CJ7-1</f>
        <v>0.1111310598971369</v>
      </c>
      <c r="CL8" s="684">
        <f t="shared" si="3"/>
        <v>2.0509522744744046E-2</v>
      </c>
      <c r="CM8" s="685" t="s">
        <v>224</v>
      </c>
      <c r="CN8" s="684">
        <f>CN7/CL7-1</f>
        <v>-7.95784773301218E-2</v>
      </c>
      <c r="CO8" s="684">
        <f t="shared" si="3"/>
        <v>1.7376194613378804E-3</v>
      </c>
      <c r="CP8" s="684">
        <f t="shared" si="3"/>
        <v>0.13183000867302685</v>
      </c>
      <c r="CQ8" s="684">
        <f>CQ7/CP7-1</f>
        <v>7.3563218390804597E-2</v>
      </c>
      <c r="CR8" s="685" t="s">
        <v>224</v>
      </c>
      <c r="CS8" s="684">
        <f>CS7/CQ7-1</f>
        <v>-6.8522483940042789E-2</v>
      </c>
      <c r="CT8" s="684">
        <f>CT7/CS7-1</f>
        <v>9.4252873563218431E-2</v>
      </c>
      <c r="CU8" s="684">
        <f>CU7/CT7-1</f>
        <v>0.40336134453781503</v>
      </c>
      <c r="CV8" s="684">
        <f>CV7/CU7-1</f>
        <v>8.4331337325349365E-2</v>
      </c>
      <c r="CW8" s="685" t="s">
        <v>224</v>
      </c>
      <c r="CX8" s="684">
        <f>CX7/CV7-1</f>
        <v>-0.1086056143580304</v>
      </c>
      <c r="CY8" s="684">
        <f>CY7/CX7-1</f>
        <v>0.15126484254001027</v>
      </c>
      <c r="CZ8" s="684">
        <f>CZ7/CY7-1</f>
        <v>0.1820627802690582</v>
      </c>
      <c r="DA8" s="684">
        <f>DA7/CZ7-1</f>
        <v>0.10432473444613044</v>
      </c>
      <c r="DB8" s="685" t="s">
        <v>224</v>
      </c>
      <c r="DC8" s="684">
        <f>DC7/DA7-1</f>
        <v>0.1016832703538304</v>
      </c>
      <c r="DD8" s="684">
        <f>DD7/DC7-1</f>
        <v>-2.6192703461178635E-2</v>
      </c>
      <c r="DE8" s="684">
        <f>DE7/DD7-1</f>
        <v>1.8571886007044514E-2</v>
      </c>
      <c r="DF8" s="684">
        <f>DF7/DE7-1</f>
        <v>-0.30682175416535684</v>
      </c>
      <c r="DG8" s="685" t="s">
        <v>224</v>
      </c>
      <c r="DH8" s="684">
        <f>DH7/DF7-1</f>
        <v>6.8027210884353817E-3</v>
      </c>
      <c r="DI8" s="684">
        <f>DI7/DH7-1</f>
        <v>0.16171171171171173</v>
      </c>
      <c r="DJ8" s="684">
        <f>DJ7/DI7-1</f>
        <v>0.16867002714230317</v>
      </c>
      <c r="DK8" s="684">
        <f>DK7/DJ7-1</f>
        <v>3.0192435301924281E-2</v>
      </c>
      <c r="DL8" s="685" t="s">
        <v>224</v>
      </c>
      <c r="DM8" s="684">
        <f>DM7/DK7-1</f>
        <v>-8.0515297906602612E-3</v>
      </c>
      <c r="DN8" s="684">
        <f>DN7/DM7-1</f>
        <v>0.2551948051948052</v>
      </c>
      <c r="DO8" s="684">
        <f>DO7/DN7-1</f>
        <v>0.22245214692188298</v>
      </c>
      <c r="DP8" s="684">
        <f>DP7/DO7-1</f>
        <v>5.8611933982225972E-2</v>
      </c>
      <c r="DQ8" s="685" t="s">
        <v>224</v>
      </c>
      <c r="DR8" s="684">
        <f>DR7/DP7-1</f>
        <v>0.13152108734759138</v>
      </c>
      <c r="DS8" s="684">
        <f>DS7/DR7-1</f>
        <v>0.14944356120826718</v>
      </c>
      <c r="DT8" s="684">
        <f>DT7/DS7-1</f>
        <v>9.1593668357153879E-2</v>
      </c>
      <c r="DU8" s="684">
        <f>DU7/DT7-1</f>
        <v>7.6024215120371608E-2</v>
      </c>
      <c r="DV8" s="685" t="s">
        <v>224</v>
      </c>
      <c r="DW8" s="684">
        <f>DW7/DU7-1</f>
        <v>8.4390945963626951E-2</v>
      </c>
      <c r="DX8" s="684">
        <f>DX7/DW7-1</f>
        <v>-0.19111969111969107</v>
      </c>
      <c r="DY8" s="684">
        <f>DY7/DX7-1</f>
        <v>-0.11530429594272074</v>
      </c>
      <c r="DZ8" s="684">
        <f>DZ7/DY7-1</f>
        <v>2.0232675771370667E-2</v>
      </c>
      <c r="EA8" s="685" t="s">
        <v>224</v>
      </c>
      <c r="EB8" s="684">
        <f>EB7/DZ7-1</f>
        <v>0.1885638737398776</v>
      </c>
      <c r="EC8" s="684">
        <f>EC7/EB7-1</f>
        <v>0.87805895439377091</v>
      </c>
      <c r="ED8" s="684">
        <f>ED7/EC7-1</f>
        <v>0.34152661582882948</v>
      </c>
      <c r="EE8" s="684">
        <f>EE7/ED7-1</f>
        <v>0.21981236203090515</v>
      </c>
      <c r="EF8" s="685" t="s">
        <v>224</v>
      </c>
      <c r="EG8" s="684">
        <f>EG7/EE7-1</f>
        <v>0.17830158801972584</v>
      </c>
      <c r="EH8" s="684">
        <f>EH7/EG7-1</f>
        <v>0.1534326524343419</v>
      </c>
      <c r="EI8" s="684">
        <f>EI7/EH7-1</f>
        <v>0.16784287616511318</v>
      </c>
      <c r="EJ8" s="684">
        <f>EJ7/EI7-1</f>
        <v>0.12111624194743742</v>
      </c>
      <c r="EK8" s="685" t="s">
        <v>224</v>
      </c>
      <c r="EL8" s="684">
        <f>EL7/EJ7-1</f>
        <v>0.12028679667437903</v>
      </c>
      <c r="EM8" s="684">
        <f>EM7/EL7-1</f>
        <v>6.0846080522899637E-2</v>
      </c>
      <c r="EN8" s="684">
        <f>EN7/EM7-1</f>
        <v>0.21956228740132211</v>
      </c>
      <c r="EO8" s="684">
        <f>EO7/EN7-1</f>
        <v>0.1950847279233765</v>
      </c>
      <c r="EP8" s="685" t="s">
        <v>224</v>
      </c>
      <c r="EQ8" s="684">
        <f>EQ7/EO7-1</f>
        <v>0.1979831784754944</v>
      </c>
      <c r="ER8" s="684">
        <f>ER7/EQ7-1</f>
        <v>0.14010531752992139</v>
      </c>
      <c r="ES8" s="684">
        <f>ES7/ER7-1</f>
        <v>0.18922894240313259</v>
      </c>
      <c r="ET8" s="684">
        <f>ET7/ES7-1</f>
        <v>0.13442003221986054</v>
      </c>
      <c r="EU8" s="685" t="s">
        <v>224</v>
      </c>
      <c r="EV8" s="684">
        <f>EV7/ET7-1</f>
        <v>9.1767450869945755E-2</v>
      </c>
      <c r="EW8" s="684">
        <f>EW7/EV7-1</f>
        <v>9.7824047507240941E-2</v>
      </c>
      <c r="EX8" s="684">
        <f>EX7/EW7-1</f>
        <v>0.11786960181736261</v>
      </c>
      <c r="EY8" s="684">
        <f>EY7/EX7-1</f>
        <v>6.6727684337010151E-2</v>
      </c>
      <c r="EZ8" s="685" t="s">
        <v>224</v>
      </c>
      <c r="FA8" s="684">
        <f>FA7/EY7-1</f>
        <v>2.5927917377388532E-2</v>
      </c>
      <c r="FB8" s="684">
        <f>FB7/FA7-1</f>
        <v>3.0832856529099617E-2</v>
      </c>
      <c r="FC8" s="684">
        <f>FC7/FB7-1</f>
        <v>7.0063002784832351E-2</v>
      </c>
      <c r="FD8" s="684">
        <f>FD7/FC7-1</f>
        <v>4.9922146334104189E-2</v>
      </c>
      <c r="FE8" s="685" t="s">
        <v>224</v>
      </c>
      <c r="FF8" s="684">
        <f>FF7/FD7-1</f>
        <v>7.1309788915148165E-3</v>
      </c>
      <c r="FG8" s="684">
        <f>FG7/FF7-1</f>
        <v>1.146580110301354E-2</v>
      </c>
      <c r="FH8" s="684">
        <f>FH7/FG7-1</f>
        <v>3.1554599366144576E-2</v>
      </c>
      <c r="FI8" s="684">
        <f>FI7/FH7-1</f>
        <v>2.1202099743121483E-2</v>
      </c>
      <c r="FJ8" s="685" t="s">
        <v>224</v>
      </c>
      <c r="FK8" s="684">
        <f>FK7/FI7-1</f>
        <v>1.6718162068602771E-2</v>
      </c>
      <c r="FL8" s="684">
        <f>FL7/FK7-1</f>
        <v>3.0699749984702374E-2</v>
      </c>
      <c r="FM8" s="684">
        <f>FM7/FL7-1</f>
        <v>6.032173487620085E-2</v>
      </c>
      <c r="FN8" s="684">
        <f>FN7/FM7-1</f>
        <v>4.036627776899171E-2</v>
      </c>
      <c r="FO8" s="685" t="s">
        <v>224</v>
      </c>
      <c r="FP8" s="685"/>
      <c r="FQ8" s="37"/>
    </row>
    <row r="9" spans="1:173">
      <c r="A9" s="170" t="s">
        <v>388</v>
      </c>
      <c r="B9" s="684"/>
      <c r="C9" s="684"/>
      <c r="D9" s="684"/>
      <c r="E9" s="684"/>
      <c r="F9" s="680"/>
      <c r="G9" s="684">
        <f>+G7/B7-1</f>
        <v>433.81538461538463</v>
      </c>
      <c r="H9" s="684">
        <f>+H7/C7-1</f>
        <v>2021.3333333333333</v>
      </c>
      <c r="I9" s="684">
        <f>+I7/D7-1</f>
        <v>8.5687888766922793</v>
      </c>
      <c r="J9" s="684">
        <f>+J7/E7-1</f>
        <v>1.7847794680037388</v>
      </c>
      <c r="K9" s="680">
        <f>K7/F7-1</f>
        <v>4.4431220116267065</v>
      </c>
      <c r="L9" s="684">
        <f>+L7/G7-1</f>
        <v>1.512755192300888</v>
      </c>
      <c r="M9" s="684">
        <f>+M7/H7-1</f>
        <v>5.4296192516894672</v>
      </c>
      <c r="N9" s="684">
        <f>+N7/I7-1</f>
        <v>0.85486492170621209</v>
      </c>
      <c r="O9" s="684">
        <f>+O7/J7-1</f>
        <v>0.96003784121946434</v>
      </c>
      <c r="P9" s="680">
        <f>P7/K7-1</f>
        <v>1.3667347080644854</v>
      </c>
      <c r="Q9" s="684">
        <f>+Q7/L7-1</f>
        <v>1.0907798023036412</v>
      </c>
      <c r="R9" s="684">
        <f>+R7/M7-1</f>
        <v>1.17027058205263</v>
      </c>
      <c r="S9" s="684">
        <f>+S7/N7-1</f>
        <v>1.0374890480853476</v>
      </c>
      <c r="T9" s="684">
        <f>+T7/O7-1</f>
        <v>0.71107391693589173</v>
      </c>
      <c r="U9" s="680">
        <f>U7/P7-1</f>
        <v>0.96329555012616686</v>
      </c>
      <c r="V9" s="684">
        <f>+V7/Q7-1</f>
        <v>0.62262346531252732</v>
      </c>
      <c r="W9" s="684">
        <f>+W7/R7-1</f>
        <v>0.53483386290884605</v>
      </c>
      <c r="X9" s="684">
        <f>+X7/S7-1</f>
        <v>0.84641847146969407</v>
      </c>
      <c r="Y9" s="684">
        <f>+Y7/T7-1</f>
        <v>1.2916158619811098</v>
      </c>
      <c r="Z9" s="680">
        <f>Z7/U7-1</f>
        <v>0.8625568503285892</v>
      </c>
      <c r="AA9" s="684">
        <f>+AA7/V7-1</f>
        <v>1.41937559145319</v>
      </c>
      <c r="AB9" s="684">
        <f>+AB7/W7-1</f>
        <v>0.64419432419432421</v>
      </c>
      <c r="AC9" s="684">
        <f>+AC7/X7-1</f>
        <v>0.17899259129367406</v>
      </c>
      <c r="AD9" s="684">
        <f>+AD7/Y7-1</f>
        <v>-0.14910023665443695</v>
      </c>
      <c r="AE9" s="680">
        <f>AE7/Z7-1</f>
        <v>0.3648204306626428</v>
      </c>
      <c r="AF9" s="684">
        <f>+AF7/AA7-1</f>
        <v>-0.30523327128777411</v>
      </c>
      <c r="AG9" s="684">
        <f>+AG7/AB7-1</f>
        <v>7.6035901096457748E-2</v>
      </c>
      <c r="AH9" s="684">
        <f>+AH7/AC7-1</f>
        <v>0.12959442626608175</v>
      </c>
      <c r="AI9" s="684">
        <f>+AI7/AD7-1</f>
        <v>0.10156840602163397</v>
      </c>
      <c r="AJ9" s="680">
        <f>AJ7/AE7-1</f>
        <v>-2.4684310265681186E-2</v>
      </c>
      <c r="AK9" s="684">
        <f>+AK7/AF7-1</f>
        <v>0.16524644244326292</v>
      </c>
      <c r="AL9" s="684">
        <f>+AL7/AG7-1</f>
        <v>-8.075706760277912E-3</v>
      </c>
      <c r="AM9" s="684">
        <f>+AM7/AH7-1</f>
        <v>6.0736232921663413E-2</v>
      </c>
      <c r="AN9" s="684">
        <f>+AN7/AI7-1</f>
        <v>0.19985851024847534</v>
      </c>
      <c r="AO9" s="680">
        <f>AO7/AJ7-1</f>
        <v>0.10262953627235039</v>
      </c>
      <c r="AP9" s="684">
        <f>+AP7/AK7-1</f>
        <v>0.2372108793083354</v>
      </c>
      <c r="AQ9" s="684">
        <f>+AQ7/AL7-1</f>
        <v>0.26038402757525869</v>
      </c>
      <c r="AR9" s="684">
        <f>+AR7/AM7-1</f>
        <v>0.13154612861745063</v>
      </c>
      <c r="AS9" s="684">
        <f>+AS7/AN7-1</f>
        <v>0.11851870158665156</v>
      </c>
      <c r="AT9" s="680">
        <f>AT7/AO7-1</f>
        <v>0.18191442628056365</v>
      </c>
      <c r="AU9" s="684">
        <f>+AU7/AP7-1</f>
        <v>0.16778568321098364</v>
      </c>
      <c r="AV9" s="684">
        <f>+AV7/AQ7-1</f>
        <v>0.19607628233231034</v>
      </c>
      <c r="AW9" s="684">
        <f>+AW7/AR7-1</f>
        <v>0.40649794743021705</v>
      </c>
      <c r="AX9" s="684">
        <f>+AX7/AS7-1</f>
        <v>0.38707951528848805</v>
      </c>
      <c r="AY9" s="680">
        <f>AY7/AT7-1</f>
        <v>0.29174045234073365</v>
      </c>
      <c r="AZ9" s="684">
        <f>+AZ7/AU7-1</f>
        <v>0.23829764141465248</v>
      </c>
      <c r="BA9" s="684">
        <f>+BA7/AV7-1</f>
        <v>0.36033040541425043</v>
      </c>
      <c r="BB9" s="684">
        <f>+BB7/AW7-1</f>
        <v>0.35953578723134583</v>
      </c>
      <c r="BC9" s="684">
        <f>+BC7/AX7-1</f>
        <v>0.36849123821075391</v>
      </c>
      <c r="BD9" s="680">
        <f>BD7/AY7-1</f>
        <v>0.33534238951032846</v>
      </c>
      <c r="BE9" s="684">
        <f>+BE7/AZ7-1</f>
        <v>0.36612024446865954</v>
      </c>
      <c r="BF9" s="684">
        <f>+BF7/BA7-1</f>
        <v>-4.5524579979962621E-2</v>
      </c>
      <c r="BG9" s="684">
        <f>+BG7/BB7-1</f>
        <v>-0.19535907679923847</v>
      </c>
      <c r="BH9" s="684">
        <f>+BH7/BC7-1</f>
        <v>-0.59996009079344492</v>
      </c>
      <c r="BI9" s="680">
        <f>BI7/BD7-1</f>
        <v>-0.16423230661857668</v>
      </c>
      <c r="BJ9" s="684">
        <f>+BJ7/BE7-1</f>
        <v>-0.42410446441266947</v>
      </c>
      <c r="BK9" s="684">
        <f>+BK7/BF7-1</f>
        <v>-0.13012111897261724</v>
      </c>
      <c r="BL9" s="684">
        <f>+BL7/BG7-1</f>
        <v>6.1838902473667634E-3</v>
      </c>
      <c r="BM9" s="684">
        <f>+BM7/BH7-1</f>
        <v>1.042000249407657</v>
      </c>
      <c r="BN9" s="680">
        <f>BN7/BI7-1</f>
        <v>-2.8735197565797677E-2</v>
      </c>
      <c r="BO9" s="684">
        <f>+BO7/BJ7-1</f>
        <v>0.5082298176387432</v>
      </c>
      <c r="BP9" s="684">
        <f>+BP7/BK7-1</f>
        <v>4.4671096687786571E-2</v>
      </c>
      <c r="BQ9" s="684">
        <f>+BQ7/BL7-1</f>
        <v>-6.564836814635866E-2</v>
      </c>
      <c r="BR9" s="684">
        <f>+BR7/BM7-1</f>
        <v>-9.7825113385608842E-2</v>
      </c>
      <c r="BS9" s="680">
        <f>BS7/BN7-1</f>
        <v>6.5193923242380603E-2</v>
      </c>
      <c r="BT9" s="684">
        <f>+BT7/BO7-1</f>
        <v>-3.9702020237309732E-2</v>
      </c>
      <c r="BU9" s="684">
        <f>+BU7/BP7-1</f>
        <v>0.25309045275687625</v>
      </c>
      <c r="BV9" s="684">
        <f>+BV7/BQ7-1</f>
        <v>0.26337817213169146</v>
      </c>
      <c r="BW9" s="684">
        <f>+BW7/BR7-1</f>
        <v>7.5383358755200858E-2</v>
      </c>
      <c r="BX9" s="680">
        <f>BX7/BS7-1</f>
        <v>0.12830407960468571</v>
      </c>
      <c r="BY9" s="684">
        <f>+BY7/BT7-1</f>
        <v>-3.8628371614872203E-2</v>
      </c>
      <c r="BZ9" s="684">
        <f>+BZ7/BU7-1</f>
        <v>2.7302052007000199E-2</v>
      </c>
      <c r="CA9" s="684">
        <f>+CA7/BV7-1</f>
        <v>0.12936839933219524</v>
      </c>
      <c r="CB9" s="684">
        <f>+CB7/BW7-1</f>
        <v>0.16125573597819542</v>
      </c>
      <c r="CC9" s="680">
        <f>CC7/BX7-1</f>
        <v>7.0593782282331041E-2</v>
      </c>
      <c r="CD9" s="684">
        <f>+CD7/BY7-1</f>
        <v>3.2287536612976675E-2</v>
      </c>
      <c r="CE9" s="684">
        <f>+CE7/BZ7-1</f>
        <v>-6.4190295613203441E-2</v>
      </c>
      <c r="CF9" s="684">
        <f>+CF7/CA7-1</f>
        <v>-0.12469209623705457</v>
      </c>
      <c r="CG9" s="684">
        <f>+CG7/CB7-1</f>
        <v>3.3712108208314717E-2</v>
      </c>
      <c r="CH9" s="680">
        <f>CH7/CC7-1</f>
        <v>-3.5044726142182903E-2</v>
      </c>
      <c r="CI9" s="684">
        <f>+CI7/CD7-1</f>
        <v>0.15506646319046347</v>
      </c>
      <c r="CJ9" s="684">
        <f>+CJ7/CE7-1</f>
        <v>0.12851117128069101</v>
      </c>
      <c r="CK9" s="684">
        <f>+CK7/CF7-1</f>
        <v>0.16263791940354855</v>
      </c>
      <c r="CL9" s="684">
        <f>+CL7/CG7-1</f>
        <v>9.2898381252523476E-2</v>
      </c>
      <c r="CM9" s="680">
        <f>CM7/CH7-1</f>
        <v>0.13349234243112007</v>
      </c>
      <c r="CN9" s="684">
        <f>+CN7/CI7-1</f>
        <v>4.3719231365621836E-2</v>
      </c>
      <c r="CO9" s="684">
        <f>+CO7/CJ7-1</f>
        <v>4.5497740346601034E-2</v>
      </c>
      <c r="CP9" s="684">
        <f>+CP7/CK7-1</f>
        <v>6.4974024426668553E-2</v>
      </c>
      <c r="CQ9" s="684">
        <f>+CQ7/CL7-1</f>
        <v>0.12033931647306639</v>
      </c>
      <c r="CR9" s="680">
        <f>CR7/CM7-1</f>
        <v>7.0168217200145211E-2</v>
      </c>
      <c r="CS9" s="684">
        <f>+CS7/CN7-1</f>
        <v>0.13379669852302345</v>
      </c>
      <c r="CT9" s="684">
        <f>+CT7/CO7-1</f>
        <v>0.238508239375542</v>
      </c>
      <c r="CU9" s="684">
        <f>+CU7/CP7-1</f>
        <v>0.53563218390804601</v>
      </c>
      <c r="CV9" s="684">
        <f>+CV7/CQ7-1</f>
        <v>0.55103497501784449</v>
      </c>
      <c r="CW9" s="680">
        <f>CW7/CR7-1</f>
        <v>0.37924151696606789</v>
      </c>
      <c r="CX9" s="684">
        <f>+CX7/CS7-1</f>
        <v>0.48429118773946356</v>
      </c>
      <c r="CY9" s="684">
        <f>+CY7/CT7-1</f>
        <v>0.56162464985994398</v>
      </c>
      <c r="CZ9" s="684">
        <f>+CZ7/CU7-1</f>
        <v>0.3153692614770458</v>
      </c>
      <c r="DA9" s="684">
        <f>+DA7/CV7-1</f>
        <v>0.33962264150943389</v>
      </c>
      <c r="DB9" s="680">
        <f>DB7/CW7-1</f>
        <v>0.40578871201157751</v>
      </c>
      <c r="DC9" s="684">
        <f>+DC7/CX7-1</f>
        <v>0.65565307176045429</v>
      </c>
      <c r="DD9" s="684">
        <f>+DD7/CY7-1</f>
        <v>0.40044843049327361</v>
      </c>
      <c r="DE9" s="684">
        <f>+DE7/CZ7-1</f>
        <v>0.20675265553869493</v>
      </c>
      <c r="DF9" s="684">
        <f>+DF7/DA7-1</f>
        <v>-0.24252834077636554</v>
      </c>
      <c r="DG9" s="680">
        <f>DG7/DB7-1</f>
        <v>0.20609429689108505</v>
      </c>
      <c r="DH9" s="684">
        <f>+DH7/DC7-1</f>
        <v>-0.3077642656688494</v>
      </c>
      <c r="DI9" s="684">
        <f>+DI7/DD7-1</f>
        <v>-0.17419148254883121</v>
      </c>
      <c r="DJ9" s="684">
        <f>+DJ7/DE7-1</f>
        <v>-5.2499214083621459E-2</v>
      </c>
      <c r="DK9" s="684">
        <f>+DK7/DF7-1</f>
        <v>0.40816326530612246</v>
      </c>
      <c r="DL9" s="680">
        <f>DL7/DG7-1</f>
        <v>-6.8111983612154314E-2</v>
      </c>
      <c r="DM9" s="684">
        <f>+DM7/DH7-1</f>
        <v>0.38738738738738743</v>
      </c>
      <c r="DN9" s="684">
        <f>+DN7/DI7-1</f>
        <v>0.49903063202791786</v>
      </c>
      <c r="DO9" s="684">
        <f>+DO7/DJ7-1</f>
        <v>0.56801592568015935</v>
      </c>
      <c r="DP9" s="684">
        <f>+DP7/DK7-1</f>
        <v>0.61127214170692423</v>
      </c>
      <c r="DQ9" s="680">
        <f>DQ7/DL7-1</f>
        <v>0.52729437625938824</v>
      </c>
      <c r="DR9" s="684">
        <f>+DR7/DM7-1</f>
        <v>0.83798701298701306</v>
      </c>
      <c r="DS9" s="684">
        <f>+DS7/DN7-1</f>
        <v>0.68313502327987585</v>
      </c>
      <c r="DT9" s="684">
        <f>+DT7/DO7-1</f>
        <v>0.50296233601354201</v>
      </c>
      <c r="DU9" s="684">
        <f>+DU7/DP7-1</f>
        <v>0.52768338996602049</v>
      </c>
      <c r="DV9" s="680">
        <f>DV7/DQ7-1</f>
        <v>0.61403298350824587</v>
      </c>
      <c r="DW9" s="684">
        <f>+DW7/DR7-1</f>
        <v>0.46405228758169925</v>
      </c>
      <c r="DX9" s="684">
        <f>+DX7/DS7-1</f>
        <v>3.0275088366374714E-2</v>
      </c>
      <c r="DY9" s="684">
        <f>+DY7/DT7-1</f>
        <v>-0.16500070392791777</v>
      </c>
      <c r="DZ9" s="684">
        <f>+DZ7/DU7-1</f>
        <v>-0.20829517205285886</v>
      </c>
      <c r="EA9" s="680">
        <f>EA7/DV7-1</f>
        <v>2.2293230289069932E-3</v>
      </c>
      <c r="EB9" s="684">
        <f>+EB7/DW7-1</f>
        <v>-0.13223938223938225</v>
      </c>
      <c r="EC9" s="684">
        <f>+EC7/DX7-1</f>
        <v>1.0147673031026252</v>
      </c>
      <c r="ED9" s="684">
        <f>+ED7/DY7-1</f>
        <v>2.0551340414769852</v>
      </c>
      <c r="EE9" s="684">
        <f>+EE7/DZ7-1</f>
        <v>2.6527846636919516</v>
      </c>
      <c r="EF9" s="680">
        <f>EF7/EA7-1</f>
        <v>1.2585452658115224</v>
      </c>
      <c r="EG9" s="684">
        <f>+EG7/EB7-1</f>
        <v>2.6212458286985538</v>
      </c>
      <c r="EH9" s="684">
        <f>+EH7/EC7-1</f>
        <v>1.2240319834160065</v>
      </c>
      <c r="EI9" s="684">
        <f>+EI7/ED7-1</f>
        <v>0.93609271523178816</v>
      </c>
      <c r="EJ9" s="684">
        <f>+EJ7/EE7-1</f>
        <v>0.77944170474596208</v>
      </c>
      <c r="EK9" s="680">
        <f>EK7/EF7-1</f>
        <v>1.1420340763599355</v>
      </c>
      <c r="EL9" s="684">
        <f>+EL7/EG7-1</f>
        <v>0.69182921210259551</v>
      </c>
      <c r="EM9" s="684">
        <f>+EM7/EH7-1</f>
        <v>0.5560252996005326</v>
      </c>
      <c r="EN9" s="684">
        <f>+EN7/EI7-1</f>
        <v>0.62493586454592109</v>
      </c>
      <c r="EO9" s="684">
        <f>+EO7/EJ7-1</f>
        <v>0.73214512725331171</v>
      </c>
      <c r="EP9" s="680">
        <f>EP7/EK7-1</f>
        <v>0.65473535790094783</v>
      </c>
      <c r="EQ9" s="684">
        <f>+EQ7/EL7-1</f>
        <v>0.85227633788752222</v>
      </c>
      <c r="ER9" s="684">
        <f>+ER7/EM7-1</f>
        <v>0.99066588559152224</v>
      </c>
      <c r="ES9" s="684">
        <f>+ES7/EN7-1</f>
        <v>0.94115340418112936</v>
      </c>
      <c r="ET9" s="684">
        <f>+ET7/EO7-1</f>
        <v>0.84261689222760827</v>
      </c>
      <c r="EU9" s="680">
        <f>EU7/EP7-1</f>
        <v>0.90264820210312302</v>
      </c>
      <c r="EV9" s="684">
        <f>+EV7/EQ7-1</f>
        <v>0.67924657332606153</v>
      </c>
      <c r="EW9" s="684">
        <f>+EW7/ER7-1</f>
        <v>0.61697103026019318</v>
      </c>
      <c r="EX9" s="684">
        <f>+EX7/ES7-1</f>
        <v>0.51994514874027797</v>
      </c>
      <c r="EY9" s="684">
        <f>+EY7/ET7-1</f>
        <v>0.42924800583982825</v>
      </c>
      <c r="EZ9" s="680">
        <f>EZ7/EU7-1</f>
        <v>0.54585270485761073</v>
      </c>
      <c r="FA9" s="684">
        <f>+FA7/EV7-1</f>
        <v>0.34305655373647048</v>
      </c>
      <c r="FB9" s="684">
        <f>+FB7/EW7-1</f>
        <v>0.26110083570487896</v>
      </c>
      <c r="FC9" s="684">
        <f>+FC7/EX7-1</f>
        <v>0.20716883693318144</v>
      </c>
      <c r="FD9" s="684">
        <f>+FD7/EY7-1</f>
        <v>0.18815074819049227</v>
      </c>
      <c r="FE9" s="680">
        <f>FE7/EZ7-1</f>
        <v>0.24389580325454485</v>
      </c>
      <c r="FF9" s="684">
        <f>+FF7/FA7-1</f>
        <v>0.16638158083731858</v>
      </c>
      <c r="FG9" s="684">
        <f>+FG7/FB7-1</f>
        <v>0.14446786652275678</v>
      </c>
      <c r="FH9" s="684">
        <f>+FH7/FC7-1</f>
        <v>0.10328185206464813</v>
      </c>
      <c r="FI9" s="684">
        <f>+FI7/FD7-1</f>
        <v>7.3102179881412432E-2</v>
      </c>
      <c r="FJ9" s="680">
        <f>FJ7/FE7-1</f>
        <v>0.11973191150201012</v>
      </c>
      <c r="FK9" s="684">
        <f>+FK7/FF7-1</f>
        <v>8.3317362793945637E-2</v>
      </c>
      <c r="FL9" s="684">
        <f>+FL7/FG7-1</f>
        <v>0.10391763494936823</v>
      </c>
      <c r="FM9" s="684">
        <f>+FM7/FH7-1</f>
        <v>0.13470277052633417</v>
      </c>
      <c r="FN9" s="684">
        <f>+FN7/FI7-1</f>
        <v>0.15599693541914506</v>
      </c>
      <c r="FO9" s="680">
        <f>FO7/FJ7-1</f>
        <v>0.12018107472064909</v>
      </c>
      <c r="FP9" s="680"/>
      <c r="FQ9" s="37"/>
    </row>
    <row r="10" spans="1:173">
      <c r="A10" s="171" t="s">
        <v>389</v>
      </c>
      <c r="B10" s="681">
        <v>0.20799999999999999</v>
      </c>
      <c r="C10" s="681">
        <v>0.15</v>
      </c>
      <c r="D10" s="681">
        <v>4.548</v>
      </c>
      <c r="E10" s="681">
        <v>16.338000000000001</v>
      </c>
      <c r="F10" s="682">
        <f>SUM(B10:E10)</f>
        <v>21.244</v>
      </c>
      <c r="G10" s="681">
        <v>20.13</v>
      </c>
      <c r="H10" s="681">
        <v>11.967000000000001</v>
      </c>
      <c r="I10" s="681">
        <v>32.507000000000005</v>
      </c>
      <c r="J10" s="681">
        <v>41.135999999999981</v>
      </c>
      <c r="K10" s="682">
        <f>SUM(G10:J10)</f>
        <v>105.74</v>
      </c>
      <c r="L10" s="681">
        <f>45.946-L11</f>
        <v>44.488</v>
      </c>
      <c r="M10" s="681">
        <f>49.225-M11</f>
        <v>47.042999999999999</v>
      </c>
      <c r="N10" s="681">
        <f>56.747-N11</f>
        <v>54.244</v>
      </c>
      <c r="O10" s="681">
        <f>80.744-O11</f>
        <v>77.881</v>
      </c>
      <c r="P10" s="682">
        <f>SUM(L10:O10)</f>
        <v>223.65600000000001</v>
      </c>
      <c r="Q10" s="681">
        <f>96.964-Q11</f>
        <v>93.915999999999997</v>
      </c>
      <c r="R10" s="681">
        <f>105.334-R11</f>
        <v>102.023</v>
      </c>
      <c r="S10" s="681">
        <f>123.775-S11</f>
        <v>119.41300000000001</v>
      </c>
      <c r="T10" s="681">
        <f>136.312-T11</f>
        <v>131.30900000000003</v>
      </c>
      <c r="U10" s="682">
        <f>SUM(Q10:T10)</f>
        <v>446.661</v>
      </c>
      <c r="V10" s="681">
        <f>146.712-V11</f>
        <v>140.517</v>
      </c>
      <c r="W10" s="681">
        <f>157.636-W11</f>
        <v>147.01599999999999</v>
      </c>
      <c r="X10" s="681">
        <f>231.508-X11</f>
        <v>219.59100000000001</v>
      </c>
      <c r="Y10" s="681">
        <f>314.377-Y11</f>
        <v>299.61799999999999</v>
      </c>
      <c r="Z10" s="682">
        <f>SUM(V10:Y10)</f>
        <v>806.74199999999996</v>
      </c>
      <c r="AA10" s="681">
        <f>375.74-AA11</f>
        <v>362.91</v>
      </c>
      <c r="AB10" s="681">
        <f>327.983-AB11-21</f>
        <v>292.91399999999999</v>
      </c>
      <c r="AC10" s="681">
        <f>322.106-AC11</f>
        <v>305.94</v>
      </c>
      <c r="AD10" s="681">
        <f>301.442-AD11</f>
        <v>286.291</v>
      </c>
      <c r="AE10" s="682">
        <f>SUM(AA10:AD10)</f>
        <v>1248.0550000000001</v>
      </c>
      <c r="AF10" s="681">
        <f>278.415-AF11</f>
        <v>262.45699999999999</v>
      </c>
      <c r="AG10" s="681">
        <f>329.8-AG11</f>
        <v>310.19</v>
      </c>
      <c r="AH10" s="681">
        <f>351.938-AH11</f>
        <v>329.096</v>
      </c>
      <c r="AI10" s="681">
        <f>333.914-AI11</f>
        <v>310.30799999999999</v>
      </c>
      <c r="AJ10" s="682">
        <f>SUM(AF10:AI10)</f>
        <v>1212.0509999999999</v>
      </c>
      <c r="AK10" s="681">
        <f>323.069-AK11</f>
        <v>299.65700000000004</v>
      </c>
      <c r="AL10" s="681">
        <f>315.968-AL11</f>
        <v>291.89400000000001</v>
      </c>
      <c r="AM10" s="681">
        <f>348.849-AM11</f>
        <v>324.82299999999998</v>
      </c>
      <c r="AN10" s="681">
        <f>372.661-AN11</f>
        <v>341.57600000000002</v>
      </c>
      <c r="AO10" s="682">
        <f>SUM(AK10:AN10)</f>
        <v>1257.95</v>
      </c>
      <c r="AP10" s="681">
        <f>373.693-AP11</f>
        <v>348.79999999999995</v>
      </c>
      <c r="AQ10" s="681">
        <f>357.278-AQ11</f>
        <v>332.50400000000002</v>
      </c>
      <c r="AR10" s="681">
        <f>355.247-AR11</f>
        <v>330.72500000000002</v>
      </c>
      <c r="AS10" s="681">
        <f>378.674-AS11</f>
        <v>354.88599999999997</v>
      </c>
      <c r="AT10" s="682">
        <f>SUM(AP10:AS10)</f>
        <v>1366.915</v>
      </c>
      <c r="AU10" s="681">
        <f>393.134-AU11</f>
        <v>369.10300000000001</v>
      </c>
      <c r="AV10" s="681">
        <f>395.391-AV11</f>
        <v>371.18299999999999</v>
      </c>
      <c r="AW10" s="681">
        <f>486.63-AW11-16</f>
        <v>445.59899999999999</v>
      </c>
      <c r="AX10" s="681">
        <f>493.167-AX11</f>
        <v>458.875</v>
      </c>
      <c r="AY10" s="682">
        <f>SUM(AU10:AX10)</f>
        <v>1644.76</v>
      </c>
      <c r="AZ10" s="681">
        <f>464.142-AZ11</f>
        <v>432.80799999999999</v>
      </c>
      <c r="BA10" s="681">
        <f>511.261-BA11</f>
        <v>479.36900000000003</v>
      </c>
      <c r="BB10" s="681">
        <f>600.044-BB11</f>
        <v>567.01400000000001</v>
      </c>
      <c r="BC10" s="681">
        <f>653.133-BC11</f>
        <v>616.197</v>
      </c>
      <c r="BD10" s="682">
        <f>SUM(AZ10:BC10)</f>
        <v>2095.3879999999999</v>
      </c>
      <c r="BE10" s="681">
        <f>638.545-BE11</f>
        <v>597.18700000000001</v>
      </c>
      <c r="BF10" s="681">
        <f>742.759-195.954-BF11</f>
        <v>500.80500000000006</v>
      </c>
      <c r="BG10" s="681">
        <v>529.81200000000001</v>
      </c>
      <c r="BH10" s="681">
        <f>339.474-BH11</f>
        <v>291.41899999999998</v>
      </c>
      <c r="BI10" s="682">
        <f>SUM(BE10:BH10)</f>
        <v>1919.223</v>
      </c>
      <c r="BJ10" s="681">
        <f>463.123-BJ11</f>
        <v>415.02299999999997</v>
      </c>
      <c r="BK10" s="681">
        <f>619.797-119.993-BK11</f>
        <v>450.80400000000003</v>
      </c>
      <c r="BL10" s="681">
        <f>511.423+24.115-BL11</f>
        <v>487.53800000000001</v>
      </c>
      <c r="BM10" s="681">
        <f>543.767-BM11</f>
        <v>495.76700000000005</v>
      </c>
      <c r="BN10" s="682">
        <f>SUM(BJ10:BM10)</f>
        <v>1849.1320000000001</v>
      </c>
      <c r="BO10" s="681">
        <f>545.436-BO11</f>
        <v>498.28900000000004</v>
      </c>
      <c r="BP10" s="681">
        <f>676.916-181.193-BP11</f>
        <v>449.15000000000009</v>
      </c>
      <c r="BQ10" s="681">
        <f>451.85-BQ11</f>
        <v>404.97400000000005</v>
      </c>
      <c r="BR10" s="681">
        <f>460.017-BR11</f>
        <v>413.62400000000002</v>
      </c>
      <c r="BS10" s="682">
        <f>SUM(BO10:BR10)</f>
        <v>1766.037</v>
      </c>
      <c r="BT10" s="681">
        <f>477.536-BT11</f>
        <v>429.77199999999999</v>
      </c>
      <c r="BU10" s="681">
        <f>491.233-BU11</f>
        <v>439.07400000000001</v>
      </c>
      <c r="BV10" s="681">
        <f>509.463-BV11</f>
        <v>457.06300000000005</v>
      </c>
      <c r="BW10" s="681">
        <f>463.181-7.3-BW11</f>
        <v>403.99899999999997</v>
      </c>
      <c r="BX10" s="682">
        <f>SUM(BT10:BW10)</f>
        <v>1729.9080000000001</v>
      </c>
      <c r="BY10" s="681">
        <f>461.513-BY11</f>
        <v>407.02199999999999</v>
      </c>
      <c r="BZ10" s="681">
        <f>503.551-BZ11</f>
        <v>447.35599999999999</v>
      </c>
      <c r="CA10" s="681">
        <f>567.452-CA11</f>
        <v>510.30399999999997</v>
      </c>
      <c r="CB10" s="681">
        <f>521.3-CB11</f>
        <v>462.79999999999995</v>
      </c>
      <c r="CC10" s="682">
        <f>SUM(BY10:CB10)</f>
        <v>1827.4819999999997</v>
      </c>
      <c r="CD10" s="681">
        <f>436.171-CD11</f>
        <v>376.42700000000002</v>
      </c>
      <c r="CE10" s="681">
        <f>431.7-2.29-CE11</f>
        <v>367.56999999999994</v>
      </c>
      <c r="CF10" s="681">
        <f>469.552-CF11</f>
        <v>406.82600000000002</v>
      </c>
      <c r="CG10" s="681">
        <f>524.976-1.45+7.782-CG11</f>
        <v>476.47</v>
      </c>
      <c r="CH10" s="682">
        <f>SUM(CD10:CG10)</f>
        <v>1627.2929999999999</v>
      </c>
      <c r="CI10" s="681">
        <f>498.585-CI11</f>
        <v>443.50199999999995</v>
      </c>
      <c r="CJ10" s="681">
        <f>483.85-CJ11</f>
        <v>428.24300000000005</v>
      </c>
      <c r="CK10" s="681">
        <f>548.684-CK11</f>
        <v>493.68399999999997</v>
      </c>
      <c r="CL10" s="681">
        <f>550.911-CL11</f>
        <v>495.91099999999994</v>
      </c>
      <c r="CM10" s="682">
        <f>SUM(CI10:CL10)</f>
        <v>1861.3400000000001</v>
      </c>
      <c r="CN10" s="681">
        <f>498-CN11</f>
        <v>444</v>
      </c>
      <c r="CO10" s="681">
        <f>519-CO11-15</f>
        <v>450</v>
      </c>
      <c r="CP10" s="681">
        <f>571-CP11</f>
        <v>523</v>
      </c>
      <c r="CQ10" s="681">
        <f>610-CQ11-5</f>
        <v>559</v>
      </c>
      <c r="CR10" s="682">
        <f>SUM(CN10:CQ10)</f>
        <v>1976</v>
      </c>
      <c r="CS10" s="681">
        <f>554-CS11-10</f>
        <v>499</v>
      </c>
      <c r="CT10" s="681">
        <f>602-CT11</f>
        <v>555</v>
      </c>
      <c r="CU10" s="681">
        <f>821-CU11</f>
        <v>773</v>
      </c>
      <c r="CV10" s="681">
        <f>870-CV11</f>
        <v>823</v>
      </c>
      <c r="CW10" s="682">
        <f>SUM(CS10:CV10)</f>
        <v>2650</v>
      </c>
      <c r="CX10" s="681">
        <f>787-CX11</f>
        <v>740</v>
      </c>
      <c r="CY10" s="681">
        <f>928-CY11</f>
        <v>879</v>
      </c>
      <c r="CZ10" s="681">
        <f>1067-CZ11</f>
        <v>1017</v>
      </c>
      <c r="DA10" s="681">
        <f>1110-1-DA11</f>
        <v>1056</v>
      </c>
      <c r="DB10" s="682">
        <f>SUM(CX10:DA10)</f>
        <v>3692</v>
      </c>
      <c r="DC10" s="681">
        <f>1139-DC11</f>
        <v>1082</v>
      </c>
      <c r="DD10" s="681">
        <f>1148-DD11</f>
        <v>1089</v>
      </c>
      <c r="DE10" s="681">
        <f>1260-14-DE11</f>
        <v>1178</v>
      </c>
      <c r="DF10" s="681">
        <f>998-21-DF11</f>
        <v>899</v>
      </c>
      <c r="DG10" s="682">
        <f>SUM(DC10:DF10)</f>
        <v>4248</v>
      </c>
      <c r="DH10" s="681">
        <f>924-10-DH11</f>
        <v>823</v>
      </c>
      <c r="DI10" s="681">
        <f>1038-2-DI11</f>
        <v>944</v>
      </c>
      <c r="DJ10" s="681">
        <f>1098-DJ11</f>
        <v>1006</v>
      </c>
      <c r="DK10" s="681">
        <f>1090-3-DK11</f>
        <v>981</v>
      </c>
      <c r="DL10" s="682">
        <f>SUM(DH10:DK10)</f>
        <v>3754</v>
      </c>
      <c r="DM10" s="681">
        <f>1076-1-DM11</f>
        <v>968</v>
      </c>
      <c r="DN10" s="681">
        <f>1591-245-17-DN11</f>
        <v>1110</v>
      </c>
      <c r="DO10" s="681">
        <f>1766-86-21-DO11</f>
        <v>1360</v>
      </c>
      <c r="DP10" s="681">
        <f>1846-DP11-92-1</f>
        <v>1466</v>
      </c>
      <c r="DQ10" s="682">
        <f>SUM(DM10:DP10)</f>
        <v>4904</v>
      </c>
      <c r="DR10" s="681">
        <f>2032-87-5-DR11</f>
        <v>1659</v>
      </c>
      <c r="DS10" s="681">
        <f>2292-86-4-DS11</f>
        <v>1916</v>
      </c>
      <c r="DT10" s="681">
        <f>2472-86-DT11</f>
        <v>2088</v>
      </c>
      <c r="DU10" s="681">
        <f>2644-DU11-86</f>
        <v>2249</v>
      </c>
      <c r="DV10" s="682">
        <f>SUM(DR10:DU10)</f>
        <v>7912</v>
      </c>
      <c r="DW10" s="681">
        <f>2857-94-DW11</f>
        <v>2429</v>
      </c>
      <c r="DX10" s="681">
        <f>3789-121-DX11</f>
        <v>3290</v>
      </c>
      <c r="DY10" s="681">
        <f>2754-120-DY11</f>
        <v>2228</v>
      </c>
      <c r="DZ10" s="681">
        <f>2218-120-DZ11-16</f>
        <v>1656</v>
      </c>
      <c r="EA10" s="682">
        <f>SUM(DW10:DZ10)</f>
        <v>9603</v>
      </c>
      <c r="EB10" s="681">
        <f>2544-119-EB11-8</f>
        <v>2033</v>
      </c>
      <c r="EC10" s="681">
        <f>4045-119-EC11-2</f>
        <v>3559</v>
      </c>
      <c r="ED10" s="681">
        <f>4720-119-ED11-26</f>
        <v>4203</v>
      </c>
      <c r="EE10" s="681">
        <f>5312-119-EE11-4</f>
        <v>4802</v>
      </c>
      <c r="EF10" s="682">
        <f>SUM(EB10:EE10)</f>
        <v>14597</v>
      </c>
      <c r="EG10" s="681">
        <f>5638-119-EG11+1</f>
        <v>5110</v>
      </c>
      <c r="EH10" s="681">
        <f>7466-118-EH11+3</f>
        <v>6918</v>
      </c>
      <c r="EI10" s="681">
        <f>8926-116-EI11</f>
        <v>8332</v>
      </c>
      <c r="EJ10" s="681">
        <f>10608-118-EJ11</f>
        <v>9947</v>
      </c>
      <c r="EK10" s="682">
        <f>SUM(EG10:EJ10)</f>
        <v>30307</v>
      </c>
      <c r="EL10" s="681">
        <f>17394-123-3-EL11</f>
        <v>16657</v>
      </c>
      <c r="EM10" s="681">
        <f>12890-49-EM11</f>
        <v>12173</v>
      </c>
      <c r="EN10" s="681">
        <f>15157-48-EN11</f>
        <v>14357</v>
      </c>
      <c r="EO10" s="681">
        <f>17034-48+1-EO11</f>
        <v>16176</v>
      </c>
      <c r="EP10" s="682">
        <f>SUM(EL10:EO10)</f>
        <v>59363</v>
      </c>
      <c r="EQ10" s="681">
        <f>20458-47-28-EQ11</f>
        <v>19386</v>
      </c>
      <c r="ER10" s="681">
        <f>ER7-ER13-ER11</f>
        <v>22285.366465458646</v>
      </c>
      <c r="ES10" s="681">
        <f>ES7-ES13-ES11</f>
        <v>26753.049648267901</v>
      </c>
      <c r="ET10" s="681">
        <f>ET7-ET13-ET11</f>
        <v>30381.226999085004</v>
      </c>
      <c r="EU10" s="682">
        <f>SUM(EQ10:ET10)</f>
        <v>98805.643112811551</v>
      </c>
      <c r="EV10" s="681">
        <f>EV7-EV13-EV11</f>
        <v>33123.565949143434</v>
      </c>
      <c r="EW10" s="681">
        <f>EW7-EW13-EW11</f>
        <v>36409.976810938533</v>
      </c>
      <c r="EX10" s="681">
        <f>EX7-EX13-EX11</f>
        <v>40763.289103081246</v>
      </c>
      <c r="EY10" s="681">
        <f>EY7-EY13-EY11</f>
        <v>43494.499798908946</v>
      </c>
      <c r="EZ10" s="682">
        <f>SUM(EV10:EY10)</f>
        <v>153791.33166207216</v>
      </c>
      <c r="FA10" s="681">
        <f>FA7-FA13-FA11</f>
        <v>44552.545234137884</v>
      </c>
      <c r="FB10" s="681">
        <f>FB7-FB13-FB11</f>
        <v>45972.961479560909</v>
      </c>
      <c r="FC10" s="681">
        <f>FC7-FC13-FC11</f>
        <v>49262.621911055088</v>
      </c>
      <c r="FD10" s="681">
        <f>FD7-FD13-FD11</f>
        <v>51759.257704738062</v>
      </c>
      <c r="FE10" s="682">
        <f>SUM(FA10:FD10)</f>
        <v>191547.38632949194</v>
      </c>
      <c r="FF10" s="681">
        <f>FF7-FF13-FF11</f>
        <v>52055.935119494854</v>
      </c>
      <c r="FG10" s="681">
        <f>FG7-FG13-FG11</f>
        <v>52703.047287923924</v>
      </c>
      <c r="FH10" s="681">
        <f>FH7-FH13-FH11</f>
        <v>54440.475033453258</v>
      </c>
      <c r="FI10" s="681">
        <f>FI7-FI13-FI11</f>
        <v>55640.423168054258</v>
      </c>
      <c r="FJ10" s="682">
        <f>SUM(FF10:FI10)</f>
        <v>214839.88060892629</v>
      </c>
      <c r="FK10" s="681">
        <f>FK7-FK13-FK11</f>
        <v>56491.164056598995</v>
      </c>
      <c r="FL10" s="681">
        <f>FL7-FL13-FL11</f>
        <v>58276.520069751976</v>
      </c>
      <c r="FM10" s="681">
        <f>FM7-FM13-FM11</f>
        <v>61863.427984831302</v>
      </c>
      <c r="FN10" s="681">
        <f>FN7-FN13-FN11</f>
        <v>64404.311135692114</v>
      </c>
      <c r="FO10" s="682">
        <f>SUM(FK10:FN10)</f>
        <v>241035.42324687439</v>
      </c>
      <c r="FP10" s="682"/>
      <c r="FQ10" s="37"/>
    </row>
    <row r="11" spans="1:173">
      <c r="A11" s="171" t="s">
        <v>390</v>
      </c>
      <c r="B11" s="681">
        <v>0</v>
      </c>
      <c r="C11" s="681">
        <v>0</v>
      </c>
      <c r="D11" s="681">
        <v>0</v>
      </c>
      <c r="E11" s="681">
        <v>0</v>
      </c>
      <c r="F11" s="682">
        <f>SUM(B11:E11)</f>
        <v>0</v>
      </c>
      <c r="G11" s="681">
        <v>0.74299999999999999</v>
      </c>
      <c r="H11" s="681">
        <v>0.99400000000000011</v>
      </c>
      <c r="I11" s="681">
        <v>1.0589999999999997</v>
      </c>
      <c r="J11" s="681">
        <v>1.21</v>
      </c>
      <c r="K11" s="682">
        <f>SUM(G11:J11)</f>
        <v>4.0060000000000002</v>
      </c>
      <c r="L11" s="681">
        <v>1.458</v>
      </c>
      <c r="M11" s="681">
        <v>2.1819999999999999</v>
      </c>
      <c r="N11" s="681">
        <v>2.5030000000000001</v>
      </c>
      <c r="O11" s="681">
        <v>2.8629999999999995</v>
      </c>
      <c r="P11" s="682">
        <f>SUM(L11:O11)</f>
        <v>9.0060000000000002</v>
      </c>
      <c r="Q11" s="681">
        <f>3.048</f>
        <v>3.048</v>
      </c>
      <c r="R11" s="681">
        <f>3.311</f>
        <v>3.3109999999999999</v>
      </c>
      <c r="S11" s="681">
        <f>4.362</f>
        <v>4.3620000000000001</v>
      </c>
      <c r="T11" s="681">
        <f>15.724-SUM(Q11:S11)</f>
        <v>5.0030000000000001</v>
      </c>
      <c r="U11" s="682">
        <f>SUM(Q11:T11)</f>
        <v>15.724</v>
      </c>
      <c r="V11" s="681">
        <v>6.1950000000000003</v>
      </c>
      <c r="W11" s="681">
        <v>10.62</v>
      </c>
      <c r="X11" s="681">
        <v>11.916999999999998</v>
      </c>
      <c r="Y11" s="681">
        <v>14.759000000000004</v>
      </c>
      <c r="Z11" s="682">
        <f>SUM(V11:Y11)</f>
        <v>43.491</v>
      </c>
      <c r="AA11" s="681">
        <v>12.83</v>
      </c>
      <c r="AB11" s="681">
        <f>26.899-AA11</f>
        <v>14.069000000000001</v>
      </c>
      <c r="AC11" s="681">
        <v>16.166</v>
      </c>
      <c r="AD11" s="681">
        <v>15.150999999999994</v>
      </c>
      <c r="AE11" s="682">
        <f>SUM(AA11:AD11)</f>
        <v>58.215999999999994</v>
      </c>
      <c r="AF11" s="681">
        <v>15.958</v>
      </c>
      <c r="AG11" s="681">
        <f>35.568-AF11</f>
        <v>19.61</v>
      </c>
      <c r="AH11" s="681">
        <f>58.41-+AG11-AF11</f>
        <v>22.841999999999999</v>
      </c>
      <c r="AI11" s="681">
        <f>82.016-SUM(AF11:AH11)</f>
        <v>23.606000000000009</v>
      </c>
      <c r="AJ11" s="682">
        <f>SUM(AF11:AI11)</f>
        <v>82.016000000000005</v>
      </c>
      <c r="AK11" s="681">
        <v>23.411999999999999</v>
      </c>
      <c r="AL11" s="681">
        <f>47.486-AK11</f>
        <v>24.073999999999998</v>
      </c>
      <c r="AM11" s="681">
        <f>71.512-+AL11-AK11</f>
        <v>24.026000000000003</v>
      </c>
      <c r="AN11" s="681">
        <f>102.597-SUM(AK11:AM11)</f>
        <v>31.084999999999994</v>
      </c>
      <c r="AO11" s="682">
        <f>SUM(AK11:AN11)</f>
        <v>102.59699999999999</v>
      </c>
      <c r="AP11" s="681">
        <v>24.893000000000001</v>
      </c>
      <c r="AQ11" s="681">
        <f>49.667-AP11</f>
        <v>24.774000000000001</v>
      </c>
      <c r="AR11" s="681">
        <f>74.189-SUM(AP11:AQ11)</f>
        <v>24.521999999999991</v>
      </c>
      <c r="AS11" s="681">
        <f>97.977-SUM(AP11:AR11)</f>
        <v>23.788000000000011</v>
      </c>
      <c r="AT11" s="682">
        <f>SUM(AP11:AS11)</f>
        <v>97.977000000000004</v>
      </c>
      <c r="AU11" s="681">
        <f t="shared" ref="AU11:BE11" si="4">AU114</f>
        <v>24.030999999999999</v>
      </c>
      <c r="AV11" s="681">
        <f t="shared" si="4"/>
        <v>24.207999999999998</v>
      </c>
      <c r="AW11" s="681">
        <f t="shared" si="4"/>
        <v>25.030999999999999</v>
      </c>
      <c r="AX11" s="681">
        <f t="shared" si="4"/>
        <v>34.292000000000002</v>
      </c>
      <c r="AY11" s="682">
        <f>SUM(AU11:AX11)</f>
        <v>107.562</v>
      </c>
      <c r="AZ11" s="681">
        <f t="shared" si="4"/>
        <v>31.334</v>
      </c>
      <c r="BA11" s="681">
        <f t="shared" si="4"/>
        <v>31.891999999999999</v>
      </c>
      <c r="BB11" s="681">
        <f t="shared" si="4"/>
        <v>33.03</v>
      </c>
      <c r="BC11" s="681">
        <f t="shared" si="4"/>
        <v>36.936000000000007</v>
      </c>
      <c r="BD11" s="682">
        <f>SUM(AZ11:BC11)</f>
        <v>133.19200000000001</v>
      </c>
      <c r="BE11" s="681">
        <f t="shared" si="4"/>
        <v>41.357999999999997</v>
      </c>
      <c r="BF11" s="681">
        <v>46</v>
      </c>
      <c r="BG11" s="681">
        <v>49.3</v>
      </c>
      <c r="BH11" s="681">
        <f>BH114</f>
        <v>48.055000000000014</v>
      </c>
      <c r="BI11" s="682">
        <f>SUM(BE11:BH11)</f>
        <v>184.71300000000002</v>
      </c>
      <c r="BJ11" s="681">
        <v>48.1</v>
      </c>
      <c r="BK11" s="681">
        <v>49</v>
      </c>
      <c r="BL11" s="681">
        <v>48</v>
      </c>
      <c r="BM11" s="681">
        <v>48</v>
      </c>
      <c r="BN11" s="682">
        <f>SUM(BJ11:BM11)</f>
        <v>193.1</v>
      </c>
      <c r="BO11" s="681">
        <v>47.146999999999998</v>
      </c>
      <c r="BP11" s="681">
        <v>46.573</v>
      </c>
      <c r="BQ11" s="681">
        <v>46.875999999999998</v>
      </c>
      <c r="BR11" s="681">
        <f>BR114</f>
        <v>46.392999999999994</v>
      </c>
      <c r="BS11" s="682">
        <f>SUM(BO11:BR11)</f>
        <v>186.989</v>
      </c>
      <c r="BT11" s="681">
        <v>47.764000000000003</v>
      </c>
      <c r="BU11" s="681">
        <f>99.923-BT11</f>
        <v>52.158999999999999</v>
      </c>
      <c r="BV11" s="681">
        <v>52.4</v>
      </c>
      <c r="BW11" s="681">
        <v>51.882000000000012</v>
      </c>
      <c r="BX11" s="682">
        <f>SUM(BT11:BW11)</f>
        <v>204.20500000000001</v>
      </c>
      <c r="BY11" s="681">
        <v>54.491</v>
      </c>
      <c r="BZ11" s="681">
        <f>110.686-BY11</f>
        <v>56.195000000000007</v>
      </c>
      <c r="CA11" s="681">
        <f>167.834-BZ11-BY11</f>
        <v>57.147999999999996</v>
      </c>
      <c r="CB11" s="681">
        <v>58.5</v>
      </c>
      <c r="CC11" s="682">
        <f>SUM(BY11:CB11)</f>
        <v>226.334</v>
      </c>
      <c r="CD11" s="681">
        <v>59.744</v>
      </c>
      <c r="CE11" s="681">
        <f>121.584-CD11</f>
        <v>61.84</v>
      </c>
      <c r="CF11" s="681">
        <f>184.31-CE11-CD11</f>
        <v>62.725999999999999</v>
      </c>
      <c r="CG11" s="681">
        <f>239.148-CF11-CE11-CD11</f>
        <v>54.837999999999994</v>
      </c>
      <c r="CH11" s="682">
        <f>SUM(CD11:CG11)</f>
        <v>239.148</v>
      </c>
      <c r="CI11" s="681">
        <v>55.082999999999998</v>
      </c>
      <c r="CJ11" s="681">
        <f>110.69-CI11</f>
        <v>55.606999999999999</v>
      </c>
      <c r="CK11" s="681">
        <v>55</v>
      </c>
      <c r="CL11" s="681">
        <v>55</v>
      </c>
      <c r="CM11" s="682">
        <f>SUM(CI11:CL11)</f>
        <v>220.69</v>
      </c>
      <c r="CN11" s="681">
        <v>54</v>
      </c>
      <c r="CO11" s="681">
        <v>54</v>
      </c>
      <c r="CP11" s="681">
        <v>48</v>
      </c>
      <c r="CQ11" s="681">
        <v>46</v>
      </c>
      <c r="CR11" s="682">
        <f>SUM(CN11:CQ11)</f>
        <v>202</v>
      </c>
      <c r="CS11" s="681">
        <v>45</v>
      </c>
      <c r="CT11" s="681">
        <v>47</v>
      </c>
      <c r="CU11" s="681">
        <v>48</v>
      </c>
      <c r="CV11" s="681">
        <v>47</v>
      </c>
      <c r="CW11" s="682">
        <f>SUM(CS11:CV11)</f>
        <v>187</v>
      </c>
      <c r="CX11" s="681">
        <v>47</v>
      </c>
      <c r="CY11" s="681">
        <v>49</v>
      </c>
      <c r="CZ11" s="681">
        <v>50</v>
      </c>
      <c r="DA11" s="681">
        <v>53</v>
      </c>
      <c r="DB11" s="682">
        <f>SUM(CX11:DA11)</f>
        <v>199</v>
      </c>
      <c r="DC11" s="681">
        <v>57</v>
      </c>
      <c r="DD11" s="681">
        <v>59</v>
      </c>
      <c r="DE11" s="681">
        <v>68</v>
      </c>
      <c r="DF11" s="681">
        <v>78</v>
      </c>
      <c r="DG11" s="682">
        <f>SUM(DC11:DF11)</f>
        <v>262</v>
      </c>
      <c r="DH11" s="681">
        <v>91</v>
      </c>
      <c r="DI11" s="681">
        <v>92</v>
      </c>
      <c r="DJ11" s="681">
        <v>92</v>
      </c>
      <c r="DK11" s="681">
        <v>106</v>
      </c>
      <c r="DL11" s="682">
        <f>SUM(DH11:DK11)</f>
        <v>381</v>
      </c>
      <c r="DM11" s="681">
        <v>107</v>
      </c>
      <c r="DN11" s="681">
        <f>404-185</f>
        <v>219</v>
      </c>
      <c r="DO11" s="681">
        <v>299</v>
      </c>
      <c r="DP11" s="681">
        <v>287</v>
      </c>
      <c r="DQ11" s="682">
        <f>SUM(DM11:DP11)</f>
        <v>912</v>
      </c>
      <c r="DR11" s="681">
        <v>281</v>
      </c>
      <c r="DS11" s="681">
        <f>286</f>
        <v>286</v>
      </c>
      <c r="DT11" s="681">
        <v>298</v>
      </c>
      <c r="DU11" s="681">
        <v>309</v>
      </c>
      <c r="DV11" s="682">
        <f>SUM(DR11:DU11)</f>
        <v>1174</v>
      </c>
      <c r="DW11" s="681">
        <v>334</v>
      </c>
      <c r="DX11" s="681">
        <v>378</v>
      </c>
      <c r="DY11" s="681">
        <v>406</v>
      </c>
      <c r="DZ11" s="681">
        <v>426</v>
      </c>
      <c r="EA11" s="682">
        <f>SUM(DW11:DZ11)</f>
        <v>1544</v>
      </c>
      <c r="EB11" s="681">
        <v>384</v>
      </c>
      <c r="EC11" s="681">
        <v>365</v>
      </c>
      <c r="ED11" s="681">
        <v>372</v>
      </c>
      <c r="EE11" s="681">
        <v>387</v>
      </c>
      <c r="EF11" s="682">
        <f>SUM(EB11:EE11)</f>
        <v>1508</v>
      </c>
      <c r="EG11" s="681">
        <v>410</v>
      </c>
      <c r="EH11" s="681">
        <v>433</v>
      </c>
      <c r="EI11" s="681">
        <v>478</v>
      </c>
      <c r="EJ11" s="681">
        <v>543</v>
      </c>
      <c r="EK11" s="682">
        <f>SUM(EG11:EJ11)</f>
        <v>1864</v>
      </c>
      <c r="EL11" s="681">
        <v>611</v>
      </c>
      <c r="EM11" s="681">
        <v>668</v>
      </c>
      <c r="EN11" s="681">
        <v>752</v>
      </c>
      <c r="EO11" s="681">
        <v>811</v>
      </c>
      <c r="EP11" s="682">
        <f>SUM(EL11:EO11)</f>
        <v>2842</v>
      </c>
      <c r="EQ11" s="681">
        <v>997</v>
      </c>
      <c r="ER11" s="683">
        <f>Worksheet!CY11</f>
        <v>1002</v>
      </c>
      <c r="ES11" s="683">
        <f>Worksheet!CZ11</f>
        <v>1007</v>
      </c>
      <c r="ET11" s="683">
        <f>Worksheet!DA11</f>
        <v>1012</v>
      </c>
      <c r="EU11" s="682">
        <f>SUM(EQ11:ET11)</f>
        <v>4018</v>
      </c>
      <c r="EV11" s="683">
        <f>Worksheet!DB11</f>
        <v>1017</v>
      </c>
      <c r="EW11" s="683">
        <f>Worksheet!DC11</f>
        <v>1022</v>
      </c>
      <c r="EX11" s="683">
        <f>Worksheet!DD11</f>
        <v>1027</v>
      </c>
      <c r="EY11" s="683">
        <f>Worksheet!DE11</f>
        <v>1032</v>
      </c>
      <c r="EZ11" s="682">
        <f>SUM(EV11:EY11)</f>
        <v>4098</v>
      </c>
      <c r="FA11" s="683">
        <f>Worksheet!DF11</f>
        <v>1037</v>
      </c>
      <c r="FB11" s="683">
        <f>Worksheet!DG11</f>
        <v>1042</v>
      </c>
      <c r="FC11" s="683">
        <f>Worksheet!DH11</f>
        <v>1047</v>
      </c>
      <c r="FD11" s="683">
        <f>Worksheet!DI11</f>
        <v>1052</v>
      </c>
      <c r="FE11" s="682">
        <f>SUM(FA11:FD11)</f>
        <v>4178</v>
      </c>
      <c r="FF11" s="683">
        <f>Worksheet!DJ11</f>
        <v>1057</v>
      </c>
      <c r="FG11" s="683">
        <f>Worksheet!DK11</f>
        <v>1062</v>
      </c>
      <c r="FH11" s="683">
        <f>Worksheet!DL11</f>
        <v>1067</v>
      </c>
      <c r="FI11" s="683">
        <f>Worksheet!DM11</f>
        <v>1072</v>
      </c>
      <c r="FJ11" s="682">
        <f>SUM(FF11:FI11)</f>
        <v>4258</v>
      </c>
      <c r="FK11" s="683">
        <f>Worksheet!DN11</f>
        <v>1077</v>
      </c>
      <c r="FL11" s="683">
        <f>Worksheet!DO11</f>
        <v>1082</v>
      </c>
      <c r="FM11" s="683">
        <f>Worksheet!DP11</f>
        <v>1087</v>
      </c>
      <c r="FN11" s="683">
        <f>Worksheet!DQ11</f>
        <v>1092</v>
      </c>
      <c r="FO11" s="682">
        <f>SUM(FK11:FN11)</f>
        <v>4338</v>
      </c>
      <c r="FP11" s="682"/>
      <c r="FQ11" s="37"/>
    </row>
    <row r="12" spans="1:173" ht="12" customHeight="1">
      <c r="B12" s="149"/>
      <c r="C12" s="149"/>
      <c r="D12" s="149"/>
      <c r="E12" s="149"/>
      <c r="G12" s="149"/>
      <c r="H12" s="149"/>
      <c r="I12" s="149"/>
      <c r="J12" s="149"/>
      <c r="L12" s="149"/>
      <c r="M12" s="149"/>
      <c r="N12" s="149"/>
      <c r="O12" s="149"/>
      <c r="Q12" s="149"/>
      <c r="R12" s="149"/>
      <c r="S12" s="149"/>
      <c r="T12" s="149"/>
      <c r="V12" s="149"/>
      <c r="W12" s="149"/>
      <c r="X12" s="149"/>
      <c r="Y12" s="149"/>
      <c r="AA12" s="149"/>
      <c r="AB12" s="149"/>
      <c r="AC12" s="149"/>
      <c r="AD12" s="149"/>
      <c r="AE12" s="148"/>
      <c r="AF12" s="149"/>
      <c r="AJ12" s="148"/>
      <c r="AO12" s="148"/>
      <c r="AT12" s="148"/>
      <c r="AY12" s="148"/>
      <c r="BD12" s="148"/>
      <c r="BI12" s="148"/>
      <c r="BN12" s="148"/>
      <c r="BS12" s="148"/>
      <c r="BX12" s="148"/>
      <c r="CC12" s="148"/>
      <c r="CH12" s="148"/>
      <c r="CM12" s="148"/>
      <c r="CR12" s="148"/>
      <c r="CW12" s="148"/>
      <c r="DG12" s="148"/>
      <c r="DL12" s="148"/>
      <c r="DO12" s="172"/>
      <c r="DP12" s="172"/>
      <c r="DQ12" s="148"/>
      <c r="DV12" s="148"/>
      <c r="EA12" s="148"/>
      <c r="EF12" s="148"/>
      <c r="EK12" s="148"/>
      <c r="EP12" s="148"/>
      <c r="EU12" s="148"/>
      <c r="EZ12" s="148"/>
      <c r="FE12" s="148"/>
      <c r="FJ12" s="148"/>
      <c r="FO12" s="148"/>
      <c r="FP12" s="148"/>
      <c r="FQ12" s="37"/>
    </row>
    <row r="13" spans="1:173" s="169" customFormat="1" ht="12" customHeight="1">
      <c r="A13" s="147" t="s">
        <v>391</v>
      </c>
      <c r="B13" s="681">
        <f t="shared" ref="B13:BK13" si="5">B7-B10-B11</f>
        <v>-0.14299999999999999</v>
      </c>
      <c r="C13" s="681">
        <f t="shared" si="5"/>
        <v>-0.14399999999999999</v>
      </c>
      <c r="D13" s="681">
        <f t="shared" si="5"/>
        <v>0.91800000000000015</v>
      </c>
      <c r="E13" s="681">
        <f t="shared" si="5"/>
        <v>7.1960000000000015</v>
      </c>
      <c r="F13" s="682">
        <f>SUM(B13:E13)</f>
        <v>7.8270000000000017</v>
      </c>
      <c r="G13" s="681">
        <f t="shared" si="5"/>
        <v>7.3900000000000023</v>
      </c>
      <c r="H13" s="681">
        <f t="shared" si="5"/>
        <v>-0.82700000000000029</v>
      </c>
      <c r="I13" s="681">
        <f t="shared" si="5"/>
        <v>18.736999999999991</v>
      </c>
      <c r="J13" s="681">
        <f t="shared" si="5"/>
        <v>23.19100000000001</v>
      </c>
      <c r="K13" s="682">
        <f>SUM(G13:J13)</f>
        <v>48.491</v>
      </c>
      <c r="L13" s="681">
        <f t="shared" si="5"/>
        <v>25.072000000000003</v>
      </c>
      <c r="M13" s="681">
        <f t="shared" si="5"/>
        <v>28.791999999999998</v>
      </c>
      <c r="N13" s="681">
        <f t="shared" si="5"/>
        <v>40.268000000000001</v>
      </c>
      <c r="O13" s="681">
        <f t="shared" si="5"/>
        <v>47.711000000000013</v>
      </c>
      <c r="P13" s="682">
        <f>SUM(L13:O13)</f>
        <v>141.84300000000002</v>
      </c>
      <c r="Q13" s="681">
        <f t="shared" si="5"/>
        <v>51.519000000000005</v>
      </c>
      <c r="R13" s="681">
        <f t="shared" si="5"/>
        <v>63.984000000000016</v>
      </c>
      <c r="S13" s="681">
        <f t="shared" si="5"/>
        <v>73.891999999999996</v>
      </c>
      <c r="T13" s="681">
        <f t="shared" si="5"/>
        <v>83.483999999999966</v>
      </c>
      <c r="U13" s="682">
        <f>SUM(Q13:T13)</f>
        <v>272.87899999999996</v>
      </c>
      <c r="V13" s="681">
        <f>V7-V10-V11</f>
        <v>94.22</v>
      </c>
      <c r="W13" s="681">
        <f t="shared" si="5"/>
        <v>102.239</v>
      </c>
      <c r="X13" s="681">
        <f t="shared" si="5"/>
        <v>133.46799999999999</v>
      </c>
      <c r="Y13" s="681">
        <f t="shared" si="5"/>
        <v>189.31099999999998</v>
      </c>
      <c r="Z13" s="682">
        <f>SUM(V13:Y13)</f>
        <v>519.23800000000006</v>
      </c>
      <c r="AA13" s="681">
        <f t="shared" si="5"/>
        <v>207.16499999999994</v>
      </c>
      <c r="AB13" s="681">
        <f t="shared" si="5"/>
        <v>120.30200000000004</v>
      </c>
      <c r="AC13" s="681">
        <f t="shared" si="5"/>
        <v>108.19799999999998</v>
      </c>
      <c r="AD13" s="681">
        <f t="shared" si="5"/>
        <v>127.14599999999997</v>
      </c>
      <c r="AE13" s="682">
        <f>SUM(AA13:AD13)</f>
        <v>562.81099999999992</v>
      </c>
      <c r="AF13" s="681">
        <f t="shared" si="5"/>
        <v>126.56800000000001</v>
      </c>
      <c r="AG13" s="681">
        <f t="shared" si="5"/>
        <v>129.97399999999999</v>
      </c>
      <c r="AH13" s="681">
        <f t="shared" si="5"/>
        <v>134.13100000000003</v>
      </c>
      <c r="AI13" s="681">
        <f t="shared" si="5"/>
        <v>138.20500000000004</v>
      </c>
      <c r="AJ13" s="682">
        <f>SUM(AF13:AI13)</f>
        <v>528.87800000000016</v>
      </c>
      <c r="AK13" s="681">
        <f t="shared" si="5"/>
        <v>148.83599999999993</v>
      </c>
      <c r="AL13" s="681">
        <f t="shared" si="5"/>
        <v>140.09299999999996</v>
      </c>
      <c r="AM13" s="681">
        <f t="shared" si="5"/>
        <v>166.74200000000002</v>
      </c>
      <c r="AN13" s="681">
        <f t="shared" si="5"/>
        <v>193.815</v>
      </c>
      <c r="AO13" s="682">
        <f>SUM(AK13:AN13)</f>
        <v>649.48599999999988</v>
      </c>
      <c r="AP13" s="681">
        <f t="shared" si="5"/>
        <v>210.15300000000005</v>
      </c>
      <c r="AQ13" s="681">
        <f t="shared" si="5"/>
        <v>217.53399999999999</v>
      </c>
      <c r="AR13" s="681">
        <f t="shared" si="5"/>
        <v>228.16799999999995</v>
      </c>
      <c r="AS13" s="681">
        <f t="shared" si="5"/>
        <v>254.94000000000005</v>
      </c>
      <c r="AT13" s="682">
        <f>SUM(AP13:AS13)</f>
        <v>910.79500000000007</v>
      </c>
      <c r="AU13" s="681">
        <f t="shared" si="5"/>
        <v>288.673</v>
      </c>
      <c r="AV13" s="681">
        <f t="shared" si="5"/>
        <v>292.12800000000004</v>
      </c>
      <c r="AW13" s="681">
        <f t="shared" si="5"/>
        <v>349.94200000000001</v>
      </c>
      <c r="AX13" s="681">
        <f t="shared" si="5"/>
        <v>385.70600000000002</v>
      </c>
      <c r="AY13" s="682">
        <f>SUM(AU13:AX13)</f>
        <v>1316.4490000000001</v>
      </c>
      <c r="AZ13" s="681">
        <f t="shared" si="5"/>
        <v>380.13799999999998</v>
      </c>
      <c r="BA13" s="681">
        <f t="shared" si="5"/>
        <v>423.99200000000002</v>
      </c>
      <c r="BB13" s="681">
        <f t="shared" si="5"/>
        <v>515.553</v>
      </c>
      <c r="BC13" s="681">
        <f>BC7-BC10-BC11</f>
        <v>549.59699999999998</v>
      </c>
      <c r="BD13" s="682">
        <f>SUM(AZ13:BC13)</f>
        <v>1869.28</v>
      </c>
      <c r="BE13" s="681">
        <f t="shared" si="5"/>
        <v>514.84299999999996</v>
      </c>
      <c r="BF13" s="681">
        <f t="shared" si="5"/>
        <v>345.87099999999998</v>
      </c>
      <c r="BG13" s="681">
        <f t="shared" si="5"/>
        <v>318.54299999999995</v>
      </c>
      <c r="BH13" s="681">
        <f t="shared" si="5"/>
        <v>141.666</v>
      </c>
      <c r="BI13" s="682">
        <f>SUM(BE13:BH13)</f>
        <v>1320.9229999999998</v>
      </c>
      <c r="BJ13" s="681">
        <f t="shared" si="5"/>
        <v>201.10800000000003</v>
      </c>
      <c r="BK13" s="681">
        <f t="shared" si="5"/>
        <v>276.71599999999995</v>
      </c>
      <c r="BL13" s="681">
        <f>BL7-BL10-BL11</f>
        <v>367.66800000000001</v>
      </c>
      <c r="BM13" s="681">
        <f t="shared" ref="BM13:CG13" si="6">BM7-BM10-BM11</f>
        <v>438.721</v>
      </c>
      <c r="BN13" s="682">
        <f>SUM(BJ13:BM13)</f>
        <v>1284.213</v>
      </c>
      <c r="BO13" s="681">
        <f t="shared" si="6"/>
        <v>456.37699999999995</v>
      </c>
      <c r="BP13" s="681">
        <f t="shared" si="6"/>
        <v>315.4849999999999</v>
      </c>
      <c r="BQ13" s="681">
        <f t="shared" si="6"/>
        <v>392.06200000000001</v>
      </c>
      <c r="BR13" s="681">
        <f t="shared" si="6"/>
        <v>426.35899999999998</v>
      </c>
      <c r="BS13" s="682">
        <f>SUM(BO13:BR13)</f>
        <v>1590.2829999999999</v>
      </c>
      <c r="BT13" s="681">
        <f t="shared" si="6"/>
        <v>484.50300000000004</v>
      </c>
      <c r="BU13" s="681">
        <f t="shared" si="6"/>
        <v>525.28399999999999</v>
      </c>
      <c r="BV13" s="681">
        <f t="shared" si="6"/>
        <v>556.71699999999998</v>
      </c>
      <c r="BW13" s="681">
        <f t="shared" si="6"/>
        <v>497.31299999999993</v>
      </c>
      <c r="BX13" s="682">
        <f>SUM(BT13:BW13)</f>
        <v>2063.817</v>
      </c>
      <c r="BY13" s="681">
        <f t="shared" si="6"/>
        <v>463.36400000000003</v>
      </c>
      <c r="BZ13" s="681">
        <f t="shared" si="6"/>
        <v>540.71899999999994</v>
      </c>
      <c r="CA13" s="681">
        <f t="shared" si="6"/>
        <v>636.6579999999999</v>
      </c>
      <c r="CB13" s="681">
        <f t="shared" si="6"/>
        <v>585.60200000000009</v>
      </c>
      <c r="CC13" s="682">
        <f>SUM(BY13:CB13)</f>
        <v>2226.3429999999998</v>
      </c>
      <c r="CD13" s="681">
        <f t="shared" si="6"/>
        <v>518.56799999999998</v>
      </c>
      <c r="CE13" s="681">
        <f t="shared" si="6"/>
        <v>547.82800000000009</v>
      </c>
      <c r="CF13" s="681">
        <f t="shared" si="6"/>
        <v>584.41500000000008</v>
      </c>
      <c r="CG13" s="681">
        <f t="shared" si="6"/>
        <v>612.91000000000008</v>
      </c>
      <c r="CH13" s="682">
        <f>SUM(CD13:CG13)</f>
        <v>2263.7210000000005</v>
      </c>
      <c r="CI13" s="681">
        <f>CI7-CI10-CI11</f>
        <v>604.20200000000011</v>
      </c>
      <c r="CJ13" s="681">
        <f>CJ7-CJ10-CJ11</f>
        <v>618.97400000000005</v>
      </c>
      <c r="CK13" s="681">
        <f>CK7-CK10-CK11</f>
        <v>676.69800000000009</v>
      </c>
      <c r="CL13" s="681">
        <f>CL7-CL10-CL11</f>
        <v>699.60299999999995</v>
      </c>
      <c r="CM13" s="682">
        <f>SUM(CI13:CL13)</f>
        <v>2599.4770000000003</v>
      </c>
      <c r="CN13" s="681">
        <f>CN7-CN10-CN11</f>
        <v>653</v>
      </c>
      <c r="CO13" s="681">
        <f>CO7-CO10-CO11</f>
        <v>649</v>
      </c>
      <c r="CP13" s="681">
        <f>CP7-CP10-CP11</f>
        <v>734</v>
      </c>
      <c r="CQ13" s="681">
        <f>CQ7-CQ10-CQ11</f>
        <v>796</v>
      </c>
      <c r="CR13" s="682">
        <f>SUM(CN13:CQ13)</f>
        <v>2832</v>
      </c>
      <c r="CS13" s="681">
        <f>CS7-CS10-CS11</f>
        <v>761</v>
      </c>
      <c r="CT13" s="681">
        <f>CT7-CT10-CT11</f>
        <v>826</v>
      </c>
      <c r="CU13" s="681">
        <f>CU7-CU10-CU11</f>
        <v>1183</v>
      </c>
      <c r="CV13" s="681">
        <f>CV7-CV10-CV11</f>
        <v>1303</v>
      </c>
      <c r="CW13" s="682">
        <f>SUM(CS13:CV13)</f>
        <v>4073</v>
      </c>
      <c r="CX13" s="681">
        <f>CX7-CX10-CX11</f>
        <v>1150</v>
      </c>
      <c r="CY13" s="681">
        <f>CY7-CY10-CY11</f>
        <v>1302</v>
      </c>
      <c r="CZ13" s="681">
        <f>CZ7-CZ10-CZ11</f>
        <v>1569</v>
      </c>
      <c r="DA13" s="681">
        <f>DA7-DA10-DA11</f>
        <v>1802</v>
      </c>
      <c r="DB13" s="682">
        <f>SUM(CX13:DA13)</f>
        <v>5823</v>
      </c>
      <c r="DC13" s="681">
        <f>DC7-DC10-DC11</f>
        <v>2068</v>
      </c>
      <c r="DD13" s="681">
        <f>DD7-DD10-DD11</f>
        <v>1975</v>
      </c>
      <c r="DE13" s="681">
        <f>DE7-DE10-DE11</f>
        <v>1935</v>
      </c>
      <c r="DF13" s="681">
        <f>DF7-DF10-DF11</f>
        <v>1228</v>
      </c>
      <c r="DG13" s="682">
        <f>SUM(DC13:DF13)</f>
        <v>7206</v>
      </c>
      <c r="DH13" s="681">
        <f>DH7-DH10-DH11</f>
        <v>1306</v>
      </c>
      <c r="DI13" s="681">
        <f>DI7-DI10-DI11</f>
        <v>1543</v>
      </c>
      <c r="DJ13" s="681">
        <f>DJ7-DJ10-DJ11</f>
        <v>1916</v>
      </c>
      <c r="DK13" s="681">
        <f>DK7-DK10-DK11</f>
        <v>2018</v>
      </c>
      <c r="DL13" s="682">
        <f>SUM(DH13:DK13)</f>
        <v>6783</v>
      </c>
      <c r="DM13" s="681">
        <f>DM7-DM10-DM11</f>
        <v>2005</v>
      </c>
      <c r="DN13" s="681">
        <f>DN7-DN10-DN11</f>
        <v>2537</v>
      </c>
      <c r="DO13" s="681">
        <f>DO7-DO10-DO11</f>
        <v>3067</v>
      </c>
      <c r="DP13" s="681">
        <f>DP7-DP10-DP11</f>
        <v>3250</v>
      </c>
      <c r="DQ13" s="682">
        <f>SUM(DM13:DP13)</f>
        <v>10859</v>
      </c>
      <c r="DR13" s="681">
        <f>DR7-DR10-DR11</f>
        <v>3721</v>
      </c>
      <c r="DS13" s="681">
        <f>DS7-DS10-DS11</f>
        <v>4305</v>
      </c>
      <c r="DT13" s="681">
        <f>DT7-DT10-DT11</f>
        <v>4717</v>
      </c>
      <c r="DU13" s="681">
        <f>DU7-DU10-DU11</f>
        <v>5085</v>
      </c>
      <c r="DV13" s="682">
        <f>SUM(DR13:DU13)</f>
        <v>17828</v>
      </c>
      <c r="DW13" s="681">
        <f>DW7-DW10-DW11</f>
        <v>5525</v>
      </c>
      <c r="DX13" s="681">
        <f>DX7-DX10-DX11</f>
        <v>3036</v>
      </c>
      <c r="DY13" s="681">
        <f>DY7-DY10-DY11</f>
        <v>3297</v>
      </c>
      <c r="DZ13" s="681">
        <f>DZ7-DZ10-DZ11</f>
        <v>3969</v>
      </c>
      <c r="EA13" s="682">
        <f>SUM(DW13:DZ13)</f>
        <v>15827</v>
      </c>
      <c r="EB13" s="681">
        <f>EB7-EB10-EB11</f>
        <v>4775</v>
      </c>
      <c r="EC13" s="681">
        <f>EC7-EC10-EC11</f>
        <v>9583</v>
      </c>
      <c r="ED13" s="681">
        <f>ED7-ED10-ED11</f>
        <v>13545</v>
      </c>
      <c r="EE13" s="681">
        <f>EE7-EE10-EE11</f>
        <v>16914</v>
      </c>
      <c r="EF13" s="682">
        <f>SUM(EB13:EE13)</f>
        <v>44817</v>
      </c>
      <c r="EG13" s="681">
        <f>EG7-EG10-EG11</f>
        <v>20524</v>
      </c>
      <c r="EH13" s="681">
        <f>EH7-EH10-EH11</f>
        <v>22689</v>
      </c>
      <c r="EI13" s="681">
        <f>EI7-EI10-EI11</f>
        <v>26272</v>
      </c>
      <c r="EJ13" s="681">
        <f>EJ7-EJ10-EJ11</f>
        <v>28841</v>
      </c>
      <c r="EK13" s="682">
        <f>SUM(EG13:EJ13)</f>
        <v>98326</v>
      </c>
      <c r="EL13" s="681">
        <f>EL7-EL10-EL11</f>
        <v>26794</v>
      </c>
      <c r="EM13" s="681">
        <f>EM7-EM10-EM11</f>
        <v>33902</v>
      </c>
      <c r="EN13" s="681">
        <f>EN7-EN10-EN11</f>
        <v>41897</v>
      </c>
      <c r="EO13" s="681">
        <f>EO7-EO10-EO11</f>
        <v>51140</v>
      </c>
      <c r="EP13" s="682">
        <f>SUM(EL13:EO13)</f>
        <v>153733</v>
      </c>
      <c r="EQ13" s="681">
        <f>EQ7-EQ10-EQ11</f>
        <v>61232</v>
      </c>
      <c r="ER13" s="683">
        <f>Worksheet!CY15</f>
        <v>69762.329024745879</v>
      </c>
      <c r="ES13" s="683">
        <f>Worksheet!CZ15</f>
        <v>82897.341310481555</v>
      </c>
      <c r="ET13" s="683">
        <f>Worksheet!DA15</f>
        <v>94138.734017705268</v>
      </c>
      <c r="EU13" s="682">
        <f>SUM(EQ13:ET13)</f>
        <v>308030.4043529327</v>
      </c>
      <c r="EV13" s="683">
        <f>Worksheet!DB15</f>
        <v>102911.14313286307</v>
      </c>
      <c r="EW13" s="683">
        <f>Worksheet!DC15</f>
        <v>113026.68517125474</v>
      </c>
      <c r="EX13" s="683">
        <f>Worksheet!DD15</f>
        <v>126402.8754569263</v>
      </c>
      <c r="EY13" s="683">
        <f>Worksheet!DE15</f>
        <v>134889.8051535016</v>
      </c>
      <c r="EZ13" s="682">
        <f>SUM(EV13:EY13)</f>
        <v>477230.50891454564</v>
      </c>
      <c r="FA13" s="683">
        <f>Worksheet!DF15</f>
        <v>138478.6508492351</v>
      </c>
      <c r="FB13" s="683">
        <f>Worksheet!DG15</f>
        <v>142728.58288522091</v>
      </c>
      <c r="FC13" s="683">
        <f>Worksheet!DH15</f>
        <v>152727.92493096041</v>
      </c>
      <c r="FD13" s="683">
        <f>Worksheet!DI15</f>
        <v>160362.35926204207</v>
      </c>
      <c r="FE13" s="682">
        <f>SUM(FA13:FD13)</f>
        <v>594297.51792745851</v>
      </c>
      <c r="FF13" s="683">
        <f>Worksheet!DJ15</f>
        <v>161580.81841010327</v>
      </c>
      <c r="FG13" s="683">
        <f>Worksheet!DK15</f>
        <v>163390.34211770399</v>
      </c>
      <c r="FH13" s="683">
        <f>Worksheet!DL15</f>
        <v>168500.16568506835</v>
      </c>
      <c r="FI13" s="683">
        <f>Worksheet!DM15</f>
        <v>172044.64989220275</v>
      </c>
      <c r="FJ13" s="682">
        <f>SUM(FF13:FI13)</f>
        <v>665515.97610507836</v>
      </c>
      <c r="FK13" s="683">
        <f>Worksheet!DN15</f>
        <v>175013.30682541861</v>
      </c>
      <c r="FL13" s="683">
        <f>Worksheet!DO15</f>
        <v>180363.14381941789</v>
      </c>
      <c r="FM13" s="683">
        <f>Worksheet!DP15</f>
        <v>191231.66255754282</v>
      </c>
      <c r="FN13" s="683">
        <f>Worksheet!DQ15</f>
        <v>198946.16427741846</v>
      </c>
      <c r="FO13" s="682">
        <f>SUM(FK13:FN13)</f>
        <v>745554.27747979783</v>
      </c>
      <c r="FP13" s="682"/>
      <c r="FQ13" s="37"/>
    </row>
    <row r="14" spans="1:173" ht="12" customHeight="1">
      <c r="A14" s="686" t="s">
        <v>392</v>
      </c>
      <c r="B14" s="684">
        <f t="shared" ref="B14:BM14" si="7">B13/B7</f>
        <v>-2.1999999999999997</v>
      </c>
      <c r="C14" s="684">
        <f t="shared" si="7"/>
        <v>-23.999999999999996</v>
      </c>
      <c r="D14" s="684">
        <f t="shared" si="7"/>
        <v>0.16794731064763999</v>
      </c>
      <c r="E14" s="684">
        <f t="shared" si="7"/>
        <v>0.30577037477691854</v>
      </c>
      <c r="F14" s="173">
        <f>F13/F7</f>
        <v>0.26923738433490424</v>
      </c>
      <c r="G14" s="684">
        <f t="shared" si="7"/>
        <v>0.26147259668117334</v>
      </c>
      <c r="H14" s="684">
        <f t="shared" si="7"/>
        <v>-6.8155595846382089E-2</v>
      </c>
      <c r="I14" s="684">
        <f t="shared" si="7"/>
        <v>0.35823948913064246</v>
      </c>
      <c r="J14" s="684">
        <f t="shared" si="7"/>
        <v>0.35386117765537045</v>
      </c>
      <c r="K14" s="173">
        <f>K13/K7</f>
        <v>0.30644539519834174</v>
      </c>
      <c r="L14" s="684">
        <f t="shared" si="7"/>
        <v>0.35303725815990317</v>
      </c>
      <c r="M14" s="684">
        <f t="shared" si="7"/>
        <v>0.36904777163951447</v>
      </c>
      <c r="N14" s="684">
        <f t="shared" si="7"/>
        <v>0.41506983456166574</v>
      </c>
      <c r="O14" s="684">
        <f t="shared" si="7"/>
        <v>0.37142189871939596</v>
      </c>
      <c r="P14" s="173">
        <f>P13/P7</f>
        <v>0.37874794729042344</v>
      </c>
      <c r="Q14" s="684">
        <f t="shared" si="7"/>
        <v>0.34696901328771645</v>
      </c>
      <c r="R14" s="684">
        <f t="shared" si="7"/>
        <v>0.37789248632750216</v>
      </c>
      <c r="S14" s="684">
        <f t="shared" si="7"/>
        <v>0.37382061750317452</v>
      </c>
      <c r="T14" s="684">
        <f t="shared" si="7"/>
        <v>0.37982492857012851</v>
      </c>
      <c r="U14" s="173">
        <f>U13/U7</f>
        <v>0.37113064151107616</v>
      </c>
      <c r="V14" s="684">
        <f t="shared" si="7"/>
        <v>0.39106469875317518</v>
      </c>
      <c r="W14" s="684">
        <f t="shared" si="7"/>
        <v>0.39341606541606544</v>
      </c>
      <c r="X14" s="684">
        <f t="shared" si="7"/>
        <v>0.36568979878128971</v>
      </c>
      <c r="Y14" s="684">
        <f t="shared" si="7"/>
        <v>0.37584973237400926</v>
      </c>
      <c r="Z14" s="173">
        <f>Z13/Z7</f>
        <v>0.37915224199709235</v>
      </c>
      <c r="AA14" s="684">
        <f t="shared" si="7"/>
        <v>0.35540096585206843</v>
      </c>
      <c r="AB14" s="684">
        <f t="shared" si="7"/>
        <v>0.28154978527212521</v>
      </c>
      <c r="AC14" s="684">
        <f t="shared" si="7"/>
        <v>0.25144548970030489</v>
      </c>
      <c r="AD14" s="684">
        <f t="shared" si="7"/>
        <v>0.29666252904887674</v>
      </c>
      <c r="AE14" s="173">
        <f>AE13/AE7</f>
        <v>0.30111626991218143</v>
      </c>
      <c r="AF14" s="684">
        <f t="shared" si="7"/>
        <v>0.31252669865154836</v>
      </c>
      <c r="AG14" s="684">
        <f t="shared" si="7"/>
        <v>0.28269106126053234</v>
      </c>
      <c r="AH14" s="684">
        <f t="shared" si="7"/>
        <v>0.27595053377195422</v>
      </c>
      <c r="AI14" s="684">
        <f t="shared" si="7"/>
        <v>0.29273339984198904</v>
      </c>
      <c r="AJ14" s="173">
        <f>AJ13/AJ7</f>
        <v>0.29012285066197835</v>
      </c>
      <c r="AK14" s="684">
        <f t="shared" si="7"/>
        <v>0.31539398819677678</v>
      </c>
      <c r="AL14" s="684">
        <f t="shared" si="7"/>
        <v>0.30718039911327644</v>
      </c>
      <c r="AM14" s="684">
        <f t="shared" si="7"/>
        <v>0.3233997490258752</v>
      </c>
      <c r="AN14" s="684">
        <f t="shared" si="7"/>
        <v>0.34214159117067627</v>
      </c>
      <c r="AO14" s="173">
        <f>AO13/AO7</f>
        <v>0.3231220581950644</v>
      </c>
      <c r="AP14" s="684">
        <f t="shared" si="7"/>
        <v>0.35994594464978785</v>
      </c>
      <c r="AQ14" s="684">
        <f t="shared" si="7"/>
        <v>0.3784437346471542</v>
      </c>
      <c r="AR14" s="684">
        <f t="shared" si="7"/>
        <v>0.39109039020251446</v>
      </c>
      <c r="AS14" s="684">
        <f t="shared" si="7"/>
        <v>0.40235853374451958</v>
      </c>
      <c r="AT14" s="173">
        <f>AT13/AT7</f>
        <v>0.38338173336807418</v>
      </c>
      <c r="AU14" s="684">
        <f t="shared" si="7"/>
        <v>0.42339401032843604</v>
      </c>
      <c r="AV14" s="684">
        <f t="shared" si="7"/>
        <v>0.4249017118072374</v>
      </c>
      <c r="AW14" s="684">
        <f t="shared" si="7"/>
        <v>0.42646105399648049</v>
      </c>
      <c r="AX14" s="684">
        <f t="shared" si="7"/>
        <v>0.43886431828034311</v>
      </c>
      <c r="AY14" s="173">
        <f>AY13/AY7</f>
        <v>0.42898248191214006</v>
      </c>
      <c r="AZ14" s="684">
        <f t="shared" si="7"/>
        <v>0.45025110153029801</v>
      </c>
      <c r="BA14" s="684">
        <f t="shared" si="7"/>
        <v>0.45334470993410342</v>
      </c>
      <c r="BB14" s="684">
        <f t="shared" si="7"/>
        <v>0.46213193473987468</v>
      </c>
      <c r="BC14" s="684">
        <f t="shared" si="7"/>
        <v>0.45695792073033847</v>
      </c>
      <c r="BD14" s="173">
        <f>BD13/BD7</f>
        <v>0.45616004451103742</v>
      </c>
      <c r="BE14" s="684">
        <f t="shared" si="7"/>
        <v>0.44637450710428755</v>
      </c>
      <c r="BF14" s="684">
        <f t="shared" si="7"/>
        <v>0.38745412669322349</v>
      </c>
      <c r="BG14" s="684">
        <f t="shared" si="7"/>
        <v>0.35486127743955076</v>
      </c>
      <c r="BH14" s="684">
        <f t="shared" si="7"/>
        <v>0.29443820925302405</v>
      </c>
      <c r="BI14" s="173">
        <f>BI13/BI7</f>
        <v>0.38568682681535205</v>
      </c>
      <c r="BJ14" s="684">
        <f t="shared" si="7"/>
        <v>0.30276816348529356</v>
      </c>
      <c r="BK14" s="684">
        <f t="shared" si="7"/>
        <v>0.35635398959460152</v>
      </c>
      <c r="BL14" s="684">
        <f t="shared" si="7"/>
        <v>0.40706992646195883</v>
      </c>
      <c r="BM14" s="684">
        <f t="shared" si="7"/>
        <v>0.44654082289045766</v>
      </c>
      <c r="BN14" s="173">
        <f>BN13/BN7</f>
        <v>0.38606169649580863</v>
      </c>
      <c r="BO14" s="684">
        <f t="shared" ref="BO14:DZ14" si="8">BO13/BO7</f>
        <v>0.45555108588129717</v>
      </c>
      <c r="BP14" s="684">
        <f t="shared" si="8"/>
        <v>0.38890765377067277</v>
      </c>
      <c r="BQ14" s="684">
        <f t="shared" si="8"/>
        <v>0.46457687531401376</v>
      </c>
      <c r="BR14" s="684">
        <f t="shared" si="8"/>
        <v>0.48101370073196925</v>
      </c>
      <c r="BS14" s="173">
        <f>BS13/BS7</f>
        <v>0.44881295986322384</v>
      </c>
      <c r="BT14" s="684">
        <f t="shared" si="8"/>
        <v>0.50362095507562588</v>
      </c>
      <c r="BU14" s="684">
        <f t="shared" si="8"/>
        <v>0.51674885909433876</v>
      </c>
      <c r="BV14" s="684">
        <f t="shared" si="8"/>
        <v>0.52216042319308176</v>
      </c>
      <c r="BW14" s="684">
        <f t="shared" si="8"/>
        <v>0.52173324632761009</v>
      </c>
      <c r="BX14" s="173">
        <f>BX13/BX7</f>
        <v>0.51622139457169092</v>
      </c>
      <c r="BY14" s="684">
        <f t="shared" si="8"/>
        <v>0.50100067360308453</v>
      </c>
      <c r="BZ14" s="684">
        <f t="shared" si="8"/>
        <v>0.5177961638273626</v>
      </c>
      <c r="CA14" s="684">
        <f t="shared" si="8"/>
        <v>0.52873740771192002</v>
      </c>
      <c r="CB14" s="684">
        <f t="shared" si="8"/>
        <v>0.52904593179884041</v>
      </c>
      <c r="CC14" s="173">
        <f>CC13/CC7</f>
        <v>0.52015427464260089</v>
      </c>
      <c r="CD14" s="684">
        <f t="shared" si="8"/>
        <v>0.54315158383600126</v>
      </c>
      <c r="CE14" s="684">
        <f t="shared" si="8"/>
        <v>0.56058810647969082</v>
      </c>
      <c r="CF14" s="684">
        <f t="shared" si="8"/>
        <v>0.55449079525260281</v>
      </c>
      <c r="CG14" s="684">
        <f t="shared" si="8"/>
        <v>0.53565841474264519</v>
      </c>
      <c r="CH14" s="173">
        <f t="shared" si="8"/>
        <v>0.54809496576647609</v>
      </c>
      <c r="CI14" s="684">
        <f t="shared" si="8"/>
        <v>0.5478864005469779</v>
      </c>
      <c r="CJ14" s="684">
        <f t="shared" si="8"/>
        <v>0.56126272188490645</v>
      </c>
      <c r="CK14" s="684">
        <f t="shared" si="8"/>
        <v>0.55223432366396774</v>
      </c>
      <c r="CL14" s="684">
        <f t="shared" si="8"/>
        <v>0.5594523531923673</v>
      </c>
      <c r="CM14" s="173">
        <f t="shared" si="8"/>
        <v>0.55526500334187268</v>
      </c>
      <c r="CN14" s="684">
        <f t="shared" si="8"/>
        <v>0.56733275412684625</v>
      </c>
      <c r="CO14" s="684">
        <f t="shared" si="8"/>
        <v>0.56287944492627928</v>
      </c>
      <c r="CP14" s="684">
        <f t="shared" si="8"/>
        <v>0.56245210727969353</v>
      </c>
      <c r="CQ14" s="684">
        <f t="shared" si="8"/>
        <v>0.5681655960028551</v>
      </c>
      <c r="CR14" s="173">
        <f t="shared" si="8"/>
        <v>0.56526946107784426</v>
      </c>
      <c r="CS14" s="684">
        <f>CS13/CS7</f>
        <v>0.58314176245210725</v>
      </c>
      <c r="CT14" s="684">
        <f t="shared" si="8"/>
        <v>0.57843137254901966</v>
      </c>
      <c r="CU14" s="684">
        <f t="shared" si="8"/>
        <v>0.59031936127744511</v>
      </c>
      <c r="CV14" s="684">
        <f t="shared" si="8"/>
        <v>0.59963184537505754</v>
      </c>
      <c r="CW14" s="173">
        <f t="shared" si="8"/>
        <v>0.58943560057887123</v>
      </c>
      <c r="CX14" s="684">
        <f t="shared" si="8"/>
        <v>0.59370160041300979</v>
      </c>
      <c r="CY14" s="684">
        <f t="shared" si="8"/>
        <v>0.58385650224215246</v>
      </c>
      <c r="CZ14" s="684">
        <f t="shared" si="8"/>
        <v>0.59522003034901361</v>
      </c>
      <c r="DA14" s="684">
        <f t="shared" si="8"/>
        <v>0.61903126073514259</v>
      </c>
      <c r="DB14" s="173">
        <f t="shared" si="8"/>
        <v>0.59944410129709702</v>
      </c>
      <c r="DC14" s="684">
        <f t="shared" si="8"/>
        <v>0.6448394137823511</v>
      </c>
      <c r="DD14" s="684">
        <f>DD13/DD7</f>
        <v>0.63240473903298111</v>
      </c>
      <c r="DE14" s="684">
        <f t="shared" si="8"/>
        <v>0.60829927695693176</v>
      </c>
      <c r="DF14" s="684">
        <f t="shared" si="8"/>
        <v>0.55691609977324263</v>
      </c>
      <c r="DG14" s="173">
        <f t="shared" si="8"/>
        <v>0.61505633321952879</v>
      </c>
      <c r="DH14" s="684">
        <f t="shared" si="8"/>
        <v>0.58828828828828827</v>
      </c>
      <c r="DI14" s="684">
        <f t="shared" si="8"/>
        <v>0.59829391236913532</v>
      </c>
      <c r="DJ14" s="684">
        <f t="shared" si="8"/>
        <v>0.63570006635700071</v>
      </c>
      <c r="DK14" s="684">
        <f t="shared" si="8"/>
        <v>0.64991948470209338</v>
      </c>
      <c r="DL14" s="173">
        <f t="shared" si="8"/>
        <v>0.62126763143432862</v>
      </c>
      <c r="DM14" s="684">
        <f t="shared" si="8"/>
        <v>0.65097402597402598</v>
      </c>
      <c r="DN14" s="684">
        <f t="shared" si="8"/>
        <v>0.6562338334195551</v>
      </c>
      <c r="DO14" s="684">
        <f t="shared" si="8"/>
        <v>0.6489631823952603</v>
      </c>
      <c r="DP14" s="684">
        <f>DP13/DP7</f>
        <v>0.64961023385968419</v>
      </c>
      <c r="DQ14" s="173">
        <f t="shared" si="8"/>
        <v>0.65121439280359816</v>
      </c>
      <c r="DR14" s="684">
        <f>DR13/DR7</f>
        <v>0.65730436318671615</v>
      </c>
      <c r="DS14" s="684">
        <f>DS13/DS7</f>
        <v>0.66159520516366987</v>
      </c>
      <c r="DT14" s="684">
        <f>DT13/DT7</f>
        <v>0.66408559763480224</v>
      </c>
      <c r="DU14" s="684">
        <f>DU13/DU7</f>
        <v>0.66531466701556985</v>
      </c>
      <c r="DV14" s="173">
        <f t="shared" si="8"/>
        <v>0.66240618265586682</v>
      </c>
      <c r="DW14" s="684">
        <f t="shared" si="8"/>
        <v>0.66662644787644787</v>
      </c>
      <c r="DX14" s="684">
        <f t="shared" si="8"/>
        <v>0.45286396181384247</v>
      </c>
      <c r="DY14" s="684">
        <f t="shared" si="8"/>
        <v>0.55589276681841171</v>
      </c>
      <c r="DZ14" s="684">
        <f t="shared" si="8"/>
        <v>0.6559246405552801</v>
      </c>
      <c r="EA14" s="173">
        <f t="shared" ref="EA14:EP14" si="9">EA13/EA7</f>
        <v>0.58675020390005195</v>
      </c>
      <c r="EB14" s="684">
        <f t="shared" si="9"/>
        <v>0.66393214682981094</v>
      </c>
      <c r="EC14" s="684">
        <f t="shared" si="9"/>
        <v>0.70948397127415419</v>
      </c>
      <c r="ED14" s="684">
        <f t="shared" si="9"/>
        <v>0.74751655629139069</v>
      </c>
      <c r="EE14" s="684">
        <f t="shared" si="9"/>
        <v>0.76523548839524047</v>
      </c>
      <c r="EF14" s="173">
        <f t="shared" si="9"/>
        <v>0.73564557959357868</v>
      </c>
      <c r="EG14" s="684">
        <f t="shared" si="9"/>
        <v>0.7880509906312394</v>
      </c>
      <c r="EH14" s="684">
        <f t="shared" si="9"/>
        <v>0.75529294274300929</v>
      </c>
      <c r="EI14" s="684">
        <f t="shared" si="9"/>
        <v>0.74887406647283505</v>
      </c>
      <c r="EJ14" s="684">
        <f t="shared" si="9"/>
        <v>0.73328926292237673</v>
      </c>
      <c r="EK14" s="173">
        <f t="shared" si="9"/>
        <v>0.75347325992168401</v>
      </c>
      <c r="EL14" s="684">
        <f t="shared" si="9"/>
        <v>0.60809768054105584</v>
      </c>
      <c r="EM14" s="684">
        <f t="shared" si="9"/>
        <v>0.72528506942215942</v>
      </c>
      <c r="EN14" s="684">
        <f t="shared" si="9"/>
        <v>0.73495772374837731</v>
      </c>
      <c r="EO14" s="684">
        <f t="shared" si="9"/>
        <v>0.75065686144993904</v>
      </c>
      <c r="EP14" s="173">
        <f t="shared" si="9"/>
        <v>0.71193120247478447</v>
      </c>
      <c r="EQ14" s="684">
        <f>EQ13/EQ7</f>
        <v>0.75025424247993633</v>
      </c>
      <c r="ER14" s="684">
        <f t="shared" ref="ER14:FO14" si="10">ER13/ER7</f>
        <v>0.74973194331506288</v>
      </c>
      <c r="ES14" s="684">
        <f t="shared" si="10"/>
        <v>0.7491351512289296</v>
      </c>
      <c r="ET14" s="684">
        <f t="shared" si="10"/>
        <v>0.74991845307916394</v>
      </c>
      <c r="EU14" s="173">
        <f t="shared" si="10"/>
        <v>0.74973194557275324</v>
      </c>
      <c r="EV14" s="684">
        <f t="shared" si="10"/>
        <v>0.75089281134965613</v>
      </c>
      <c r="EW14" s="684">
        <f t="shared" si="10"/>
        <v>0.75121421181208836</v>
      </c>
      <c r="EX14" s="684">
        <f t="shared" si="10"/>
        <v>0.75153396267675665</v>
      </c>
      <c r="EY14" s="684">
        <f t="shared" si="10"/>
        <v>0.75182578968662062</v>
      </c>
      <c r="EZ14" s="173">
        <f t="shared" si="10"/>
        <v>0.75140229988922036</v>
      </c>
      <c r="FA14" s="684">
        <f t="shared" si="10"/>
        <v>0.75232252934402488</v>
      </c>
      <c r="FB14" s="684">
        <f t="shared" si="10"/>
        <v>0.75221838699726884</v>
      </c>
      <c r="FC14" s="684">
        <f t="shared" si="10"/>
        <v>0.75221518042571089</v>
      </c>
      <c r="FD14" s="684">
        <f t="shared" si="10"/>
        <v>0.75226175520131133</v>
      </c>
      <c r="FE14" s="173">
        <f t="shared" si="10"/>
        <v>0.75225352926497757</v>
      </c>
      <c r="FF14" s="684">
        <f t="shared" si="10"/>
        <v>0.75261071062240947</v>
      </c>
      <c r="FG14" s="684">
        <f t="shared" si="10"/>
        <v>0.75241209792175423</v>
      </c>
      <c r="FH14" s="684">
        <f t="shared" si="10"/>
        <v>0.75220722447051902</v>
      </c>
      <c r="FI14" s="684">
        <f t="shared" si="10"/>
        <v>0.75208450427622142</v>
      </c>
      <c r="FJ14" s="173">
        <f t="shared" si="10"/>
        <v>0.7523237071790968</v>
      </c>
      <c r="FK14" s="684">
        <f t="shared" si="10"/>
        <v>0.75248172677606895</v>
      </c>
      <c r="FL14" s="684">
        <f t="shared" si="10"/>
        <v>0.75238566633178761</v>
      </c>
      <c r="FM14" s="684">
        <f t="shared" si="10"/>
        <v>0.75234121392853615</v>
      </c>
      <c r="FN14" s="684">
        <f t="shared" si="10"/>
        <v>0.75232302967450992</v>
      </c>
      <c r="FO14" s="173">
        <f t="shared" si="10"/>
        <v>0.75238009486773272</v>
      </c>
      <c r="FP14" s="173"/>
      <c r="FQ14" s="37"/>
    </row>
    <row r="15" spans="1:173" ht="12" customHeight="1">
      <c r="A15" s="686" t="s">
        <v>393</v>
      </c>
      <c r="B15" s="684"/>
      <c r="C15" s="684">
        <f t="shared" ref="C15:BM15" si="11">(C13-B13)/(C7-B7)</f>
        <v>1.6949152542372895E-2</v>
      </c>
      <c r="D15" s="684">
        <f t="shared" si="11"/>
        <v>0.19450549450549451</v>
      </c>
      <c r="E15" s="684">
        <f t="shared" si="11"/>
        <v>0.34746513172459603</v>
      </c>
      <c r="F15" s="680"/>
      <c r="G15" s="684">
        <f>(G13-E13)/(G7-E7)</f>
        <v>4.1023472192852795E-2</v>
      </c>
      <c r="H15" s="684">
        <f t="shared" si="11"/>
        <v>0.50945501891003797</v>
      </c>
      <c r="I15" s="684">
        <f t="shared" si="11"/>
        <v>0.48704224650850142</v>
      </c>
      <c r="J15" s="684">
        <f t="shared" si="11"/>
        <v>0.33655735227444616</v>
      </c>
      <c r="K15" s="680">
        <f>(K13-F13)/(K7-F7)</f>
        <v>0.31481968939194527</v>
      </c>
      <c r="L15" s="684">
        <f>(L13-J13)/(L7-J7)</f>
        <v>0.3431855500821</v>
      </c>
      <c r="M15" s="684">
        <f t="shared" si="11"/>
        <v>0.53150450064294874</v>
      </c>
      <c r="N15" s="684">
        <f t="shared" si="11"/>
        <v>0.6040635856405937</v>
      </c>
      <c r="O15" s="684">
        <f t="shared" si="11"/>
        <v>0.23673664122137433</v>
      </c>
      <c r="P15" s="680">
        <f>(P13-K13)/(P7-K7)</f>
        <v>0.43164961991603018</v>
      </c>
      <c r="Q15" s="684">
        <f>(Q13-O13)/(Q7-O7)</f>
        <v>0.19013381266227253</v>
      </c>
      <c r="R15" s="684">
        <f t="shared" si="11"/>
        <v>0.59827213822894199</v>
      </c>
      <c r="S15" s="684">
        <f t="shared" si="11"/>
        <v>0.34950086422801452</v>
      </c>
      <c r="T15" s="684">
        <f>(T13-S13)/(T7-S7)</f>
        <v>0.43345835781101605</v>
      </c>
      <c r="U15" s="680">
        <f>(U13-P13)/(U7-P7)</f>
        <v>0.3632230935333558</v>
      </c>
      <c r="V15" s="684">
        <f>(V13-T13)/(V7-T7)</f>
        <v>0.50794852384557321</v>
      </c>
      <c r="W15" s="684">
        <f t="shared" si="11"/>
        <v>0.42332259937707861</v>
      </c>
      <c r="X15" s="684">
        <f t="shared" si="11"/>
        <v>0.29713323374658646</v>
      </c>
      <c r="Y15" s="684">
        <f t="shared" si="11"/>
        <v>0.40258232885402845</v>
      </c>
      <c r="Z15" s="680">
        <f>(Z13-U13)/(Z7-U7)</f>
        <v>0.3884520353764625</v>
      </c>
      <c r="AA15" s="684">
        <f>(AA13-Y13)/(AA7-Y7)</f>
        <v>0.22538091571253593</v>
      </c>
      <c r="AB15" s="684">
        <f t="shared" si="11"/>
        <v>0.55817375658655655</v>
      </c>
      <c r="AC15" s="684">
        <f t="shared" si="11"/>
        <v>-4.0092745942365893</v>
      </c>
      <c r="AD15" s="684">
        <f t="shared" si="11"/>
        <v>-11.041958041957985</v>
      </c>
      <c r="AE15" s="680">
        <f>(AE13-Z13)/(AE7-Z7)</f>
        <v>8.721385237714914E-2</v>
      </c>
      <c r="AF15" s="684">
        <f>(AF13-AD13)/(AF7-AD7)</f>
        <v>2.4486337640328797E-2</v>
      </c>
      <c r="AG15" s="684">
        <f t="shared" si="11"/>
        <v>6.2163494004489381E-2</v>
      </c>
      <c r="AH15" s="684">
        <f t="shared" si="11"/>
        <v>0.15809089180452696</v>
      </c>
      <c r="AI15" s="684">
        <f t="shared" si="11"/>
        <v>-0.29204301075268929</v>
      </c>
      <c r="AJ15" s="680">
        <f>(AJ13-AE13)/(AJ7-AE7)</f>
        <v>0.73548345145977867</v>
      </c>
      <c r="AK15" s="684">
        <f>(AK13-AI13)/(AK7-AI7)</f>
        <v>-49.677570093444537</v>
      </c>
      <c r="AL15" s="684">
        <f t="shared" si="11"/>
        <v>0.55181772279727148</v>
      </c>
      <c r="AM15" s="684">
        <f t="shared" si="11"/>
        <v>0.447656643709055</v>
      </c>
      <c r="AN15" s="684">
        <f t="shared" si="11"/>
        <v>0.53204284170187643</v>
      </c>
      <c r="AO15" s="680">
        <f>(AO13-AJ13)/(AO7-AJ7)</f>
        <v>0.64465919781065539</v>
      </c>
      <c r="AP15" s="684">
        <f>(AP13-AN13)/(AP7-AN7)</f>
        <v>0.94058721934369871</v>
      </c>
      <c r="AQ15" s="684">
        <f t="shared" si="11"/>
        <v>-0.81702457383218396</v>
      </c>
      <c r="AR15" s="684">
        <f t="shared" si="11"/>
        <v>1.2360804370568426</v>
      </c>
      <c r="AS15" s="684">
        <f t="shared" si="11"/>
        <v>0.53331739676089296</v>
      </c>
      <c r="AT15" s="680">
        <f>(AT13-AO13)/(AT7-AO7)</f>
        <v>0.71463459992233147</v>
      </c>
      <c r="AU15" s="684">
        <f>(AU13-AS13)/(AU7-AS7)</f>
        <v>0.69995642520697943</v>
      </c>
      <c r="AV15" s="684">
        <f t="shared" si="11"/>
        <v>0.60486694677871977</v>
      </c>
      <c r="AW15" s="684">
        <f t="shared" si="11"/>
        <v>0.4345185753045776</v>
      </c>
      <c r="AX15" s="684">
        <f t="shared" si="11"/>
        <v>0.61343716231282452</v>
      </c>
      <c r="AY15" s="680">
        <f>(AY13-AT13)/(AY7-AT7)</f>
        <v>0.5852883633152689</v>
      </c>
      <c r="AZ15" s="684">
        <f>(AZ13-AX13)/(AZ7-AX7)</f>
        <v>0.16095741913103889</v>
      </c>
      <c r="BA15" s="684">
        <f t="shared" si="11"/>
        <v>0.48205511525397654</v>
      </c>
      <c r="BB15" s="684">
        <f t="shared" si="11"/>
        <v>0.50770194738943364</v>
      </c>
      <c r="BC15" s="684">
        <f t="shared" si="11"/>
        <v>0.3907130478693488</v>
      </c>
      <c r="BD15" s="680">
        <f>(BD13-AY13)/(BD7-AY7)</f>
        <v>0.53720426513158692</v>
      </c>
      <c r="BE15" s="684">
        <f>(BE13-BC13)/(BE7-BC7)</f>
        <v>0.70434923594503562</v>
      </c>
      <c r="BF15" s="684">
        <f t="shared" si="11"/>
        <v>0.64811746294762063</v>
      </c>
      <c r="BG15" s="684">
        <f t="shared" si="11"/>
        <v>-5.4886523398273601</v>
      </c>
      <c r="BH15" s="684">
        <f t="shared" si="11"/>
        <v>0.42465937601286857</v>
      </c>
      <c r="BI15" s="680">
        <f>(BI13-BD13)/(BI7-BD7)</f>
        <v>0.81479373730499605</v>
      </c>
      <c r="BJ15" s="684">
        <f>(BJ13-BH13)/(BJ7-BH7)</f>
        <v>0.32465823006046191</v>
      </c>
      <c r="BK15" s="684">
        <f t="shared" si="11"/>
        <v>0.67333398641006625</v>
      </c>
      <c r="BL15" s="684">
        <f t="shared" si="11"/>
        <v>0.71793252608812363</v>
      </c>
      <c r="BM15" s="684">
        <f t="shared" si="11"/>
        <v>0.89620594838677081</v>
      </c>
      <c r="BN15" s="680">
        <f>(BN13-BI13)/(BN7-BI7)</f>
        <v>0.37301603430405966</v>
      </c>
      <c r="BO15" s="684">
        <f>(BO13-BM13)/(BO7-BM7)</f>
        <v>0.91363518758085438</v>
      </c>
      <c r="BP15" s="684">
        <f t="shared" ref="BP15:BW15" si="12">(BP13-BO13)/(BP7-BO7)</f>
        <v>0.73918312741008918</v>
      </c>
      <c r="BQ15" s="684">
        <f t="shared" si="12"/>
        <v>2.3415178571428559</v>
      </c>
      <c r="BR15" s="684">
        <f t="shared" si="12"/>
        <v>0.80767238131122865</v>
      </c>
      <c r="BS15" s="680">
        <f>(BS13-BN13)/(BS7-BN7)</f>
        <v>1.4113453593035232</v>
      </c>
      <c r="BT15" s="684">
        <f>(BT13-BR13)/(BT7-BR7)</f>
        <v>0.76846014564582499</v>
      </c>
      <c r="BU15" s="684">
        <f t="shared" si="12"/>
        <v>0.74857740739380851</v>
      </c>
      <c r="BV15" s="684">
        <f t="shared" si="12"/>
        <v>0.6329259207055552</v>
      </c>
      <c r="BW15" s="684">
        <f t="shared" si="12"/>
        <v>0.52576425397836901</v>
      </c>
      <c r="BX15" s="680">
        <f>(BX13-BS13)/(BX7-BS7)</f>
        <v>1.0416016857998212</v>
      </c>
      <c r="BY15" s="684">
        <f>(BY13-BW13)/(BY7-BW7)</f>
        <v>1.1988911254723271</v>
      </c>
      <c r="BZ15" s="684">
        <f t="shared" ref="BZ15:CG15" si="13">(BZ13-BY13)/(BZ7-BY7)</f>
        <v>0.64790230583032415</v>
      </c>
      <c r="CA15" s="684">
        <f t="shared" si="13"/>
        <v>0.60021896896896909</v>
      </c>
      <c r="CB15" s="684">
        <f>(CB13-CA13)/(CB7-CA7)</f>
        <v>0.5252242613776632</v>
      </c>
      <c r="CC15" s="680">
        <f>(CC13-BX13)/(CC7-BX7)</f>
        <v>0.57586569771355867</v>
      </c>
      <c r="CD15" s="684">
        <f>(CD13-CB13)/(CD7-CB7)</f>
        <v>0.44054073592134818</v>
      </c>
      <c r="CE15" s="684">
        <f t="shared" si="13"/>
        <v>1.3005022445442052</v>
      </c>
      <c r="CF15" s="684">
        <f t="shared" si="13"/>
        <v>0.47683405231398779</v>
      </c>
      <c r="CG15" s="684">
        <f t="shared" si="13"/>
        <v>0.31573057362245305</v>
      </c>
      <c r="CH15" s="680">
        <f>(CH13-CC13)/(CH7-CC7)</f>
        <v>-0.24919165049968175</v>
      </c>
      <c r="CI15" s="687">
        <f>(CI13-CG13)/(CI7-CG7)</f>
        <v>0.21018078250585218</v>
      </c>
      <c r="CJ15" s="687">
        <f>(CJ13-CI13)/(CJ7-CI7)</f>
        <v>399.24324324286857</v>
      </c>
      <c r="CK15" s="684">
        <f>(CK13-CJ13)/(CK7-CJ7)</f>
        <v>0.47099332560909979</v>
      </c>
      <c r="CL15" s="684">
        <f>(CL13-CK13)/(CL7-CK7)</f>
        <v>0.91138787203565219</v>
      </c>
      <c r="CM15" s="680">
        <f>(CM13-CH13)/(CM7-CH7)</f>
        <v>0.60897623085364017</v>
      </c>
      <c r="CN15" s="687">
        <f>(CN13-CL13)/(CN7-CL7)</f>
        <v>0.46830596699961813</v>
      </c>
      <c r="CO15" s="687">
        <f>(CO13-CN13)/(CO7-CN7)</f>
        <v>-2</v>
      </c>
      <c r="CP15" s="684">
        <f>(CP13-CO13)/(CP7-CO7)</f>
        <v>0.55921052631578949</v>
      </c>
      <c r="CQ15" s="684">
        <f>(CQ13-CP13)/(CQ7-CP7)</f>
        <v>0.64583333333333337</v>
      </c>
      <c r="CR15" s="680">
        <f>(CR13-CM13)/(CR7-CM7)</f>
        <v>0.70784765581001541</v>
      </c>
      <c r="CS15" s="687">
        <f>(CS13-CQ13)/(CS7-CQ7)</f>
        <v>0.36458333333333331</v>
      </c>
      <c r="CT15" s="687">
        <f>(CT13-CS13)/(CT7-CS7)</f>
        <v>0.52845528455284552</v>
      </c>
      <c r="CU15" s="684">
        <f>(CU13-CT13)/(CU7-CT7)</f>
        <v>0.61979166666666663</v>
      </c>
      <c r="CV15" s="684">
        <f>(CV13-CU13)/(CV7-CU7)</f>
        <v>0.7100591715976331</v>
      </c>
      <c r="CW15" s="680">
        <f>(CW13-CR13)/(CW7-CR7)</f>
        <v>0.65315789473684216</v>
      </c>
      <c r="CX15" s="687">
        <f>(CX13-CV13)/(CX7-CV7)</f>
        <v>0.64830508474576276</v>
      </c>
      <c r="CY15" s="687">
        <f>(CY13-CX13)/(CY7-CX7)</f>
        <v>0.51877133105802042</v>
      </c>
      <c r="CZ15" s="684">
        <f>(CZ13-CY13)/(CZ7-CY7)</f>
        <v>0.6576354679802956</v>
      </c>
      <c r="DA15" s="684">
        <f>(DA13-CZ13)/(DA7-CZ7)</f>
        <v>0.84727272727272729</v>
      </c>
      <c r="DB15" s="680">
        <f>(DB13-CW13)/(DB7-CW7)</f>
        <v>0.62410841654778892</v>
      </c>
      <c r="DC15" s="687">
        <f>(DC13-DA13)/(DC7-DA7)</f>
        <v>0.89864864864864868</v>
      </c>
      <c r="DD15" s="687">
        <f>(DD13-DC13)/(DD7-DC7)</f>
        <v>1.1071428571428572</v>
      </c>
      <c r="DE15" s="684">
        <f>(DE13-DD13)/(DE7-DD7)</f>
        <v>-0.68965517241379315</v>
      </c>
      <c r="DF15" s="684">
        <f>(DF13-DE13)/(DF7-DE7)</f>
        <v>0.72438524590163933</v>
      </c>
      <c r="DG15" s="680">
        <f>(DG13-DB13)/(DG7-DB7)</f>
        <v>0.69080919080919079</v>
      </c>
      <c r="DH15" s="684">
        <f>(DH13-DF13)/(DH7-DF7)</f>
        <v>5.2</v>
      </c>
      <c r="DI15" s="684">
        <f>(DI13-DH13)/(DI7-DH7)</f>
        <v>0.66016713091922008</v>
      </c>
      <c r="DJ15" s="684">
        <f>(DJ13-DI13)/(DJ7-DI7)</f>
        <v>0.85747126436781607</v>
      </c>
      <c r="DK15" s="684">
        <f>(DK13-DJ13)/(DK7-DJ7)</f>
        <v>1.1208791208791209</v>
      </c>
      <c r="DL15" s="680">
        <f>(DL13-DG13)/(DL7-DG7)</f>
        <v>0.53007518796992481</v>
      </c>
      <c r="DM15" s="684">
        <f>(DM13-DK13)/(DM7-DK7)</f>
        <v>0.52</v>
      </c>
      <c r="DN15" s="684">
        <f>(DN13-DM13)/(DN7-DM7)</f>
        <v>0.67684478371501278</v>
      </c>
      <c r="DO15" s="684">
        <f>(DO13-DN13)/(DO7-DN7)</f>
        <v>0.61627906976744184</v>
      </c>
      <c r="DP15" s="684">
        <f>(DP13-DO13)/(DP7-DO7)</f>
        <v>0.66064981949458479</v>
      </c>
      <c r="DQ15" s="680">
        <f>(DQ13-DL13)/(DQ7-DL7)</f>
        <v>0.70800764286955009</v>
      </c>
      <c r="DR15" s="684">
        <f>(DR13-DP13)/(DR7-DP7)</f>
        <v>0.71580547112462001</v>
      </c>
      <c r="DS15" s="684">
        <f>(DS13-DR13)/(DS7-DR7)</f>
        <v>0.69030732860520094</v>
      </c>
      <c r="DT15" s="684">
        <f>(DT13-DS13)/(DT7-DS7)</f>
        <v>0.6912751677852349</v>
      </c>
      <c r="DU15" s="684">
        <f>(DU13-DT13)/(DU7-DT7)</f>
        <v>0.68148148148148147</v>
      </c>
      <c r="DV15" s="680">
        <f>(DV13-DQ13)/(DV7-DQ7)</f>
        <v>0.68063287430413122</v>
      </c>
      <c r="DW15" s="684">
        <f>(DW13-DU13)/(DW7-DU7)</f>
        <v>0.68217054263565891</v>
      </c>
      <c r="DX15" s="684">
        <f>(DX13-DW13)/(DX7-DW7)</f>
        <v>1.5713383838383839</v>
      </c>
      <c r="DY15" s="684">
        <f>(DY13-DX13)/(DY7-DX7)</f>
        <v>-0.33764553686934023</v>
      </c>
      <c r="DZ15" s="684">
        <f>(DZ13-DY13)/(DZ7-DY7)</f>
        <v>5.6</v>
      </c>
      <c r="EA15" s="680">
        <f>(EA13-DV13)/(EA7-DV7)</f>
        <v>-33.35</v>
      </c>
      <c r="EB15" s="684">
        <f>(EB13-EA13)/(EB7-EA7)</f>
        <v>0.55868971792538669</v>
      </c>
      <c r="EC15" s="684">
        <f>(EC13-EB13)/(EC7-EB7)</f>
        <v>0.76136183689627868</v>
      </c>
      <c r="ED15" s="684">
        <f>(ED13-EC13)/(ED7-EC7)</f>
        <v>0.85887708649468897</v>
      </c>
      <c r="EE15" s="684">
        <f>(EE13-ED13)/(EE7-ED7)</f>
        <v>0.84584484057243281</v>
      </c>
      <c r="EF15" s="680">
        <f>(EF13-EA13)/(EF7-EA7)</f>
        <v>0.85395310474843877</v>
      </c>
      <c r="EG15" s="684">
        <f>(EG13-EF13)/(EG7-EF7)</f>
        <v>0.69651356155742872</v>
      </c>
      <c r="EH15" s="684">
        <f>(EH13-EG13)/(EH7-EG7)</f>
        <v>0.54179179179179182</v>
      </c>
      <c r="EI15" s="684">
        <f>(EI13-EH13)/(EI7-EH7)</f>
        <v>0.71063070210234036</v>
      </c>
      <c r="EJ15" s="684">
        <f>(EJ13-EI13)/(EJ7-EI7)</f>
        <v>0.60461285008237231</v>
      </c>
      <c r="EK15" s="680">
        <f>(EK13-EF13)/(EK7-EF7)</f>
        <v>0.76908372260150915</v>
      </c>
      <c r="EL15" s="684">
        <f>(EL13-EK13)/(EL7-EK7)</f>
        <v>0.82758141956383413</v>
      </c>
      <c r="EM15" s="684">
        <f>(EM13-EL13)/(EM7-EL7)</f>
        <v>2.6512495337560611</v>
      </c>
      <c r="EN15" s="684">
        <f>(EN13-EM13)/(EN7-EM7)</f>
        <v>0.77901198479976619</v>
      </c>
      <c r="EO15" s="684">
        <f>(EO13-EN13)/(EO7-EN7)</f>
        <v>0.83113029403830596</v>
      </c>
      <c r="EP15" s="680">
        <f>(EP13-EK13)/(EP7-EK7)</f>
        <v>0.64848257862150493</v>
      </c>
      <c r="EQ15" s="684">
        <f>(EQ13-EP13)/(EQ7-EP7)</f>
        <v>0.68864602488032578</v>
      </c>
      <c r="ER15" s="687">
        <f>(ER13-EQ13)/(ER7-EQ7)</f>
        <v>0.7460040393776417</v>
      </c>
      <c r="ES15" s="684">
        <f>(ES13-ER13)/(ES7-ER7)</f>
        <v>0.74598134146518891</v>
      </c>
      <c r="ET15" s="684">
        <f>(ET13-ES13)/(ET7-ES7)</f>
        <v>0.75574572329550471</v>
      </c>
      <c r="EU15" s="680">
        <f>(EU13-EP13)/(EU7-EP7)</f>
        <v>0.79160954861887356</v>
      </c>
      <c r="EV15" s="687">
        <f>(EV13-ET13)/(EV7-ET7)</f>
        <v>0.76151050053308078</v>
      </c>
      <c r="EW15" s="687">
        <f>(EW13-EV13)/(EW7-EV7)</f>
        <v>0.75449970725643045</v>
      </c>
      <c r="EX15" s="684">
        <f>(EX13-EW13)/(EX7-EW7)</f>
        <v>0.75424671354498951</v>
      </c>
      <c r="EY15" s="684">
        <f>(EY13-EX13)/(EY7-EX7)</f>
        <v>0.75619919201225938</v>
      </c>
      <c r="EZ15" s="680">
        <f>(EZ13-EU13)/(EZ7-EU7)</f>
        <v>0.75446238240159491</v>
      </c>
      <c r="FA15" s="687">
        <f>(FA13-EY13)/(FA7-EY7)</f>
        <v>0.77148101593491014</v>
      </c>
      <c r="FB15" s="687">
        <f>(FB13-FA13)/(FB7-FA7)</f>
        <v>0.74884074514116294</v>
      </c>
      <c r="FC15" s="684">
        <f>(FC13-FB13)/(FC7-FB7)</f>
        <v>0.75216941345269261</v>
      </c>
      <c r="FD15" s="684">
        <f>(FD13-FC13)/(FD7-FC7)</f>
        <v>0.75319470338204053</v>
      </c>
      <c r="FE15" s="680">
        <f>(FE13-EZ13)/(FE7-EZ7)</f>
        <v>0.75574366466049669</v>
      </c>
      <c r="FF15" s="687">
        <f>(FF13-FD13)/(FF7-FD7)</f>
        <v>0.80154584651424343</v>
      </c>
      <c r="FG15" s="687">
        <f>(FG13-FF13)/(FG7-FF7)</f>
        <v>0.73508991529615686</v>
      </c>
      <c r="FH15" s="684">
        <f>(FH13-FG13)/(FH7-FG7)</f>
        <v>0.74571455920616136</v>
      </c>
      <c r="FI15" s="684">
        <f>(FI13-FH13)/(FI7-FH7)</f>
        <v>0.74629638914685081</v>
      </c>
      <c r="FJ15" s="680">
        <f>(FJ13-FE13)/(FJ7-FE7)</f>
        <v>0.75290983257573374</v>
      </c>
      <c r="FK15" s="687">
        <f>(FK13-FI13)/(FK7-FI7)</f>
        <v>0.77624166511244641</v>
      </c>
      <c r="FL15" s="687">
        <f>(FL13-FK13)/(FL7-FK7)</f>
        <v>0.74925663614980742</v>
      </c>
      <c r="FM15" s="684">
        <f>(FM13-FL13)/(FM7-FL7)</f>
        <v>0.75160429209857349</v>
      </c>
      <c r="FN15" s="684">
        <f>(FN13-FM13)/(FN7-FM7)</f>
        <v>0.75187254835616335</v>
      </c>
      <c r="FO15" s="680">
        <f>(FO13-FJ13)/(FO7-FJ7)</f>
        <v>0.7528492842868405</v>
      </c>
      <c r="FP15" s="680"/>
      <c r="FQ15" s="37"/>
    </row>
    <row r="16" spans="1:173">
      <c r="A16" s="170"/>
      <c r="B16" s="174"/>
      <c r="C16" s="174"/>
      <c r="D16" s="174"/>
      <c r="E16" s="174"/>
      <c r="G16" s="174"/>
      <c r="H16" s="174"/>
      <c r="I16" s="174"/>
      <c r="J16" s="174"/>
      <c r="L16" s="174"/>
      <c r="M16" s="174"/>
      <c r="N16" s="174"/>
      <c r="O16" s="174"/>
      <c r="Q16" s="174"/>
      <c r="R16" s="174"/>
      <c r="S16" s="174"/>
      <c r="T16" s="174"/>
      <c r="V16" s="174"/>
      <c r="W16" s="174"/>
      <c r="X16" s="174"/>
      <c r="Y16" s="174"/>
      <c r="AA16" s="174"/>
      <c r="AB16" s="174"/>
      <c r="AC16" s="174"/>
      <c r="AD16" s="174"/>
      <c r="AE16" s="148"/>
      <c r="AF16" s="174"/>
      <c r="AG16" s="174"/>
      <c r="AH16" s="174"/>
      <c r="AI16" s="174"/>
      <c r="AJ16" s="148"/>
      <c r="AK16" s="174"/>
      <c r="AL16" s="174"/>
      <c r="AM16" s="174"/>
      <c r="AN16" s="174"/>
      <c r="AO16" s="148"/>
      <c r="AP16" s="174"/>
      <c r="AQ16" s="174"/>
      <c r="AR16" s="174"/>
      <c r="AS16" s="174"/>
      <c r="AT16" s="148"/>
      <c r="AU16" s="174"/>
      <c r="AV16" s="174"/>
      <c r="AW16" s="174"/>
      <c r="AX16" s="174"/>
      <c r="AY16" s="148"/>
      <c r="AZ16" s="174"/>
      <c r="BA16" s="174"/>
      <c r="BB16" s="174"/>
      <c r="BC16" s="174"/>
      <c r="BD16" s="148"/>
      <c r="BE16" s="174"/>
      <c r="BF16" s="174"/>
      <c r="BG16" s="174"/>
      <c r="BH16" s="174"/>
      <c r="BI16" s="148"/>
      <c r="BJ16" s="174"/>
      <c r="BK16" s="174"/>
      <c r="BL16" s="174"/>
      <c r="BM16" s="174"/>
      <c r="BN16" s="148"/>
      <c r="BO16" s="174"/>
      <c r="BP16" s="174"/>
      <c r="BQ16" s="174"/>
      <c r="BR16" s="174"/>
      <c r="BS16" s="148"/>
      <c r="BT16" s="174"/>
      <c r="BU16" s="174"/>
      <c r="BV16" s="174"/>
      <c r="BW16" s="174"/>
      <c r="BX16" s="148"/>
      <c r="BY16" s="174"/>
      <c r="BZ16" s="174"/>
      <c r="CA16" s="174"/>
      <c r="CB16" s="174"/>
      <c r="CC16" s="148"/>
      <c r="CD16" s="174"/>
      <c r="CE16" s="174"/>
      <c r="CF16" s="174"/>
      <c r="CG16" s="174"/>
      <c r="CH16" s="148"/>
      <c r="CI16" s="174"/>
      <c r="CJ16" s="174"/>
      <c r="CK16" s="174"/>
      <c r="CL16" s="174"/>
      <c r="CM16" s="148"/>
      <c r="CN16" s="174"/>
      <c r="CO16" s="174"/>
      <c r="CP16" s="174"/>
      <c r="CQ16" s="174"/>
      <c r="CR16" s="148"/>
      <c r="CS16" s="174"/>
      <c r="CT16" s="174"/>
      <c r="CU16" s="174"/>
      <c r="CV16" s="174"/>
      <c r="CW16" s="148"/>
      <c r="CX16" s="174"/>
      <c r="CY16" s="174"/>
      <c r="CZ16" s="174"/>
      <c r="DA16" s="174"/>
      <c r="DC16" s="174"/>
      <c r="DD16" s="174"/>
      <c r="DE16" s="174"/>
      <c r="DF16" s="174"/>
      <c r="DG16" s="148"/>
      <c r="DH16" s="174"/>
      <c r="DI16" s="174"/>
      <c r="DJ16" s="174"/>
      <c r="DK16" s="174"/>
      <c r="DL16" s="148"/>
      <c r="DM16" s="174"/>
      <c r="DN16" s="174"/>
      <c r="DO16" s="174"/>
      <c r="DP16" s="174"/>
      <c r="DQ16" s="148"/>
      <c r="DR16" s="174"/>
      <c r="DS16" s="174"/>
      <c r="DT16" s="174"/>
      <c r="DU16" s="174"/>
      <c r="DV16" s="148"/>
      <c r="DW16" s="174"/>
      <c r="DX16" s="174"/>
      <c r="DY16" s="174"/>
      <c r="DZ16" s="174"/>
      <c r="EA16" s="148"/>
      <c r="EB16" s="174"/>
      <c r="EC16" s="174"/>
      <c r="ED16" s="174"/>
      <c r="EE16" s="174"/>
      <c r="EF16" s="148"/>
      <c r="EG16" s="174"/>
      <c r="EH16" s="174"/>
      <c r="EI16" s="174"/>
      <c r="EJ16" s="174"/>
      <c r="EK16" s="148"/>
      <c r="EL16" s="174"/>
      <c r="EM16" s="174"/>
      <c r="EN16" s="174"/>
      <c r="EO16" s="174"/>
      <c r="EP16" s="148"/>
      <c r="EQ16" s="174"/>
      <c r="ER16" s="174"/>
      <c r="ES16" s="174"/>
      <c r="ET16" s="174"/>
      <c r="EU16" s="148"/>
      <c r="EV16" s="174"/>
      <c r="EW16" s="174"/>
      <c r="EX16" s="174"/>
      <c r="EY16" s="174"/>
      <c r="EZ16" s="148"/>
      <c r="FA16" s="174"/>
      <c r="FB16" s="174"/>
      <c r="FC16" s="174"/>
      <c r="FD16" s="174"/>
      <c r="FE16" s="148"/>
      <c r="FF16" s="174"/>
      <c r="FG16" s="174"/>
      <c r="FH16" s="174"/>
      <c r="FI16" s="174"/>
      <c r="FJ16" s="148"/>
      <c r="FK16" s="174"/>
      <c r="FL16" s="174"/>
      <c r="FM16" s="174"/>
      <c r="FN16" s="174"/>
      <c r="FO16" s="148"/>
      <c r="FP16" s="148"/>
      <c r="FQ16" s="37"/>
    </row>
    <row r="17" spans="1:173" ht="12.75" customHeight="1">
      <c r="A17" s="171" t="s">
        <v>237</v>
      </c>
      <c r="B17" s="681">
        <v>0.38500000000000001</v>
      </c>
      <c r="C17" s="681">
        <v>0.56899999999999995</v>
      </c>
      <c r="D17" s="681">
        <v>1.07</v>
      </c>
      <c r="E17" s="681">
        <v>2.1589999999999998</v>
      </c>
      <c r="F17" s="682">
        <f>SUM(B17:E17)</f>
        <v>4.1829999999999998</v>
      </c>
      <c r="G17" s="681">
        <v>3.8849999999999998</v>
      </c>
      <c r="H17" s="681">
        <v>3.9620000000000002</v>
      </c>
      <c r="I17" s="681">
        <v>4.6970000000000001</v>
      </c>
      <c r="J17" s="681">
        <v>6.3579999999999997</v>
      </c>
      <c r="K17" s="682">
        <f>SUM(G17:J17)</f>
        <v>18.902000000000001</v>
      </c>
      <c r="L17" s="681">
        <v>7.2839999999999998</v>
      </c>
      <c r="M17" s="681">
        <v>8.1159999999999997</v>
      </c>
      <c r="N17" s="681">
        <v>9.2929999999999993</v>
      </c>
      <c r="O17" s="681">
        <v>12.386000000000003</v>
      </c>
      <c r="P17" s="682">
        <f>SUM(L17:O17)</f>
        <v>37.079000000000001</v>
      </c>
      <c r="Q17" s="681">
        <v>12.114000000000001</v>
      </c>
      <c r="R17" s="681">
        <v>14.603</v>
      </c>
      <c r="S17" s="681">
        <v>14.852</v>
      </c>
      <c r="T17" s="681">
        <v>16.860999999999997</v>
      </c>
      <c r="U17" s="682">
        <f>SUM(Q17:T17)</f>
        <v>58.43</v>
      </c>
      <c r="V17" s="681">
        <v>19.122</v>
      </c>
      <c r="W17" s="681">
        <v>20.277999999999999</v>
      </c>
      <c r="X17" s="681">
        <v>24.896999999999998</v>
      </c>
      <c r="Y17" s="681">
        <v>32.888000000000005</v>
      </c>
      <c r="Z17" s="682">
        <f>SUM(V17:Y17)</f>
        <v>97.185000000000002</v>
      </c>
      <c r="AA17" s="681">
        <v>37.481999999999999</v>
      </c>
      <c r="AB17" s="681">
        <v>35.908000000000001</v>
      </c>
      <c r="AC17" s="681">
        <v>38.692999999999998</v>
      </c>
      <c r="AD17" s="681">
        <v>39.402000000000001</v>
      </c>
      <c r="AE17" s="682">
        <f>SUM(AA17:AD17)</f>
        <v>151.48500000000001</v>
      </c>
      <c r="AF17" s="681">
        <v>40.909999999999997</v>
      </c>
      <c r="AG17" s="681">
        <v>39.722000000000001</v>
      </c>
      <c r="AH17" s="681">
        <v>42.218000000000004</v>
      </c>
      <c r="AI17" s="681">
        <v>42.399000000000001</v>
      </c>
      <c r="AJ17" s="682">
        <f>SUM(AF17:AI17)</f>
        <v>165.24900000000002</v>
      </c>
      <c r="AK17" s="681">
        <v>47.206000000000003</v>
      </c>
      <c r="AL17" s="681">
        <v>50.874000000000002</v>
      </c>
      <c r="AM17" s="681">
        <v>50.103999999999999</v>
      </c>
      <c r="AN17" s="681">
        <v>52.604999999999997</v>
      </c>
      <c r="AO17" s="682">
        <f>SUM(AK17:AN17)</f>
        <v>200.78900000000002</v>
      </c>
      <c r="AP17" s="681">
        <v>48.058</v>
      </c>
      <c r="AQ17" s="681">
        <v>51.683</v>
      </c>
      <c r="AR17" s="681">
        <v>54.536999999999999</v>
      </c>
      <c r="AS17" s="681">
        <v>50.162999999999997</v>
      </c>
      <c r="AT17" s="682">
        <f>SUM(AP17:AS17)</f>
        <v>204.44099999999997</v>
      </c>
      <c r="AU17" s="681">
        <v>63.962000000000003</v>
      </c>
      <c r="AV17" s="681">
        <v>69.055000000000007</v>
      </c>
      <c r="AW17" s="681">
        <f>75.597-1.5</f>
        <v>74.096999999999994</v>
      </c>
      <c r="AX17" s="681">
        <v>84.915999999999997</v>
      </c>
      <c r="AY17" s="682">
        <f>SUM(AU17:AX17)</f>
        <v>292.02999999999997</v>
      </c>
      <c r="AZ17" s="681">
        <v>80.570999999999998</v>
      </c>
      <c r="BA17" s="681">
        <v>81.28</v>
      </c>
      <c r="BB17" s="681">
        <v>88.183000000000007</v>
      </c>
      <c r="BC17" s="681">
        <v>91.263000000000005</v>
      </c>
      <c r="BD17" s="682">
        <f>SUM(AZ17:BC17)</f>
        <v>341.29700000000003</v>
      </c>
      <c r="BE17" s="681">
        <v>93.034000000000006</v>
      </c>
      <c r="BF17" s="681">
        <v>92.399000000000001</v>
      </c>
      <c r="BG17" s="681">
        <f>90.349-4.5</f>
        <v>85.849000000000004</v>
      </c>
      <c r="BH17" s="681">
        <v>86.44</v>
      </c>
      <c r="BI17" s="682">
        <f>SUM(BE17:BH17)</f>
        <v>357.72199999999998</v>
      </c>
      <c r="BJ17" s="681">
        <v>80.491</v>
      </c>
      <c r="BK17" s="681">
        <f>73.975+0.939</f>
        <v>74.913999999999987</v>
      </c>
      <c r="BL17" s="681">
        <v>85.99</v>
      </c>
      <c r="BM17" s="681">
        <v>88.188000000000002</v>
      </c>
      <c r="BN17" s="682">
        <f>SUM(BJ17:BM17)</f>
        <v>329.58299999999997</v>
      </c>
      <c r="BO17" s="681">
        <v>90.879000000000005</v>
      </c>
      <c r="BP17" s="681">
        <f>98.864-12.705</f>
        <v>86.159000000000006</v>
      </c>
      <c r="BQ17" s="681">
        <v>83.751999999999995</v>
      </c>
      <c r="BR17" s="681">
        <v>88.018000000000001</v>
      </c>
      <c r="BS17" s="682">
        <f>SUM(BO17:BR17)</f>
        <v>348.80799999999999</v>
      </c>
      <c r="BT17" s="681">
        <v>98.117000000000004</v>
      </c>
      <c r="BU17" s="681">
        <f>103.533-7.562</f>
        <v>95.971000000000004</v>
      </c>
      <c r="BV17" s="681">
        <f>103.129-6.413</f>
        <v>96.716000000000008</v>
      </c>
      <c r="BW17" s="681">
        <f>100.834-5.052</f>
        <v>95.782000000000011</v>
      </c>
      <c r="BX17" s="682">
        <f>SUM(BT17:BW17)</f>
        <v>386.58600000000001</v>
      </c>
      <c r="BY17" s="681">
        <f>106.636-4.342-5.171</f>
        <v>97.12299999999999</v>
      </c>
      <c r="BZ17" s="681">
        <f>119.903-4.065-4.794-20.127</f>
        <v>90.917000000000016</v>
      </c>
      <c r="CA17" s="681">
        <f>100.261-4.402-4.666</f>
        <v>91.192999999999998</v>
      </c>
      <c r="CB17" s="681">
        <f>104.022-4.325-4.373</f>
        <v>95.323999999999998</v>
      </c>
      <c r="CC17" s="682">
        <f>SUM(BY17:CB17)</f>
        <v>374.55700000000002</v>
      </c>
      <c r="CD17" s="681">
        <f>108.626-3.915-4.946</f>
        <v>99.765000000000001</v>
      </c>
      <c r="CE17" s="681">
        <f>108.266-3.98-4.984</f>
        <v>99.302000000000007</v>
      </c>
      <c r="CF17" s="681">
        <f>103.133-4.906+0.329-2.235</f>
        <v>96.320999999999984</v>
      </c>
      <c r="CG17" s="681">
        <f>115.677-9.25-1.845</f>
        <v>104.58200000000001</v>
      </c>
      <c r="CH17" s="682">
        <f>SUM(CD17:CG17)</f>
        <v>399.96999999999997</v>
      </c>
      <c r="CI17" s="681">
        <f>118.58-9.441</f>
        <v>109.139</v>
      </c>
      <c r="CJ17" s="681">
        <f>118.671-9.173</f>
        <v>109.498</v>
      </c>
      <c r="CK17" s="681">
        <f>123.298-9.572</f>
        <v>113.726</v>
      </c>
      <c r="CL17" s="681">
        <f>120.214-9.169/2</f>
        <v>115.62949999999999</v>
      </c>
      <c r="CM17" s="682">
        <f>SUM(CI17:CL17)</f>
        <v>447.99250000000001</v>
      </c>
      <c r="CN17" s="681">
        <f>138-4.5</f>
        <v>133.5</v>
      </c>
      <c r="CO17" s="681">
        <f>149+89-4-89</f>
        <v>145</v>
      </c>
      <c r="CP17" s="681">
        <f>152+8-4-8</f>
        <v>148</v>
      </c>
      <c r="CQ17" s="681">
        <f>161+34-34-4</f>
        <v>157</v>
      </c>
      <c r="CR17" s="682">
        <f>SUM(CN17:CQ17)</f>
        <v>583.5</v>
      </c>
      <c r="CS17" s="681">
        <f>159+1-6-4-3-1</f>
        <v>146</v>
      </c>
      <c r="CT17" s="681">
        <f>157+2-2-1-4</f>
        <v>152</v>
      </c>
      <c r="CU17" s="681">
        <f>171-4</f>
        <v>167</v>
      </c>
      <c r="CV17" s="681">
        <f>176-4</f>
        <v>172</v>
      </c>
      <c r="CW17" s="682">
        <f>SUM(CS17:CV17)</f>
        <v>637</v>
      </c>
      <c r="CX17" s="681">
        <f>185-4-2</f>
        <v>179</v>
      </c>
      <c r="CY17" s="681">
        <f>198-4</f>
        <v>194</v>
      </c>
      <c r="CZ17" s="681">
        <f>212-3</f>
        <v>209</v>
      </c>
      <c r="DA17" s="681">
        <f>220-2</f>
        <v>218</v>
      </c>
      <c r="DB17" s="682">
        <f>SUM(CX17:DA17)</f>
        <v>800</v>
      </c>
      <c r="DC17" s="681">
        <f>231-2-2</f>
        <v>227</v>
      </c>
      <c r="DD17" s="681">
        <f>237-2</f>
        <v>235</v>
      </c>
      <c r="DE17" s="681">
        <f>258-1-1+4</f>
        <v>260</v>
      </c>
      <c r="DF17" s="681">
        <f>266-7-1</f>
        <v>258</v>
      </c>
      <c r="DG17" s="682">
        <f>SUM(DC17:DF17)</f>
        <v>980</v>
      </c>
      <c r="DH17" s="681">
        <f>264-10-1</f>
        <v>253</v>
      </c>
      <c r="DI17" s="681">
        <f>266-5</f>
        <v>261</v>
      </c>
      <c r="DJ17" s="681">
        <f>277-7</f>
        <v>270</v>
      </c>
      <c r="DK17" s="681">
        <f>287-7</f>
        <v>280</v>
      </c>
      <c r="DL17" s="682">
        <f>SUM(DH17:DK17)</f>
        <v>1064</v>
      </c>
      <c r="DM17" s="681">
        <f>293-4</f>
        <v>289</v>
      </c>
      <c r="DN17" s="681">
        <f>627-229</f>
        <v>398</v>
      </c>
      <c r="DO17" s="681">
        <f>515-106+1</f>
        <v>410</v>
      </c>
      <c r="DP17" s="681">
        <f>503-72</f>
        <v>431</v>
      </c>
      <c r="DQ17" s="682">
        <f>SUM(DM17:DP17)</f>
        <v>1528</v>
      </c>
      <c r="DR17" s="681">
        <f>520-80</f>
        <v>440</v>
      </c>
      <c r="DS17" s="681">
        <f>526-72</f>
        <v>454</v>
      </c>
      <c r="DT17" s="681">
        <f>557-70</f>
        <v>487</v>
      </c>
      <c r="DU17" s="681">
        <f>563-70</f>
        <v>493</v>
      </c>
      <c r="DV17" s="682">
        <f>SUM(DR17:DU17)</f>
        <v>1874</v>
      </c>
      <c r="DW17" s="681">
        <f>592+1353-55-7-1353</f>
        <v>530</v>
      </c>
      <c r="DX17" s="681">
        <f>592-54-2</f>
        <v>536</v>
      </c>
      <c r="DY17" s="681">
        <f>631-54-16</f>
        <v>561</v>
      </c>
      <c r="DZ17" s="681">
        <f>625-54-38</f>
        <v>533</v>
      </c>
      <c r="EA17" s="682">
        <f>SUM(DW17:DZ17)</f>
        <v>2160</v>
      </c>
      <c r="EB17" s="681">
        <f>633-54+4</f>
        <v>583</v>
      </c>
      <c r="EC17" s="681">
        <f>622-18+5</f>
        <v>609</v>
      </c>
      <c r="ED17" s="681">
        <f>689-16</f>
        <v>673</v>
      </c>
      <c r="EE17" s="681">
        <f>711-18</f>
        <v>693</v>
      </c>
      <c r="EF17" s="682">
        <f>SUM(EB17:EE17)</f>
        <v>2558</v>
      </c>
      <c r="EG17" s="681">
        <f>777-21</f>
        <v>756</v>
      </c>
      <c r="EH17" s="681">
        <f>842-26</f>
        <v>816</v>
      </c>
      <c r="EI17" s="681">
        <f>897-39</f>
        <v>858</v>
      </c>
      <c r="EJ17" s="681">
        <f>975-43</f>
        <v>932</v>
      </c>
      <c r="EK17" s="682">
        <f>SUM(EG17:EJ17)</f>
        <v>3362</v>
      </c>
      <c r="EL17" s="681">
        <f>1041-37</f>
        <v>1004</v>
      </c>
      <c r="EM17" s="681">
        <f>1122-37-15</f>
        <v>1070</v>
      </c>
      <c r="EN17" s="681">
        <f>1134-39</f>
        <v>1095</v>
      </c>
      <c r="EO17" s="681">
        <f>1282-90-38</f>
        <v>1154</v>
      </c>
      <c r="EP17" s="682">
        <f>SUM(EL17:EO17)</f>
        <v>4323</v>
      </c>
      <c r="EQ17" s="681">
        <f>1300-172</f>
        <v>1128</v>
      </c>
      <c r="ER17" s="683">
        <f>Worksheet!CY35</f>
        <v>1240.8000000000002</v>
      </c>
      <c r="ES17" s="683">
        <f>Worksheet!CZ35</f>
        <v>1278.0240000000001</v>
      </c>
      <c r="ET17" s="683">
        <f>Worksheet!DA35</f>
        <v>1316.3647200000003</v>
      </c>
      <c r="EU17" s="682">
        <f>SUM(EQ17:ET17)</f>
        <v>4963.188720000001</v>
      </c>
      <c r="EV17" s="683">
        <f>Worksheet!DB35</f>
        <v>1382.1829560000003</v>
      </c>
      <c r="EW17" s="683">
        <f>Worksheet!DC35</f>
        <v>1451.2921038000004</v>
      </c>
      <c r="EX17" s="683">
        <f>Worksheet!DD35</f>
        <v>1509.3437879520004</v>
      </c>
      <c r="EY17" s="683">
        <f>Worksheet!DE35</f>
        <v>1569.7175394700805</v>
      </c>
      <c r="EZ17" s="682">
        <f>SUM(EV17:EY17)</f>
        <v>5912.5363872220823</v>
      </c>
      <c r="FA17" s="683">
        <f>Worksheet!DF35</f>
        <v>1601.1118902594822</v>
      </c>
      <c r="FB17" s="683">
        <f>Worksheet!DG35</f>
        <v>1617.1230091620771</v>
      </c>
      <c r="FC17" s="683">
        <f>Worksheet!DH35</f>
        <v>1633.2942392536979</v>
      </c>
      <c r="FD17" s="683">
        <f>Worksheet!DI35</f>
        <v>1649.6271816462349</v>
      </c>
      <c r="FE17" s="682">
        <f>SUM(FA17:FD17)</f>
        <v>6501.1563203214919</v>
      </c>
      <c r="FF17" s="683">
        <f>Worksheet!DJ35</f>
        <v>1666.1234534626974</v>
      </c>
      <c r="FG17" s="683">
        <f>Worksheet!DK35</f>
        <v>1699.4459225319513</v>
      </c>
      <c r="FH17" s="683">
        <f>Worksheet!DL35</f>
        <v>1716.4403817572709</v>
      </c>
      <c r="FI17" s="683">
        <f>Worksheet!DM35</f>
        <v>1733.6047855748436</v>
      </c>
      <c r="FJ17" s="682">
        <f>SUM(FF17:FI17)</f>
        <v>6815.6145433267639</v>
      </c>
      <c r="FK17" s="683">
        <f>Worksheet!DN35</f>
        <v>1750.940833430592</v>
      </c>
      <c r="FL17" s="683">
        <f>Worksheet!DO35</f>
        <v>1768.450241764898</v>
      </c>
      <c r="FM17" s="683">
        <f>Worksheet!DP35</f>
        <v>1786.1347441825469</v>
      </c>
      <c r="FN17" s="683">
        <f>Worksheet!DQ35</f>
        <v>1803.9960916243724</v>
      </c>
      <c r="FO17" s="682">
        <f>SUM(FK17:FN17)</f>
        <v>7109.52191100241</v>
      </c>
      <c r="FP17" s="682"/>
      <c r="FQ17" s="37"/>
    </row>
    <row r="18" spans="1:173">
      <c r="A18" s="688" t="s">
        <v>322</v>
      </c>
      <c r="B18" s="684">
        <f t="shared" ref="B18:BM18" si="14">B17/B7</f>
        <v>5.9230769230769234</v>
      </c>
      <c r="C18" s="684">
        <f t="shared" si="14"/>
        <v>94.833333333333329</v>
      </c>
      <c r="D18" s="684">
        <f t="shared" si="14"/>
        <v>0.19575557994877424</v>
      </c>
      <c r="E18" s="684">
        <f t="shared" si="14"/>
        <v>9.1739610775898678E-2</v>
      </c>
      <c r="F18" s="680">
        <f>F17/F$7</f>
        <v>0.14388909910219805</v>
      </c>
      <c r="G18" s="684">
        <f t="shared" si="14"/>
        <v>0.13745886848529879</v>
      </c>
      <c r="H18" s="684">
        <f t="shared" si="14"/>
        <v>0.3265205208505027</v>
      </c>
      <c r="I18" s="684">
        <f t="shared" si="14"/>
        <v>8.9803644150431142E-2</v>
      </c>
      <c r="J18" s="684">
        <f t="shared" si="14"/>
        <v>9.7013900544730469E-2</v>
      </c>
      <c r="K18" s="680">
        <f>K17/K$7</f>
        <v>0.11945373079621076</v>
      </c>
      <c r="L18" s="684">
        <f t="shared" si="14"/>
        <v>0.10256554676279253</v>
      </c>
      <c r="M18" s="684">
        <f t="shared" si="14"/>
        <v>0.10402860914928798</v>
      </c>
      <c r="N18" s="684">
        <f t="shared" si="14"/>
        <v>9.5789310931299276E-2</v>
      </c>
      <c r="O18" s="684">
        <f t="shared" si="14"/>
        <v>9.6422871822817335E-2</v>
      </c>
      <c r="P18" s="680">
        <f>P17/P$7</f>
        <v>9.9008023924914229E-2</v>
      </c>
      <c r="Q18" s="684">
        <f t="shared" si="14"/>
        <v>8.158509728386415E-2</v>
      </c>
      <c r="R18" s="684">
        <f t="shared" si="14"/>
        <v>8.6245998653421363E-2</v>
      </c>
      <c r="S18" s="684">
        <f t="shared" si="14"/>
        <v>7.5136466886227854E-2</v>
      </c>
      <c r="T18" s="684">
        <f t="shared" si="14"/>
        <v>7.6712042075378975E-2</v>
      </c>
      <c r="U18" s="680">
        <f>U17/U$7</f>
        <v>7.9468055011533256E-2</v>
      </c>
      <c r="V18" s="684">
        <f t="shared" si="14"/>
        <v>7.936679228994073E-2</v>
      </c>
      <c r="W18" s="684">
        <f t="shared" si="14"/>
        <v>7.8029822029822019E-2</v>
      </c>
      <c r="X18" s="684">
        <f t="shared" si="14"/>
        <v>6.8215444303187059E-2</v>
      </c>
      <c r="Y18" s="684">
        <f t="shared" si="14"/>
        <v>6.5294388589761929E-2</v>
      </c>
      <c r="Z18" s="680">
        <f>Z17/Z$7</f>
        <v>7.0965358156543659E-2</v>
      </c>
      <c r="AA18" s="684">
        <f t="shared" si="14"/>
        <v>6.4302073236633756E-2</v>
      </c>
      <c r="AB18" s="684">
        <f t="shared" si="14"/>
        <v>8.403758615444025E-2</v>
      </c>
      <c r="AC18" s="684">
        <f t="shared" si="14"/>
        <v>8.9920149475719496E-2</v>
      </c>
      <c r="AD18" s="684">
        <f t="shared" si="14"/>
        <v>9.193444520145222E-2</v>
      </c>
      <c r="AE18" s="680">
        <f>AE17/AE$7</f>
        <v>8.1047808496363463E-2</v>
      </c>
      <c r="AF18" s="684">
        <f t="shared" si="14"/>
        <v>0.10101658588138267</v>
      </c>
      <c r="AG18" s="684">
        <f t="shared" si="14"/>
        <v>8.63946199654613E-2</v>
      </c>
      <c r="AH18" s="684">
        <f t="shared" si="14"/>
        <v>8.6855981352441741E-2</v>
      </c>
      <c r="AI18" s="684">
        <f t="shared" si="14"/>
        <v>8.9805748127061186E-2</v>
      </c>
      <c r="AJ18" s="680">
        <f>AJ17/AJ$7</f>
        <v>9.0649471048221422E-2</v>
      </c>
      <c r="AK18" s="684">
        <f t="shared" si="14"/>
        <v>0.10003284559392252</v>
      </c>
      <c r="AL18" s="684">
        <f t="shared" si="14"/>
        <v>0.1115508670989188</v>
      </c>
      <c r="AM18" s="684">
        <f t="shared" si="14"/>
        <v>9.7177801784747983E-2</v>
      </c>
      <c r="AN18" s="684">
        <f t="shared" si="14"/>
        <v>9.286359881089401E-2</v>
      </c>
      <c r="AO18" s="680">
        <f>AO17/AO$7</f>
        <v>9.9893384834975354E-2</v>
      </c>
      <c r="AP18" s="684">
        <f t="shared" si="14"/>
        <v>8.2312801663452353E-2</v>
      </c>
      <c r="AQ18" s="684">
        <f t="shared" si="14"/>
        <v>8.9912875862020972E-2</v>
      </c>
      <c r="AR18" s="684">
        <f t="shared" si="14"/>
        <v>9.3478912952186702E-2</v>
      </c>
      <c r="AS18" s="684">
        <f t="shared" si="14"/>
        <v>7.9169652185715589E-2</v>
      </c>
      <c r="AT18" s="680">
        <f>AT17/AT$7</f>
        <v>8.6055528358744221E-2</v>
      </c>
      <c r="AU18" s="684">
        <f t="shared" si="14"/>
        <v>9.381247185787181E-2</v>
      </c>
      <c r="AV18" s="684">
        <f t="shared" si="14"/>
        <v>0.10044086054349044</v>
      </c>
      <c r="AW18" s="684">
        <f t="shared" si="14"/>
        <v>9.0299205919773029E-2</v>
      </c>
      <c r="AX18" s="684">
        <f t="shared" si="14"/>
        <v>9.6619192989203212E-2</v>
      </c>
      <c r="AY18" s="680">
        <f>AY17/AY$7</f>
        <v>9.5161874248681291E-2</v>
      </c>
      <c r="AZ18" s="684">
        <f t="shared" si="14"/>
        <v>9.5431610366229214E-2</v>
      </c>
      <c r="BA18" s="684">
        <f t="shared" si="14"/>
        <v>8.6906965281052295E-2</v>
      </c>
      <c r="BB18" s="684">
        <f t="shared" si="14"/>
        <v>7.9045569322972367E-2</v>
      </c>
      <c r="BC18" s="684">
        <f t="shared" si="14"/>
        <v>7.5879873288269187E-2</v>
      </c>
      <c r="BD18" s="680">
        <f>BD17/BD$7</f>
        <v>8.3286642296222901E-2</v>
      </c>
      <c r="BE18" s="684">
        <f t="shared" si="14"/>
        <v>8.0661494657478669E-2</v>
      </c>
      <c r="BF18" s="684">
        <f t="shared" si="14"/>
        <v>0.10350787967862919</v>
      </c>
      <c r="BG18" s="684">
        <f t="shared" si="14"/>
        <v>9.5636965203780969E-2</v>
      </c>
      <c r="BH18" s="684">
        <f t="shared" si="14"/>
        <v>0.17965664879245127</v>
      </c>
      <c r="BI18" s="680">
        <f>BI17/BI$7</f>
        <v>0.10444867949308277</v>
      </c>
      <c r="BJ18" s="684">
        <f t="shared" si="14"/>
        <v>0.12117922831063289</v>
      </c>
      <c r="BK18" s="684">
        <f t="shared" si="14"/>
        <v>9.6474012259825881E-2</v>
      </c>
      <c r="BL18" s="684">
        <f t="shared" si="14"/>
        <v>9.5205302001979603E-2</v>
      </c>
      <c r="BM18" s="684">
        <f t="shared" si="14"/>
        <v>8.9759874929770125E-2</v>
      </c>
      <c r="BN18" s="680">
        <f>BN17/BN$7</f>
        <v>9.9079648092783731E-2</v>
      </c>
      <c r="BO18" s="684">
        <f t="shared" ref="BO18:BR18" si="15">BO17/BO7</f>
        <v>9.0714534548862913E-2</v>
      </c>
      <c r="BP18" s="684">
        <f t="shared" si="15"/>
        <v>0.10621073756669068</v>
      </c>
      <c r="BQ18" s="684">
        <f t="shared" si="15"/>
        <v>9.9242575055219023E-2</v>
      </c>
      <c r="BR18" s="684">
        <f t="shared" si="15"/>
        <v>9.9300973853082675E-2</v>
      </c>
      <c r="BS18" s="680">
        <f>BS17/BS$7</f>
        <v>9.8441315730578391E-2</v>
      </c>
      <c r="BT18" s="684">
        <f t="shared" ref="BT18:CG18" si="16">BT17/BT7</f>
        <v>0.10198858882020376</v>
      </c>
      <c r="BU18" s="684">
        <f t="shared" si="16"/>
        <v>9.4411603544259468E-2</v>
      </c>
      <c r="BV18" s="684">
        <f t="shared" si="16"/>
        <v>9.0712637640923674E-2</v>
      </c>
      <c r="BW18" s="684">
        <f t="shared" si="16"/>
        <v>0.10048531568599887</v>
      </c>
      <c r="BX18" s="680">
        <f>BX17/BX$7</f>
        <v>9.6696540459687896E-2</v>
      </c>
      <c r="BY18" s="684">
        <f t="shared" si="16"/>
        <v>0.10501180156928976</v>
      </c>
      <c r="BZ18" s="684">
        <f t="shared" si="16"/>
        <v>8.706273281814092E-2</v>
      </c>
      <c r="CA18" s="684">
        <f t="shared" si="16"/>
        <v>7.5734775062079054E-2</v>
      </c>
      <c r="CB18" s="684">
        <f t="shared" si="16"/>
        <v>8.6117831569551773E-2</v>
      </c>
      <c r="CC18" s="680">
        <f>CC17/CC$7</f>
        <v>8.751006679892033E-2</v>
      </c>
      <c r="CD18" s="684">
        <f t="shared" si="16"/>
        <v>0.1044945267764279</v>
      </c>
      <c r="CE18" s="684">
        <f t="shared" si="16"/>
        <v>0.10161495971298701</v>
      </c>
      <c r="CF18" s="684">
        <f t="shared" si="16"/>
        <v>9.1389009333309276E-2</v>
      </c>
      <c r="CG18" s="684">
        <f t="shared" si="16"/>
        <v>9.1400414955891268E-2</v>
      </c>
      <c r="CH18" s="680">
        <f>CH17/CH$7</f>
        <v>9.6841237704477431E-2</v>
      </c>
      <c r="CI18" s="684">
        <f>CI17/CI7</f>
        <v>9.8966527534328927E-2</v>
      </c>
      <c r="CJ18" s="684">
        <f>CJ17/CJ7</f>
        <v>9.9288735101883893E-2</v>
      </c>
      <c r="CK18" s="684">
        <f>CK17/CK7</f>
        <v>9.2808609886549653E-2</v>
      </c>
      <c r="CL18" s="684">
        <f>CL17/CL7</f>
        <v>9.246557815426297E-2</v>
      </c>
      <c r="CM18" s="680">
        <f>CM17/CM$7</f>
        <v>9.5694078851105008E-2</v>
      </c>
      <c r="CN18" s="684">
        <f>CN17/CN7</f>
        <v>0.1159860990443093</v>
      </c>
      <c r="CO18" s="684">
        <f>CO17/CO7</f>
        <v>0.12575888985255854</v>
      </c>
      <c r="CP18" s="684">
        <f>CP17/CP7</f>
        <v>0.11340996168582375</v>
      </c>
      <c r="CQ18" s="684">
        <f>CQ17/CQ7</f>
        <v>0.11206281227694503</v>
      </c>
      <c r="CR18" s="680">
        <f>CR17/CR$7</f>
        <v>0.11646706586826347</v>
      </c>
      <c r="CS18" s="684">
        <f>CS17/CS7</f>
        <v>0.11187739463601533</v>
      </c>
      <c r="CT18" s="684">
        <f>CT17/CT7</f>
        <v>0.10644257703081232</v>
      </c>
      <c r="CU18" s="684">
        <f>CU17/CU7</f>
        <v>8.3333333333333329E-2</v>
      </c>
      <c r="CV18" s="684">
        <f>CV17/CV7</f>
        <v>7.9153244362632311E-2</v>
      </c>
      <c r="CW18" s="680">
        <f>CW17/CW$7</f>
        <v>9.2185238784370474E-2</v>
      </c>
      <c r="CX18" s="684">
        <f>CX17/CX7</f>
        <v>9.2410944759938052E-2</v>
      </c>
      <c r="CY18" s="684">
        <f>CY17/CY7</f>
        <v>8.6995515695067263E-2</v>
      </c>
      <c r="CZ18" s="684">
        <f>CZ17/CZ7</f>
        <v>7.9286798179059176E-2</v>
      </c>
      <c r="DA18" s="684">
        <f>DA17/DA7</f>
        <v>7.4888354517347988E-2</v>
      </c>
      <c r="DB18" s="680">
        <f>DB17/DB$7</f>
        <v>8.2355363393040976E-2</v>
      </c>
      <c r="DC18" s="684">
        <f>DC17/DC7</f>
        <v>7.0782662924851886E-2</v>
      </c>
      <c r="DD18" s="684">
        <f>DD17/DD7</f>
        <v>7.5248158821645858E-2</v>
      </c>
      <c r="DE18" s="684">
        <f>DE17/DE7</f>
        <v>8.1735303363722103E-2</v>
      </c>
      <c r="DF18" s="684">
        <f>DF17/DF7</f>
        <v>0.11700680272108843</v>
      </c>
      <c r="DG18" s="680">
        <f>DG17/DG$7</f>
        <v>8.3646295664049158E-2</v>
      </c>
      <c r="DH18" s="684">
        <f>DH17/DH7</f>
        <v>0.11396396396396397</v>
      </c>
      <c r="DI18" s="684">
        <f>DI17/DI7</f>
        <v>0.10120201628538193</v>
      </c>
      <c r="DJ18" s="684">
        <f>DJ17/DJ7</f>
        <v>8.9581950895819509E-2</v>
      </c>
      <c r="DK18" s="684">
        <f>DK17/DK7</f>
        <v>9.0177133655394523E-2</v>
      </c>
      <c r="DL18" s="680">
        <f>DL17/DL$7</f>
        <v>9.7453746107345668E-2</v>
      </c>
      <c r="DM18" s="684">
        <f>DM17/DM7</f>
        <v>9.3831168831168835E-2</v>
      </c>
      <c r="DN18" s="684">
        <f>DN17/DN7</f>
        <v>0.10294878427315055</v>
      </c>
      <c r="DO18" s="684">
        <f>DO17/DO7</f>
        <v>8.6754126110876004E-2</v>
      </c>
      <c r="DP18" s="684">
        <f>DP17/DP7</f>
        <v>8.6148311013391959E-2</v>
      </c>
      <c r="DQ18" s="680">
        <f>DQ17/DQ$7</f>
        <v>9.1634182908545733E-2</v>
      </c>
      <c r="DR18" s="684">
        <f>DR17/DR7</f>
        <v>7.7724783607136555E-2</v>
      </c>
      <c r="DS18" s="684">
        <f>DS17/DS7</f>
        <v>6.9771015829107122E-2</v>
      </c>
      <c r="DT18" s="684">
        <f>DT17/DT7</f>
        <v>6.8562579191890752E-2</v>
      </c>
      <c r="DU18" s="684">
        <f>DU17/DU7</f>
        <v>6.4503467224911681E-2</v>
      </c>
      <c r="DV18" s="680">
        <f>DV17/DV$7</f>
        <v>6.962918926952516E-2</v>
      </c>
      <c r="DW18" s="684">
        <f>DW17/DW7</f>
        <v>6.3947876447876445E-2</v>
      </c>
      <c r="DX18" s="684">
        <f>DX17/DX7</f>
        <v>7.995226730310262E-2</v>
      </c>
      <c r="DY18" s="684">
        <f>DY17/DY7</f>
        <v>9.4587759231158322E-2</v>
      </c>
      <c r="DZ18" s="684">
        <f>DZ17/DZ7</f>
        <v>8.8084614113369694E-2</v>
      </c>
      <c r="EA18" s="680">
        <f>EA17/EA$7</f>
        <v>8.0077111292355604E-2</v>
      </c>
      <c r="EB18" s="684">
        <f>EB17/EB7</f>
        <v>8.10622914349277E-2</v>
      </c>
      <c r="EC18" s="684">
        <f>EC17/EC7</f>
        <v>4.5087732286962313E-2</v>
      </c>
      <c r="ED18" s="684">
        <f>ED17/ED7</f>
        <v>3.7141280353200884E-2</v>
      </c>
      <c r="EE18" s="684">
        <f>EE17/EE7</f>
        <v>3.1353209971497084E-2</v>
      </c>
      <c r="EF18" s="680">
        <f>EF17/EF$7</f>
        <v>4.19881159515446E-2</v>
      </c>
      <c r="EG18" s="684">
        <f>EG17/EG7</f>
        <v>2.9027799109199816E-2</v>
      </c>
      <c r="EH18" s="684">
        <f>EH17/EH7</f>
        <v>2.7163781624500664E-2</v>
      </c>
      <c r="EI18" s="684">
        <f>EI17/EI7</f>
        <v>2.4456986488797672E-2</v>
      </c>
      <c r="EJ18" s="684">
        <f>EJ17/EJ7</f>
        <v>2.3696320968193029E-2</v>
      </c>
      <c r="EK18" s="680">
        <f>EK17/EK$7</f>
        <v>2.5763044361173052E-2</v>
      </c>
      <c r="EL18" s="684">
        <f>EL17/EL7</f>
        <v>2.2786074168217513E-2</v>
      </c>
      <c r="EM18" s="684">
        <f>EM17/EM7</f>
        <v>2.289112808334938E-2</v>
      </c>
      <c r="EN18" s="684">
        <f>EN17/EN7</f>
        <v>1.9208504367961267E-2</v>
      </c>
      <c r="EO18" s="684">
        <f>EO17/EO7</f>
        <v>1.6938952250943093E-2</v>
      </c>
      <c r="EP18" s="680">
        <f>EP17/EP$7</f>
        <v>2.0019635265678112E-2</v>
      </c>
      <c r="EQ18" s="684">
        <f>EQ17/EQ7</f>
        <v>1.3820988788825584E-2</v>
      </c>
      <c r="ER18" s="684">
        <f>ER17/ER7</f>
        <v>1.3334809893393159E-2</v>
      </c>
      <c r="ES18" s="684">
        <f>ES17/ES7</f>
        <v>1.154937766855915E-2</v>
      </c>
      <c r="ET18" s="684">
        <f>ET17/ET7</f>
        <v>1.0486291374225664E-2</v>
      </c>
      <c r="EU18" s="680">
        <f>EU17/EU$7</f>
        <v>1.2080174822699822E-2</v>
      </c>
      <c r="EV18" s="684">
        <f>EV17/EV7</f>
        <v>1.0085120172948409E-2</v>
      </c>
      <c r="EW18" s="684">
        <f>EW17/EW7</f>
        <v>9.645786322171071E-3</v>
      </c>
      <c r="EX18" s="684">
        <f>EX17/EX7</f>
        <v>8.973871155230571E-3</v>
      </c>
      <c r="EY18" s="684">
        <f>EY17/EY7</f>
        <v>8.7490238966098522E-3</v>
      </c>
      <c r="EZ18" s="680">
        <f>EZ17/EZ$7</f>
        <v>9.3093240196277915E-3</v>
      </c>
      <c r="FA18" s="684">
        <f>FA17/FA7</f>
        <v>8.6984711336784374E-3</v>
      </c>
      <c r="FB18" s="684">
        <f>FB17/FB7</f>
        <v>8.5226773568283266E-3</v>
      </c>
      <c r="FC18" s="684">
        <f>FC17/FC7</f>
        <v>8.044296558234975E-3</v>
      </c>
      <c r="FD18" s="684">
        <f>FD17/FD7</f>
        <v>7.7384209411960406E-3</v>
      </c>
      <c r="FE18" s="680">
        <f>FE17/FE$7</f>
        <v>8.229073214574837E-3</v>
      </c>
      <c r="FF18" s="684">
        <f>FF17/FF7</f>
        <v>7.7604654353998345E-3</v>
      </c>
      <c r="FG18" s="684">
        <f>FG17/FG7</f>
        <v>7.8259440264571555E-3</v>
      </c>
      <c r="FH18" s="684">
        <f>FH17/FH7</f>
        <v>7.6624189079071469E-3</v>
      </c>
      <c r="FI18" s="684">
        <f>FI17/FI7</f>
        <v>7.5783658287942599E-3</v>
      </c>
      <c r="FJ18" s="680">
        <f>FJ17/FJ$7</f>
        <v>7.7046210519967576E-3</v>
      </c>
      <c r="FK18" s="684">
        <f>FK17/FK7</f>
        <v>7.5282903095870339E-3</v>
      </c>
      <c r="FL18" s="684">
        <f>FL17/FL7</f>
        <v>7.3770981440480186E-3</v>
      </c>
      <c r="FM18" s="684">
        <f>FM17/FM7</f>
        <v>7.0269889604389121E-3</v>
      </c>
      <c r="FN18" s="684">
        <f>FN17/FN7</f>
        <v>6.8218847551104632E-3</v>
      </c>
      <c r="FO18" s="680">
        <f>FO17/FO$7</f>
        <v>7.174612139502024E-3</v>
      </c>
      <c r="FP18" s="680"/>
      <c r="FQ18" s="37"/>
    </row>
    <row r="19" spans="1:173">
      <c r="A19" s="171" t="s">
        <v>235</v>
      </c>
      <c r="B19" s="681">
        <v>0.61599999999999999</v>
      </c>
      <c r="C19" s="681">
        <v>0.51200000000000001</v>
      </c>
      <c r="D19" s="681">
        <v>2.39</v>
      </c>
      <c r="E19" s="681">
        <v>3.585</v>
      </c>
      <c r="F19" s="682">
        <f>SUM(B19:E19)</f>
        <v>7.1029999999999998</v>
      </c>
      <c r="G19" s="681">
        <v>4.6420000000000003</v>
      </c>
      <c r="H19" s="681">
        <v>5.7240000000000002</v>
      </c>
      <c r="I19" s="681">
        <v>6.29</v>
      </c>
      <c r="J19" s="681">
        <v>8.4170000000000016</v>
      </c>
      <c r="K19" s="682">
        <f>SUM(G19:J19)</f>
        <v>25.073</v>
      </c>
      <c r="L19" s="681">
        <v>8.7850000000000001</v>
      </c>
      <c r="M19" s="681">
        <v>10.813000000000001</v>
      </c>
      <c r="N19" s="681">
        <v>12.42</v>
      </c>
      <c r="O19" s="681">
        <v>15.420999999999999</v>
      </c>
      <c r="P19" s="682">
        <f>SUM(L19:O19)</f>
        <v>47.439</v>
      </c>
      <c r="Q19" s="681">
        <v>17.829999999999998</v>
      </c>
      <c r="R19" s="681">
        <v>20.140999999999998</v>
      </c>
      <c r="S19" s="681">
        <v>22.023</v>
      </c>
      <c r="T19" s="681">
        <v>26.442000000000007</v>
      </c>
      <c r="U19" s="682">
        <f>SUM(Q19:T19)</f>
        <v>86.436000000000007</v>
      </c>
      <c r="V19" s="681">
        <v>32.593000000000004</v>
      </c>
      <c r="W19" s="681">
        <v>33.893999999999998</v>
      </c>
      <c r="X19" s="681">
        <v>44.308</v>
      </c>
      <c r="Y19" s="681">
        <v>43.125</v>
      </c>
      <c r="Z19" s="682">
        <f>SUM(V19:Y19)</f>
        <v>153.91999999999999</v>
      </c>
      <c r="AA19" s="681">
        <v>52.491999999999997</v>
      </c>
      <c r="AB19" s="681">
        <v>57.228999999999999</v>
      </c>
      <c r="AC19" s="681">
        <v>57.779000000000003</v>
      </c>
      <c r="AD19" s="681">
        <v>57.372999999999998</v>
      </c>
      <c r="AE19" s="682">
        <f>SUM(AA19:AD19)</f>
        <v>224.87299999999999</v>
      </c>
      <c r="AF19" s="681">
        <v>59.31</v>
      </c>
      <c r="AG19" s="681">
        <v>65.62</v>
      </c>
      <c r="AH19" s="681">
        <v>73.052000000000007</v>
      </c>
      <c r="AI19" s="681">
        <v>71.989999999999995</v>
      </c>
      <c r="AJ19" s="682">
        <f>SUM(AF19:AI19)</f>
        <v>269.97200000000004</v>
      </c>
      <c r="AK19" s="681">
        <v>77.75</v>
      </c>
      <c r="AL19" s="681">
        <v>85.42</v>
      </c>
      <c r="AM19" s="681">
        <v>87.88</v>
      </c>
      <c r="AN19" s="681">
        <v>84.054000000000002</v>
      </c>
      <c r="AO19" s="682">
        <f>SUM(AK19:AN19)</f>
        <v>335.10400000000004</v>
      </c>
      <c r="AP19" s="681">
        <v>85.912999999999997</v>
      </c>
      <c r="AQ19" s="681">
        <v>85.813999999999993</v>
      </c>
      <c r="AR19" s="681">
        <v>87.936999999999998</v>
      </c>
      <c r="AS19" s="681">
        <v>92.435000000000002</v>
      </c>
      <c r="AT19" s="682">
        <f>SUM(AP19:AS19)</f>
        <v>352.09899999999999</v>
      </c>
      <c r="AU19" s="681">
        <v>123.202</v>
      </c>
      <c r="AV19" s="681">
        <v>127.25700000000001</v>
      </c>
      <c r="AW19" s="681">
        <v>140.732</v>
      </c>
      <c r="AX19" s="681">
        <f>162.276-13.4</f>
        <v>148.876</v>
      </c>
      <c r="AY19" s="682">
        <f>SUM(AU19:AX19)</f>
        <v>540.06700000000001</v>
      </c>
      <c r="AZ19" s="681">
        <v>158.321</v>
      </c>
      <c r="BA19" s="681">
        <v>157.952</v>
      </c>
      <c r="BB19" s="681">
        <v>179.529</v>
      </c>
      <c r="BC19" s="681">
        <f>195.835-4</f>
        <v>191.83500000000001</v>
      </c>
      <c r="BD19" s="682">
        <f>SUM(AZ19:BC19)</f>
        <v>687.63700000000006</v>
      </c>
      <c r="BE19" s="681">
        <v>218.83</v>
      </c>
      <c r="BF19" s="681">
        <v>212.91</v>
      </c>
      <c r="BG19" s="681">
        <v>212.36</v>
      </c>
      <c r="BH19" s="681">
        <v>211.779</v>
      </c>
      <c r="BI19" s="682">
        <f>SUM(BE19:BH19)</f>
        <v>855.87900000000002</v>
      </c>
      <c r="BJ19" s="681">
        <v>211.34100000000001</v>
      </c>
      <c r="BK19" s="681">
        <v>192.85499999999999</v>
      </c>
      <c r="BL19" s="681">
        <v>197.94800000000001</v>
      </c>
      <c r="BM19" s="681">
        <v>216.251</v>
      </c>
      <c r="BN19" s="682">
        <f>SUM(BJ19:BM19)</f>
        <v>818.39499999999998</v>
      </c>
      <c r="BO19" s="681">
        <v>218.10499999999999</v>
      </c>
      <c r="BP19" s="681">
        <v>210.63499999999999</v>
      </c>
      <c r="BQ19" s="681">
        <v>204.52699999999999</v>
      </c>
      <c r="BR19" s="681">
        <v>215.56299999999999</v>
      </c>
      <c r="BS19" s="682">
        <f>SUM(BO19:BR19)</f>
        <v>848.83</v>
      </c>
      <c r="BT19" s="681">
        <v>231.524</v>
      </c>
      <c r="BU19" s="681">
        <v>247.721</v>
      </c>
      <c r="BV19" s="681">
        <v>256.49799999999999</v>
      </c>
      <c r="BW19" s="681">
        <v>266.86200000000002</v>
      </c>
      <c r="BX19" s="682">
        <f>SUM(BT19:BW19)</f>
        <v>1002.605</v>
      </c>
      <c r="BY19" s="681">
        <v>283.90199999999999</v>
      </c>
      <c r="BZ19" s="681">
        <v>281.19299999999998</v>
      </c>
      <c r="CA19" s="681">
        <v>284.18</v>
      </c>
      <c r="CB19" s="681">
        <f>298.007</f>
        <v>298.00700000000001</v>
      </c>
      <c r="CC19" s="682">
        <f>SUM(BY19:CB19)</f>
        <v>1147.2820000000002</v>
      </c>
      <c r="CD19" s="681">
        <f>327.161</f>
        <v>327.161</v>
      </c>
      <c r="CE19" s="681">
        <v>331.738</v>
      </c>
      <c r="CF19" s="681">
        <v>340.29399999999998</v>
      </c>
      <c r="CG19" s="681">
        <f>336.641</f>
        <v>336.64100000000002</v>
      </c>
      <c r="CH19" s="682">
        <f>SUM(CD19:CG19)</f>
        <v>1335.8340000000001</v>
      </c>
      <c r="CI19" s="681">
        <v>334.26299999999998</v>
      </c>
      <c r="CJ19" s="681">
        <v>337.12400000000002</v>
      </c>
      <c r="CK19" s="681">
        <v>340.08499999999998</v>
      </c>
      <c r="CL19" s="681">
        <f>348.253-9.169/2</f>
        <v>343.66849999999999</v>
      </c>
      <c r="CM19" s="682">
        <f>SUM(CI19:CL19)</f>
        <v>1355.1405</v>
      </c>
      <c r="CN19" s="681">
        <f>339-4.5</f>
        <v>334.5</v>
      </c>
      <c r="CO19" s="681">
        <f>320</f>
        <v>320</v>
      </c>
      <c r="CP19" s="681">
        <f>329</f>
        <v>329</v>
      </c>
      <c r="CQ19" s="681">
        <f>344</f>
        <v>344</v>
      </c>
      <c r="CR19" s="682">
        <f>SUM(CN19:CQ19)</f>
        <v>1327.5</v>
      </c>
      <c r="CS19" s="681">
        <f>346</f>
        <v>346</v>
      </c>
      <c r="CT19" s="681">
        <v>350</v>
      </c>
      <c r="CU19" s="681">
        <f>373</f>
        <v>373</v>
      </c>
      <c r="CV19" s="681">
        <f>394</f>
        <v>394</v>
      </c>
      <c r="CW19" s="682">
        <f>SUM(CS19:CV19)</f>
        <v>1463</v>
      </c>
      <c r="CX19" s="681">
        <f>411</f>
        <v>411</v>
      </c>
      <c r="CY19" s="681">
        <v>416</v>
      </c>
      <c r="CZ19" s="681">
        <v>462</v>
      </c>
      <c r="DA19" s="681">
        <v>508</v>
      </c>
      <c r="DB19" s="682">
        <f>SUM(CX19:DA19)</f>
        <v>1797</v>
      </c>
      <c r="DC19" s="681">
        <v>542</v>
      </c>
      <c r="DD19" s="681">
        <v>581</v>
      </c>
      <c r="DE19" s="681">
        <v>605</v>
      </c>
      <c r="DF19" s="681">
        <v>647</v>
      </c>
      <c r="DG19" s="682">
        <f>SUM(DC19:DF19)</f>
        <v>2375</v>
      </c>
      <c r="DH19" s="681">
        <v>674</v>
      </c>
      <c r="DI19" s="681">
        <v>704</v>
      </c>
      <c r="DJ19" s="681">
        <v>712</v>
      </c>
      <c r="DK19" s="681">
        <v>738</v>
      </c>
      <c r="DL19" s="682">
        <f>SUM(DH19:DK19)</f>
        <v>2828</v>
      </c>
      <c r="DM19" s="681">
        <v>735</v>
      </c>
      <c r="DN19" s="681">
        <v>997</v>
      </c>
      <c r="DO19" s="681">
        <v>1047</v>
      </c>
      <c r="DP19" s="681">
        <f>1147</f>
        <v>1147</v>
      </c>
      <c r="DQ19" s="682">
        <f>SUM(DM19:DP19)</f>
        <v>3926</v>
      </c>
      <c r="DR19" s="681">
        <v>1153</v>
      </c>
      <c r="DS19" s="681">
        <f>1245</f>
        <v>1245</v>
      </c>
      <c r="DT19" s="681">
        <v>1403</v>
      </c>
      <c r="DU19" s="681">
        <f>1466</f>
        <v>1466</v>
      </c>
      <c r="DV19" s="682">
        <f>SUM(DR19:DU19)</f>
        <v>5267</v>
      </c>
      <c r="DW19" s="681">
        <v>1618</v>
      </c>
      <c r="DX19" s="681">
        <v>1824</v>
      </c>
      <c r="DY19" s="681">
        <v>1945</v>
      </c>
      <c r="DZ19" s="681">
        <v>1951</v>
      </c>
      <c r="EA19" s="682">
        <f>SUM(DW19:DZ19)</f>
        <v>7338</v>
      </c>
      <c r="EB19" s="681">
        <v>1875</v>
      </c>
      <c r="EC19" s="681">
        <v>2040</v>
      </c>
      <c r="ED19" s="681">
        <v>2294</v>
      </c>
      <c r="EE19" s="681">
        <v>2465</v>
      </c>
      <c r="EF19" s="682">
        <f>SUM(EB19:EE19)</f>
        <v>8674</v>
      </c>
      <c r="EG19" s="681">
        <v>2720</v>
      </c>
      <c r="EH19" s="681">
        <v>3090</v>
      </c>
      <c r="EI19" s="681">
        <v>3390</v>
      </c>
      <c r="EJ19" s="681">
        <v>3714</v>
      </c>
      <c r="EK19" s="682">
        <f>SUM(EG19:EJ19)</f>
        <v>12914</v>
      </c>
      <c r="EL19" s="681">
        <v>3989</v>
      </c>
      <c r="EM19" s="681">
        <v>4291</v>
      </c>
      <c r="EN19" s="681">
        <v>4705</v>
      </c>
      <c r="EO19" s="681">
        <v>5512</v>
      </c>
      <c r="EP19" s="682">
        <f>SUM(EL19:EO19)</f>
        <v>18497</v>
      </c>
      <c r="EQ19" s="681">
        <v>6321</v>
      </c>
      <c r="ER19" s="683">
        <f>Worksheet!CY30</f>
        <v>7079.52</v>
      </c>
      <c r="ES19" s="683">
        <f>Worksheet!CZ30</f>
        <v>7433.496000000001</v>
      </c>
      <c r="ET19" s="683">
        <f>Worksheet!DA30</f>
        <v>7730.8358400000016</v>
      </c>
      <c r="EU19" s="682">
        <f>SUM(EQ19:ET19)</f>
        <v>28564.851840000003</v>
      </c>
      <c r="EV19" s="683">
        <f>Worksheet!DB30</f>
        <v>8349.3027072000023</v>
      </c>
      <c r="EW19" s="683">
        <f>Worksheet!DC30</f>
        <v>9100.739950848003</v>
      </c>
      <c r="EX19" s="683">
        <f>Worksheet!DD30</f>
        <v>9737.7917474073638</v>
      </c>
      <c r="EY19" s="683">
        <f>Worksheet!DE30</f>
        <v>10322.059252251805</v>
      </c>
      <c r="EZ19" s="682">
        <f>SUM(EV19:EY19)</f>
        <v>37509.893657707173</v>
      </c>
      <c r="FA19" s="683">
        <f>Worksheet!DF30</f>
        <v>10734.941622341878</v>
      </c>
      <c r="FB19" s="683">
        <f>Worksheet!DG30</f>
        <v>11164.339287235553</v>
      </c>
      <c r="FC19" s="683">
        <f>Worksheet!DH30</f>
        <v>11499.26946585262</v>
      </c>
      <c r="FD19" s="683">
        <f>Worksheet!DI30</f>
        <v>11844.247549828198</v>
      </c>
      <c r="FE19" s="682">
        <f>SUM(FA19:FD19)</f>
        <v>45242.797925258245</v>
      </c>
      <c r="FF19" s="683">
        <f>Worksheet!DJ30</f>
        <v>12081.132500824762</v>
      </c>
      <c r="FG19" s="683">
        <f>Worksheet!DK30</f>
        <v>12322.755150841258</v>
      </c>
      <c r="FH19" s="683">
        <f>Worksheet!DL30</f>
        <v>12445.982702349671</v>
      </c>
      <c r="FI19" s="683">
        <f>Worksheet!DM30</f>
        <v>12694.902356396664</v>
      </c>
      <c r="FJ19" s="682">
        <f>SUM(FF19:FI19)</f>
        <v>49544.772710412355</v>
      </c>
      <c r="FK19" s="683">
        <f>Worksheet!DN30</f>
        <v>12948.800403524598</v>
      </c>
      <c r="FL19" s="683">
        <f>Worksheet!DO30</f>
        <v>13337.264415630336</v>
      </c>
      <c r="FM19" s="683">
        <f>Worksheet!DP30</f>
        <v>13737.382348099247</v>
      </c>
      <c r="FN19" s="683">
        <f>Worksheet!DQ30</f>
        <v>14149.503818542225</v>
      </c>
      <c r="FO19" s="682">
        <f>SUM(FK19:FN19)</f>
        <v>54172.950985796408</v>
      </c>
      <c r="FP19" s="682"/>
      <c r="FQ19" s="37"/>
    </row>
    <row r="20" spans="1:173">
      <c r="A20" s="688" t="s">
        <v>322</v>
      </c>
      <c r="B20" s="684">
        <f t="shared" ref="B20:BM20" si="17">B19/B7</f>
        <v>9.476923076923077</v>
      </c>
      <c r="C20" s="684">
        <f t="shared" si="17"/>
        <v>85.333333333333329</v>
      </c>
      <c r="D20" s="684">
        <f t="shared" si="17"/>
        <v>0.4372484449323088</v>
      </c>
      <c r="E20" s="684">
        <f t="shared" si="17"/>
        <v>0.15233279510495451</v>
      </c>
      <c r="F20" s="680">
        <f>F19/F$7</f>
        <v>0.2443328402875718</v>
      </c>
      <c r="G20" s="684">
        <f t="shared" si="17"/>
        <v>0.16424300321975729</v>
      </c>
      <c r="H20" s="684">
        <f t="shared" si="17"/>
        <v>0.47173232239986812</v>
      </c>
      <c r="I20" s="684">
        <f t="shared" si="17"/>
        <v>0.12026078810010898</v>
      </c>
      <c r="J20" s="684">
        <f t="shared" si="17"/>
        <v>0.12843126783343764</v>
      </c>
      <c r="K20" s="680">
        <f>K19/K$7</f>
        <v>0.15845219512503397</v>
      </c>
      <c r="L20" s="684">
        <f t="shared" si="17"/>
        <v>0.12370103354079248</v>
      </c>
      <c r="M20" s="684">
        <f t="shared" si="17"/>
        <v>0.13859799787225863</v>
      </c>
      <c r="N20" s="684">
        <f t="shared" si="17"/>
        <v>0.12802143998350771</v>
      </c>
      <c r="O20" s="684">
        <f t="shared" si="17"/>
        <v>0.12004982289517728</v>
      </c>
      <c r="P20" s="680">
        <f>P19/P$7</f>
        <v>0.12667120599190931</v>
      </c>
      <c r="Q20" s="684">
        <f t="shared" si="17"/>
        <v>0.12008108672373267</v>
      </c>
      <c r="R20" s="684">
        <f t="shared" si="17"/>
        <v>0.11895368478248028</v>
      </c>
      <c r="S20" s="684">
        <f t="shared" si="17"/>
        <v>0.11141465191458362</v>
      </c>
      <c r="T20" s="684">
        <f t="shared" si="17"/>
        <v>0.12030246228320811</v>
      </c>
      <c r="U20" s="680">
        <f>U19/U$7</f>
        <v>0.11755777516647081</v>
      </c>
      <c r="V20" s="684">
        <f t="shared" si="17"/>
        <v>0.13527883386183656</v>
      </c>
      <c r="W20" s="684">
        <f t="shared" si="17"/>
        <v>0.13042424242424241</v>
      </c>
      <c r="X20" s="684">
        <f t="shared" si="17"/>
        <v>0.12139976327210557</v>
      </c>
      <c r="Y20" s="684">
        <f t="shared" si="17"/>
        <v>8.5618478105493875E-2</v>
      </c>
      <c r="Z20" s="680">
        <f>Z19/Z$7</f>
        <v>0.11239376372336471</v>
      </c>
      <c r="AA20" s="684">
        <f t="shared" si="17"/>
        <v>9.0052409912421402E-2</v>
      </c>
      <c r="AB20" s="684">
        <f t="shared" si="17"/>
        <v>0.13393636565758216</v>
      </c>
      <c r="AC20" s="684">
        <f t="shared" si="17"/>
        <v>0.13427483825388564</v>
      </c>
      <c r="AD20" s="684">
        <f t="shared" si="17"/>
        <v>0.13386515721392106</v>
      </c>
      <c r="AE20" s="680">
        <f>AE19/AE$7</f>
        <v>0.12031200343270118</v>
      </c>
      <c r="AF20" s="684">
        <f t="shared" si="17"/>
        <v>0.14645059175323408</v>
      </c>
      <c r="AG20" s="684">
        <f t="shared" si="17"/>
        <v>0.14272229399661573</v>
      </c>
      <c r="AH20" s="684">
        <f t="shared" si="17"/>
        <v>0.15029141953097194</v>
      </c>
      <c r="AI20" s="684">
        <f t="shared" si="17"/>
        <v>0.15248274269834511</v>
      </c>
      <c r="AJ20" s="680">
        <f>AJ19/AJ$7</f>
        <v>0.14809662386961758</v>
      </c>
      <c r="AK20" s="684">
        <f t="shared" si="17"/>
        <v>0.16475773725643933</v>
      </c>
      <c r="AL20" s="684">
        <f t="shared" si="17"/>
        <v>0.18729950598713771</v>
      </c>
      <c r="AM20" s="684">
        <f t="shared" si="17"/>
        <v>0.17044517844570597</v>
      </c>
      <c r="AN20" s="684">
        <f t="shared" si="17"/>
        <v>0.14838051391409346</v>
      </c>
      <c r="AO20" s="680">
        <f>AO19/AO$7</f>
        <v>0.16671567083724498</v>
      </c>
      <c r="AP20" s="684">
        <f t="shared" si="17"/>
        <v>0.14715010465088396</v>
      </c>
      <c r="AQ20" s="684">
        <f t="shared" si="17"/>
        <v>0.14929055064960367</v>
      </c>
      <c r="AR20" s="684">
        <f t="shared" si="17"/>
        <v>0.15072804093141245</v>
      </c>
      <c r="AS20" s="684">
        <f t="shared" si="17"/>
        <v>0.14588534975552939</v>
      </c>
      <c r="AT20" s="680">
        <f>AT19/AT$7</f>
        <v>0.14820933902487995</v>
      </c>
      <c r="AU20" s="684">
        <f t="shared" si="17"/>
        <v>0.18069923013404085</v>
      </c>
      <c r="AV20" s="684">
        <f t="shared" si="17"/>
        <v>0.18509597552940354</v>
      </c>
      <c r="AW20" s="684">
        <f t="shared" si="17"/>
        <v>0.17150475521952979</v>
      </c>
      <c r="AX20" s="684">
        <f t="shared" si="17"/>
        <v>0.16939421281573105</v>
      </c>
      <c r="AY20" s="680">
        <f>AY19/AY$7</f>
        <v>0.17598804211848978</v>
      </c>
      <c r="AZ20" s="684">
        <f t="shared" si="17"/>
        <v>0.18752191216184205</v>
      </c>
      <c r="BA20" s="684">
        <f t="shared" si="17"/>
        <v>0.16888692150680082</v>
      </c>
      <c r="BB20" s="684">
        <f t="shared" si="17"/>
        <v>0.16092639187807067</v>
      </c>
      <c r="BC20" s="684">
        <f t="shared" si="17"/>
        <v>0.15949963832281561</v>
      </c>
      <c r="BD20" s="680">
        <f>BD19/BD$7</f>
        <v>0.16780392692771348</v>
      </c>
      <c r="BE20" s="684">
        <f t="shared" si="17"/>
        <v>0.18972800133172882</v>
      </c>
      <c r="BF20" s="684">
        <f t="shared" si="17"/>
        <v>0.23850758841953854</v>
      </c>
      <c r="BG20" s="684">
        <f t="shared" si="17"/>
        <v>0.23657195693222899</v>
      </c>
      <c r="BH20" s="684">
        <f t="shared" si="17"/>
        <v>0.44016086793864573</v>
      </c>
      <c r="BI20" s="680">
        <f>BI19/BI$7</f>
        <v>0.24990196676709903</v>
      </c>
      <c r="BJ20" s="684">
        <f t="shared" si="17"/>
        <v>0.31817394852092118</v>
      </c>
      <c r="BK20" s="684">
        <f t="shared" si="17"/>
        <v>0.24835805903260702</v>
      </c>
      <c r="BL20" s="684">
        <f t="shared" si="17"/>
        <v>0.21916152018476406</v>
      </c>
      <c r="BM20" s="684">
        <f t="shared" si="17"/>
        <v>0.22010548729348348</v>
      </c>
      <c r="BN20" s="680">
        <f>BN19/BN$7</f>
        <v>0.24602691461906032</v>
      </c>
      <c r="BO20" s="684">
        <f t="shared" ref="BO20:BR20" si="18">BO19/BO7</f>
        <v>0.2177102912419783</v>
      </c>
      <c r="BP20" s="684">
        <f t="shared" si="18"/>
        <v>0.25965596986223016</v>
      </c>
      <c r="BQ20" s="684">
        <f t="shared" si="18"/>
        <v>0.24235583804946484</v>
      </c>
      <c r="BR20" s="684">
        <f t="shared" si="18"/>
        <v>0.24319588978040921</v>
      </c>
      <c r="BS20" s="680">
        <f>BS19/BS$7</f>
        <v>0.23955855952726673</v>
      </c>
      <c r="BT20" s="684">
        <f t="shared" ref="BT20:CB20" si="19">BT19/BT7</f>
        <v>0.24065968219583614</v>
      </c>
      <c r="BU20" s="684">
        <f t="shared" si="19"/>
        <v>0.24369587522884514</v>
      </c>
      <c r="BV20" s="684">
        <f t="shared" si="19"/>
        <v>0.24057663809112906</v>
      </c>
      <c r="BW20" s="684">
        <f t="shared" si="19"/>
        <v>0.27996609294645164</v>
      </c>
      <c r="BX20" s="680">
        <f>BX19/BX$7</f>
        <v>0.25078102918260203</v>
      </c>
      <c r="BY20" s="684">
        <f t="shared" si="19"/>
        <v>0.30696189871734297</v>
      </c>
      <c r="BZ20" s="684">
        <f t="shared" si="19"/>
        <v>0.26927231463127349</v>
      </c>
      <c r="CA20" s="684">
        <f t="shared" si="19"/>
        <v>0.23600833810864458</v>
      </c>
      <c r="CB20" s="684">
        <f t="shared" si="19"/>
        <v>0.26922618262502007</v>
      </c>
      <c r="CC20" s="680">
        <f>CC19/CC$7</f>
        <v>0.26804658425072531</v>
      </c>
      <c r="CD20" s="684">
        <f t="shared" ref="CD20:CI20" si="20">CD19/CD7</f>
        <v>0.34267061469155441</v>
      </c>
      <c r="CE20" s="684">
        <f t="shared" si="20"/>
        <v>0.33946490005505309</v>
      </c>
      <c r="CF20" s="684">
        <f t="shared" si="20"/>
        <v>0.32286969136604843</v>
      </c>
      <c r="CG20" s="684">
        <f t="shared" si="20"/>
        <v>0.29421054379497613</v>
      </c>
      <c r="CH20" s="680">
        <f>CH19/CH$7</f>
        <v>0.32343380235448393</v>
      </c>
      <c r="CI20" s="684">
        <f t="shared" si="20"/>
        <v>0.30310749038572271</v>
      </c>
      <c r="CJ20" s="684">
        <f>CJ19/CJ7</f>
        <v>0.30569157000573072</v>
      </c>
      <c r="CK20" s="684">
        <f>CK19/CK7</f>
        <v>0.27753386290968857</v>
      </c>
      <c r="CL20" s="684">
        <f>CL19/CL7</f>
        <v>0.27482179327860384</v>
      </c>
      <c r="CM20" s="680">
        <f>CM19/CM$7</f>
        <v>0.28946672513786698</v>
      </c>
      <c r="CN20" s="684">
        <f>CN19/CN7</f>
        <v>0.29061685490877498</v>
      </c>
      <c r="CO20" s="684">
        <f>CO19/CO7</f>
        <v>0.27753686036426711</v>
      </c>
      <c r="CP20" s="684">
        <f>CP19/CP7</f>
        <v>0.25210727969348656</v>
      </c>
      <c r="CQ20" s="684">
        <f>CQ19/CQ7</f>
        <v>0.24553890078515347</v>
      </c>
      <c r="CR20" s="680">
        <f>CR19/CR$7</f>
        <v>0.26497005988023953</v>
      </c>
      <c r="CS20" s="684">
        <f>CS19/CS7</f>
        <v>0.26513409961685824</v>
      </c>
      <c r="CT20" s="684">
        <f>CT19/CT7</f>
        <v>0.24509803921568626</v>
      </c>
      <c r="CU20" s="684">
        <f>CU19/CU7</f>
        <v>0.18612774451097805</v>
      </c>
      <c r="CV20" s="684">
        <f>CV19/CV7</f>
        <v>0.18131615278416935</v>
      </c>
      <c r="CW20" s="680">
        <f>CW19/CW$7</f>
        <v>0.21172214182344429</v>
      </c>
      <c r="CX20" s="684">
        <f>CX19/CX7</f>
        <v>0.2121837893649974</v>
      </c>
      <c r="CY20" s="684">
        <f>CY19/CY7</f>
        <v>0.18654708520179372</v>
      </c>
      <c r="CZ20" s="684">
        <f>CZ19/CZ7</f>
        <v>0.17526555386949924</v>
      </c>
      <c r="DA20" s="684">
        <f>DA19/DA7</f>
        <v>0.1745104774991412</v>
      </c>
      <c r="DB20" s="680">
        <f>DB19/DB$7</f>
        <v>0.18499073502161828</v>
      </c>
      <c r="DC20" s="684">
        <f>DC19/DC7</f>
        <v>0.1690053009042719</v>
      </c>
      <c r="DD20" s="684">
        <f>DD19/DD7</f>
        <v>0.18603906500160103</v>
      </c>
      <c r="DE20" s="684">
        <f>DE19/DE7</f>
        <v>0.19019176359635334</v>
      </c>
      <c r="DF20" s="684">
        <f>DF19/DF7</f>
        <v>0.29342403628117913</v>
      </c>
      <c r="DG20" s="680">
        <f>DG19/DG$7</f>
        <v>0.20271423694093546</v>
      </c>
      <c r="DH20" s="684">
        <f>DH19/DH7</f>
        <v>0.30360360360360361</v>
      </c>
      <c r="DI20" s="684">
        <f>DI19/DI7</f>
        <v>0.27297402093834822</v>
      </c>
      <c r="DJ20" s="684">
        <f>DJ19/DJ7</f>
        <v>0.23623092236230922</v>
      </c>
      <c r="DK20" s="684">
        <f>DK19/DK7</f>
        <v>0.23768115942028986</v>
      </c>
      <c r="DL20" s="680">
        <f>DL19/DL$7</f>
        <v>0.25902179886426085</v>
      </c>
      <c r="DM20" s="684">
        <f>DM19/DM7</f>
        <v>0.23863636363636365</v>
      </c>
      <c r="DN20" s="684">
        <f>DN19/DN7</f>
        <v>0.2578892912571133</v>
      </c>
      <c r="DO20" s="684">
        <f>DO19/DO7</f>
        <v>0.22154041472704189</v>
      </c>
      <c r="DP20" s="684">
        <f>DP19/DP7</f>
        <v>0.2292624425344793</v>
      </c>
      <c r="DQ20" s="680">
        <f>DQ19/DQ$7</f>
        <v>0.2354422788605697</v>
      </c>
      <c r="DR20" s="684">
        <f>DR19/DR7</f>
        <v>0.20367426249779191</v>
      </c>
      <c r="DS20" s="684">
        <f>DS19/DS7</f>
        <v>0.19133241124942368</v>
      </c>
      <c r="DT20" s="684">
        <f>DT19/DT7</f>
        <v>0.19752217372941011</v>
      </c>
      <c r="DU20" s="684">
        <f>DU19/DU7</f>
        <v>0.19180949888787124</v>
      </c>
      <c r="DV20" s="680">
        <f>DV19/DV$7</f>
        <v>0.1956974065542097</v>
      </c>
      <c r="DW20" s="684">
        <f>DW19/DW7</f>
        <v>0.19522200772200773</v>
      </c>
      <c r="DX20" s="684">
        <f>DX19/DX7</f>
        <v>0.27207637231503579</v>
      </c>
      <c r="DY20" s="684">
        <f>DY19/DY7</f>
        <v>0.32793795312763446</v>
      </c>
      <c r="DZ20" s="684">
        <f>DZ19/DZ7</f>
        <v>0.3224260452817716</v>
      </c>
      <c r="EA20" s="680">
        <f>EA19/EA$7</f>
        <v>0.27203974197375252</v>
      </c>
      <c r="EB20" s="684">
        <f>EB19/EB7</f>
        <v>0.26070634037819801</v>
      </c>
      <c r="EC20" s="684">
        <f>EC19/EC7</f>
        <v>0.15103279780854373</v>
      </c>
      <c r="ED20" s="684">
        <f>ED19/ED7</f>
        <v>0.12660044150110375</v>
      </c>
      <c r="EE20" s="684">
        <f>EE19/EE7</f>
        <v>0.11152332262588789</v>
      </c>
      <c r="EF20" s="680">
        <f>EF19/EF$7</f>
        <v>0.14237877942286858</v>
      </c>
      <c r="EG20" s="684">
        <f>EG19/EG7</f>
        <v>0.10443864229765012</v>
      </c>
      <c r="EH20" s="684">
        <f>EH19/EH7</f>
        <v>0.10286284953395473</v>
      </c>
      <c r="EI20" s="684">
        <f>EI19/EI7</f>
        <v>9.6630750812382413E-2</v>
      </c>
      <c r="EJ20" s="684">
        <f>EJ19/EJ7</f>
        <v>9.4429330553507412E-2</v>
      </c>
      <c r="EK20" s="680">
        <f>EK19/EK$7</f>
        <v>9.8960129351632606E-2</v>
      </c>
      <c r="EL20" s="684">
        <f>EL19/EL7</f>
        <v>9.0531523761971766E-2</v>
      </c>
      <c r="EM20" s="684">
        <f>EM19/EM7</f>
        <v>9.1799841687525405E-2</v>
      </c>
      <c r="EN20" s="684">
        <f>EN19/EN7</f>
        <v>8.2535171736308463E-2</v>
      </c>
      <c r="EO20" s="684">
        <f>EO19/EO7</f>
        <v>8.0907716470709115E-2</v>
      </c>
      <c r="EP20" s="680">
        <f>EP19/EP$7</f>
        <v>8.5658846520760584E-2</v>
      </c>
      <c r="EQ20" s="684">
        <f>EQ19/EQ7</f>
        <v>7.7448998345892306E-2</v>
      </c>
      <c r="ER20" s="684">
        <f>ER19/ER7</f>
        <v>7.6083215132555393E-2</v>
      </c>
      <c r="ES20" s="684">
        <f>ES19/ES7</f>
        <v>6.7175775025917955E-2</v>
      </c>
      <c r="ET20" s="684">
        <f>ET19/ET7</f>
        <v>6.1584601860604882E-2</v>
      </c>
      <c r="EU20" s="680">
        <f>EU19/EU$7</f>
        <v>6.9525545668091923E-2</v>
      </c>
      <c r="EV20" s="684">
        <f>EV19/EV7</f>
        <v>6.0920821514192855E-2</v>
      </c>
      <c r="EW20" s="684">
        <f>EW19/EW7</f>
        <v>6.0486646836757543E-2</v>
      </c>
      <c r="EX20" s="684">
        <f>EX19/EX7</f>
        <v>5.7896477379930256E-2</v>
      </c>
      <c r="EY20" s="684">
        <f>EY19/EY7</f>
        <v>5.7531333370117559E-2</v>
      </c>
      <c r="EZ20" s="680">
        <f>EZ19/EZ$7</f>
        <v>5.9059552640730574E-2</v>
      </c>
      <c r="FA20" s="684">
        <f>FA19/FA7</f>
        <v>5.8320458671086921E-2</v>
      </c>
      <c r="FB20" s="684">
        <f>FB19/FB7</f>
        <v>5.8839099504603531E-2</v>
      </c>
      <c r="FC20" s="684">
        <f>FC19/FC7</f>
        <v>5.6636172199225086E-2</v>
      </c>
      <c r="FD20" s="684">
        <f>FD19/FD7</f>
        <v>5.5561507649766737E-2</v>
      </c>
      <c r="FE20" s="680">
        <f>FE19/FE$7</f>
        <v>5.7267704115250916E-2</v>
      </c>
      <c r="FF20" s="684">
        <f>FF19/FF7</f>
        <v>5.627146715826193E-2</v>
      </c>
      <c r="FG20" s="684">
        <f>FG19/FG7</f>
        <v>5.6746255225668812E-2</v>
      </c>
      <c r="FH20" s="684">
        <f>FH19/FH7</f>
        <v>5.5560527589274329E-2</v>
      </c>
      <c r="FI20" s="684">
        <f>FI19/FI7</f>
        <v>5.549512496626801E-2</v>
      </c>
      <c r="FJ20" s="680">
        <f>FJ19/FJ$7</f>
        <v>5.600723110358214E-2</v>
      </c>
      <c r="FK20" s="684">
        <f>FK19/FK7</f>
        <v>5.5674256226942428E-2</v>
      </c>
      <c r="FL20" s="684">
        <f>FL19/FL7</f>
        <v>5.5636458546343699E-2</v>
      </c>
      <c r="FM20" s="684">
        <f>FM19/FM7</f>
        <v>5.4045437736334613E-2</v>
      </c>
      <c r="FN20" s="684">
        <f>FN19/FN7</f>
        <v>5.3506925453023192E-2</v>
      </c>
      <c r="FO20" s="680">
        <f>FO19/FO$7</f>
        <v>5.466892382367556E-2</v>
      </c>
      <c r="FP20" s="680"/>
      <c r="FQ20" s="37"/>
    </row>
    <row r="21" spans="1:173">
      <c r="B21" s="174"/>
      <c r="C21" s="174"/>
      <c r="D21" s="174"/>
      <c r="E21" s="174"/>
      <c r="G21" s="174"/>
      <c r="H21" s="174"/>
      <c r="I21" s="174"/>
      <c r="J21" s="174"/>
      <c r="L21" s="174"/>
      <c r="M21" s="174"/>
      <c r="N21" s="174"/>
      <c r="O21" s="174"/>
      <c r="Q21" s="174"/>
      <c r="R21" s="174"/>
      <c r="S21" s="174"/>
      <c r="T21" s="174"/>
      <c r="V21" s="174"/>
      <c r="W21" s="174"/>
      <c r="X21" s="174"/>
      <c r="Y21" s="174"/>
      <c r="AA21" s="174"/>
      <c r="AB21" s="174"/>
      <c r="AC21" s="174"/>
      <c r="AD21" s="174"/>
      <c r="AE21" s="148"/>
      <c r="AF21" s="174"/>
      <c r="AG21" s="174"/>
      <c r="AH21" s="174"/>
      <c r="AI21" s="174"/>
      <c r="AJ21" s="148"/>
      <c r="AK21" s="174"/>
      <c r="AL21" s="174"/>
      <c r="AM21" s="174"/>
      <c r="AN21" s="174"/>
      <c r="AO21" s="148"/>
      <c r="AP21" s="174"/>
      <c r="AQ21" s="174"/>
      <c r="AR21" s="174"/>
      <c r="AS21" s="174"/>
      <c r="AT21" s="148"/>
      <c r="AU21" s="174"/>
      <c r="AV21" s="174"/>
      <c r="AW21" s="174"/>
      <c r="AX21" s="174"/>
      <c r="AY21" s="148"/>
      <c r="AZ21" s="174"/>
      <c r="BA21" s="174"/>
      <c r="BB21" s="174"/>
      <c r="BC21" s="174"/>
      <c r="BD21" s="148"/>
      <c r="BE21" s="174"/>
      <c r="BF21" s="174"/>
      <c r="BG21" s="174"/>
      <c r="BH21" s="174"/>
      <c r="BI21" s="148"/>
      <c r="BJ21" s="174"/>
      <c r="BK21" s="174"/>
      <c r="BL21" s="174"/>
      <c r="BM21" s="174"/>
      <c r="BN21" s="148"/>
      <c r="BO21" s="174"/>
      <c r="BP21" s="174"/>
      <c r="BQ21" s="174"/>
      <c r="BR21" s="174"/>
      <c r="BS21" s="148"/>
      <c r="BT21" s="174"/>
      <c r="BU21" s="174"/>
      <c r="BV21" s="174"/>
      <c r="BW21" s="174"/>
      <c r="BX21" s="148"/>
      <c r="BY21" s="174"/>
      <c r="BZ21" s="174"/>
      <c r="CA21" s="174"/>
      <c r="CB21" s="174"/>
      <c r="CC21" s="148"/>
      <c r="CD21" s="174"/>
      <c r="CE21" s="174"/>
      <c r="CF21" s="174"/>
      <c r="CG21" s="174"/>
      <c r="CH21" s="148"/>
      <c r="CI21" s="174"/>
      <c r="CJ21" s="174"/>
      <c r="CK21" s="174"/>
      <c r="CL21" s="174"/>
      <c r="CM21" s="148"/>
      <c r="CN21" s="174"/>
      <c r="CO21" s="174"/>
      <c r="CP21" s="174"/>
      <c r="CQ21" s="174"/>
      <c r="CR21" s="148"/>
      <c r="CS21" s="174"/>
      <c r="CT21" s="174"/>
      <c r="CU21" s="174"/>
      <c r="CV21" s="174"/>
      <c r="CW21" s="148"/>
      <c r="CX21" s="174"/>
      <c r="CY21" s="174"/>
      <c r="CZ21" s="174"/>
      <c r="DA21" s="174"/>
      <c r="DC21" s="174"/>
      <c r="DD21" s="174"/>
      <c r="DE21" s="174"/>
      <c r="DF21" s="174"/>
      <c r="DG21" s="148"/>
      <c r="DH21" s="174"/>
      <c r="DI21" s="174"/>
      <c r="DJ21" s="174"/>
      <c r="DK21" s="174"/>
      <c r="DL21" s="148"/>
      <c r="DM21" s="174"/>
      <c r="DN21" s="174"/>
      <c r="DO21" s="174"/>
      <c r="DP21" s="174"/>
      <c r="DQ21" s="148"/>
      <c r="DR21" s="174"/>
      <c r="DS21" s="174"/>
      <c r="DT21" s="174"/>
      <c r="DU21" s="174"/>
      <c r="DV21" s="148"/>
      <c r="DW21" s="174"/>
      <c r="DX21" s="174"/>
      <c r="DY21" s="174"/>
      <c r="DZ21" s="174"/>
      <c r="EA21" s="148"/>
      <c r="EB21" s="174"/>
      <c r="EC21" s="174"/>
      <c r="ED21" s="174"/>
      <c r="EE21" s="174"/>
      <c r="EF21" s="148"/>
      <c r="EG21" s="174"/>
      <c r="EH21" s="174"/>
      <c r="EI21" s="185"/>
      <c r="EJ21" s="185"/>
      <c r="EK21" s="148"/>
      <c r="EL21" s="185"/>
      <c r="EM21" s="185"/>
      <c r="EN21" s="185"/>
      <c r="EO21" s="185"/>
      <c r="EP21" s="148"/>
      <c r="EQ21" s="185"/>
      <c r="ER21" s="174"/>
      <c r="ES21" s="174"/>
      <c r="ET21" s="174"/>
      <c r="EU21" s="148"/>
      <c r="EV21" s="174"/>
      <c r="EW21" s="174"/>
      <c r="EX21" s="174"/>
      <c r="EY21" s="174"/>
      <c r="EZ21" s="148"/>
      <c r="FA21" s="174"/>
      <c r="FB21" s="174"/>
      <c r="FC21" s="174"/>
      <c r="FD21" s="174"/>
      <c r="FE21" s="148"/>
      <c r="FF21" s="174"/>
      <c r="FG21" s="174"/>
      <c r="FH21" s="174"/>
      <c r="FI21" s="174"/>
      <c r="FJ21" s="148"/>
      <c r="FK21" s="174"/>
      <c r="FL21" s="174"/>
      <c r="FM21" s="174"/>
      <c r="FN21" s="174"/>
      <c r="FO21" s="148"/>
      <c r="FP21" s="148"/>
      <c r="FQ21" s="37"/>
    </row>
    <row r="22" spans="1:173" s="169" customFormat="1">
      <c r="A22" s="147" t="s">
        <v>394</v>
      </c>
      <c r="B22" s="681">
        <f t="shared" ref="B22:BM22" si="21">B13-B17-B19</f>
        <v>-1.1440000000000001</v>
      </c>
      <c r="C22" s="681">
        <f t="shared" si="21"/>
        <v>-1.2250000000000001</v>
      </c>
      <c r="D22" s="681">
        <f t="shared" si="21"/>
        <v>-2.5419999999999998</v>
      </c>
      <c r="E22" s="681">
        <f t="shared" si="21"/>
        <v>1.4520000000000017</v>
      </c>
      <c r="F22" s="682">
        <f>SUM(B22:E22)</f>
        <v>-3.4589999999999979</v>
      </c>
      <c r="G22" s="681">
        <f t="shared" si="21"/>
        <v>-1.1369999999999978</v>
      </c>
      <c r="H22" s="681">
        <f t="shared" si="21"/>
        <v>-10.513000000000002</v>
      </c>
      <c r="I22" s="681">
        <f t="shared" si="21"/>
        <v>7.749999999999992</v>
      </c>
      <c r="J22" s="681">
        <f t="shared" si="21"/>
        <v>8.4160000000000075</v>
      </c>
      <c r="K22" s="682">
        <f>SUM(G22:J22)</f>
        <v>4.5160000000000009</v>
      </c>
      <c r="L22" s="681">
        <f t="shared" si="21"/>
        <v>9.0030000000000037</v>
      </c>
      <c r="M22" s="681">
        <f t="shared" si="21"/>
        <v>9.8629999999999978</v>
      </c>
      <c r="N22" s="681">
        <f t="shared" si="21"/>
        <v>18.555</v>
      </c>
      <c r="O22" s="681">
        <f t="shared" si="21"/>
        <v>19.904000000000011</v>
      </c>
      <c r="P22" s="682">
        <f>SUM(L22:O22)</f>
        <v>57.32500000000001</v>
      </c>
      <c r="Q22" s="681">
        <f t="shared" si="21"/>
        <v>21.575000000000003</v>
      </c>
      <c r="R22" s="681">
        <f t="shared" si="21"/>
        <v>29.240000000000016</v>
      </c>
      <c r="S22" s="681">
        <f t="shared" si="21"/>
        <v>37.016999999999996</v>
      </c>
      <c r="T22" s="681">
        <f t="shared" si="21"/>
        <v>40.180999999999955</v>
      </c>
      <c r="U22" s="682">
        <f>SUM(Q22:T22)</f>
        <v>128.01299999999998</v>
      </c>
      <c r="V22" s="681">
        <f t="shared" si="21"/>
        <v>42.504999999999995</v>
      </c>
      <c r="W22" s="681">
        <f t="shared" si="21"/>
        <v>48.067000000000014</v>
      </c>
      <c r="X22" s="681">
        <f t="shared" si="21"/>
        <v>64.263000000000005</v>
      </c>
      <c r="Y22" s="681">
        <f t="shared" si="21"/>
        <v>113.29799999999997</v>
      </c>
      <c r="Z22" s="682">
        <f>SUM(V22:Y22)</f>
        <v>268.13299999999998</v>
      </c>
      <c r="AA22" s="681">
        <f t="shared" si="21"/>
        <v>117.19099999999995</v>
      </c>
      <c r="AB22" s="681">
        <f t="shared" si="21"/>
        <v>27.165000000000035</v>
      </c>
      <c r="AC22" s="681">
        <f t="shared" si="21"/>
        <v>11.725999999999978</v>
      </c>
      <c r="AD22" s="681">
        <f t="shared" si="21"/>
        <v>30.370999999999974</v>
      </c>
      <c r="AE22" s="682">
        <f>SUM(AA22:AD22)</f>
        <v>186.45299999999995</v>
      </c>
      <c r="AF22" s="681">
        <f t="shared" si="21"/>
        <v>26.348000000000013</v>
      </c>
      <c r="AG22" s="681">
        <f t="shared" si="21"/>
        <v>24.631999999999977</v>
      </c>
      <c r="AH22" s="681">
        <f t="shared" si="21"/>
        <v>18.861000000000018</v>
      </c>
      <c r="AI22" s="681">
        <f t="shared" si="21"/>
        <v>23.816000000000045</v>
      </c>
      <c r="AJ22" s="682">
        <f>SUM(AF22:AI22)</f>
        <v>93.657000000000053</v>
      </c>
      <c r="AK22" s="681">
        <f t="shared" si="21"/>
        <v>23.879999999999924</v>
      </c>
      <c r="AL22" s="681">
        <f t="shared" si="21"/>
        <v>3.798999999999964</v>
      </c>
      <c r="AM22" s="681">
        <f t="shared" si="21"/>
        <v>28.758000000000024</v>
      </c>
      <c r="AN22" s="681">
        <f t="shared" si="21"/>
        <v>57.156000000000006</v>
      </c>
      <c r="AO22" s="682">
        <f>SUM(AK22:AN22)</f>
        <v>113.59299999999992</v>
      </c>
      <c r="AP22" s="681">
        <f t="shared" si="21"/>
        <v>76.182000000000059</v>
      </c>
      <c r="AQ22" s="681">
        <f t="shared" si="21"/>
        <v>80.037000000000006</v>
      </c>
      <c r="AR22" s="681">
        <f t="shared" si="21"/>
        <v>85.693999999999946</v>
      </c>
      <c r="AS22" s="681">
        <f t="shared" si="21"/>
        <v>112.34200000000004</v>
      </c>
      <c r="AT22" s="682">
        <f>SUM(AP22:AS22)</f>
        <v>354.25500000000005</v>
      </c>
      <c r="AU22" s="681">
        <f t="shared" si="21"/>
        <v>101.50900000000001</v>
      </c>
      <c r="AV22" s="681">
        <f t="shared" si="21"/>
        <v>95.816000000000031</v>
      </c>
      <c r="AW22" s="681">
        <f t="shared" si="21"/>
        <v>135.11300000000003</v>
      </c>
      <c r="AX22" s="681">
        <f t="shared" si="21"/>
        <v>151.91400000000002</v>
      </c>
      <c r="AY22" s="682">
        <f>SUM(AU22:AX22)</f>
        <v>484.35200000000009</v>
      </c>
      <c r="AZ22" s="681">
        <f t="shared" si="21"/>
        <v>141.24600000000001</v>
      </c>
      <c r="BA22" s="681">
        <f t="shared" si="21"/>
        <v>184.76</v>
      </c>
      <c r="BB22" s="681">
        <f t="shared" si="21"/>
        <v>247.84100000000001</v>
      </c>
      <c r="BC22" s="681">
        <f>BC13-BC17-BC19</f>
        <v>266.49899999999991</v>
      </c>
      <c r="BD22" s="682">
        <f>SUM(AZ22:BC22)</f>
        <v>840.34599999999989</v>
      </c>
      <c r="BE22" s="681">
        <f t="shared" si="21"/>
        <v>202.97899999999996</v>
      </c>
      <c r="BF22" s="681">
        <f t="shared" si="21"/>
        <v>40.561999999999983</v>
      </c>
      <c r="BG22" s="681">
        <f t="shared" si="21"/>
        <v>20.333999999999946</v>
      </c>
      <c r="BH22" s="681">
        <f t="shared" si="21"/>
        <v>-156.553</v>
      </c>
      <c r="BI22" s="682">
        <f>SUM(BE22:BH22)</f>
        <v>107.32199999999989</v>
      </c>
      <c r="BJ22" s="681">
        <f t="shared" si="21"/>
        <v>-90.723999999999975</v>
      </c>
      <c r="BK22" s="681">
        <f t="shared" si="21"/>
        <v>8.9469999999999743</v>
      </c>
      <c r="BL22" s="681">
        <f t="shared" si="21"/>
        <v>83.72999999999999</v>
      </c>
      <c r="BM22" s="681">
        <f t="shared" si="21"/>
        <v>134.28200000000001</v>
      </c>
      <c r="BN22" s="682">
        <f>SUM(BJ22:BM22)</f>
        <v>136.23500000000001</v>
      </c>
      <c r="BO22" s="681">
        <f t="shared" ref="BO22:BW22" si="22">BO13-BO17-BO19</f>
        <v>147.39299999999994</v>
      </c>
      <c r="BP22" s="681">
        <f t="shared" si="22"/>
        <v>18.690999999999917</v>
      </c>
      <c r="BQ22" s="681">
        <f t="shared" si="22"/>
        <v>103.78300000000002</v>
      </c>
      <c r="BR22" s="681">
        <f t="shared" si="22"/>
        <v>122.77800000000002</v>
      </c>
      <c r="BS22" s="682">
        <f>SUM(BO22:BR22)</f>
        <v>392.64499999999987</v>
      </c>
      <c r="BT22" s="681">
        <f t="shared" si="22"/>
        <v>154.86200000000002</v>
      </c>
      <c r="BU22" s="681">
        <f t="shared" si="22"/>
        <v>181.59199999999998</v>
      </c>
      <c r="BV22" s="681">
        <f t="shared" si="22"/>
        <v>203.50299999999999</v>
      </c>
      <c r="BW22" s="681">
        <f t="shared" si="22"/>
        <v>134.66899999999993</v>
      </c>
      <c r="BX22" s="682">
        <f>SUM(BT22:BW22)</f>
        <v>674.62599999999998</v>
      </c>
      <c r="BY22" s="681">
        <f t="shared" ref="BY22:CG22" si="23">BY13-BY17-BY19</f>
        <v>82.339000000000055</v>
      </c>
      <c r="BZ22" s="681">
        <f t="shared" si="23"/>
        <v>168.60899999999992</v>
      </c>
      <c r="CA22" s="681">
        <f t="shared" si="23"/>
        <v>261.28499999999991</v>
      </c>
      <c r="CB22" s="681">
        <f t="shared" si="23"/>
        <v>192.27100000000007</v>
      </c>
      <c r="CC22" s="682">
        <f>SUM(BY22:CB22)</f>
        <v>704.50400000000002</v>
      </c>
      <c r="CD22" s="681">
        <f t="shared" si="23"/>
        <v>91.641999999999996</v>
      </c>
      <c r="CE22" s="681">
        <f t="shared" si="23"/>
        <v>116.78800000000007</v>
      </c>
      <c r="CF22" s="681">
        <f t="shared" si="23"/>
        <v>147.80000000000013</v>
      </c>
      <c r="CG22" s="681">
        <f t="shared" si="23"/>
        <v>171.68700000000007</v>
      </c>
      <c r="CH22" s="682">
        <f>SUM(CD22:CG22)</f>
        <v>527.91700000000026</v>
      </c>
      <c r="CI22" s="681">
        <f>CI13-CI17-CI19</f>
        <v>160.80000000000013</v>
      </c>
      <c r="CJ22" s="681">
        <f>CJ13-CJ17-CJ19</f>
        <v>172.35200000000003</v>
      </c>
      <c r="CK22" s="681">
        <f>CK13-CK17-CK19</f>
        <v>222.88700000000011</v>
      </c>
      <c r="CL22" s="681">
        <f>CL13-CL17-CL19</f>
        <v>240.30499999999995</v>
      </c>
      <c r="CM22" s="682">
        <f>SUM(CI22:CL22)</f>
        <v>796.34400000000016</v>
      </c>
      <c r="CN22" s="681">
        <f>CN13-CN17-CN19</f>
        <v>185</v>
      </c>
      <c r="CO22" s="681">
        <f>CO13-CO17-CO19</f>
        <v>184</v>
      </c>
      <c r="CP22" s="681">
        <f>CP13-CP17-CP19</f>
        <v>257</v>
      </c>
      <c r="CQ22" s="681">
        <f>CQ13-CQ17-CQ19</f>
        <v>295</v>
      </c>
      <c r="CR22" s="682">
        <f>SUM(CN22:CQ22)</f>
        <v>921</v>
      </c>
      <c r="CS22" s="681">
        <f>CS13-CS17-CS19</f>
        <v>269</v>
      </c>
      <c r="CT22" s="681">
        <f>CT13-CT17-CT19</f>
        <v>324</v>
      </c>
      <c r="CU22" s="681">
        <f>CU13-CU17-CU19</f>
        <v>643</v>
      </c>
      <c r="CV22" s="681">
        <f>CV13-CV17-CV19</f>
        <v>737</v>
      </c>
      <c r="CW22" s="682">
        <f>SUM(CS22:CV22)</f>
        <v>1973</v>
      </c>
      <c r="CX22" s="681">
        <f>CX13-CX17-CX19</f>
        <v>560</v>
      </c>
      <c r="CY22" s="681">
        <f>CY13-CY17-CY19</f>
        <v>692</v>
      </c>
      <c r="CZ22" s="681">
        <f>CZ13-CZ17-CZ19</f>
        <v>898</v>
      </c>
      <c r="DA22" s="681">
        <f>DA13-DA17-DA19</f>
        <v>1076</v>
      </c>
      <c r="DB22" s="682">
        <f>SUM(CX22:DA22)</f>
        <v>3226</v>
      </c>
      <c r="DC22" s="681">
        <f>DC13-DC17-DC19</f>
        <v>1299</v>
      </c>
      <c r="DD22" s="681">
        <f>DD13-DD17-DD19</f>
        <v>1159</v>
      </c>
      <c r="DE22" s="681">
        <f>DE13-DE17-DE19</f>
        <v>1070</v>
      </c>
      <c r="DF22" s="681">
        <f>DF13-DF17-DF19</f>
        <v>323</v>
      </c>
      <c r="DG22" s="682">
        <f>SUM(DC22:DF22)</f>
        <v>3851</v>
      </c>
      <c r="DH22" s="681">
        <f>DH13-DH17-DH19</f>
        <v>379</v>
      </c>
      <c r="DI22" s="681">
        <f>DI13-DI17-DI19</f>
        <v>578</v>
      </c>
      <c r="DJ22" s="681">
        <f>DJ13-DJ17-DJ19</f>
        <v>934</v>
      </c>
      <c r="DK22" s="681">
        <f>DK13-DK17-DK19</f>
        <v>1000</v>
      </c>
      <c r="DL22" s="682">
        <f>SUM(DH22:DK22)</f>
        <v>2891</v>
      </c>
      <c r="DM22" s="681">
        <f>DM13-DM17-DM19</f>
        <v>981</v>
      </c>
      <c r="DN22" s="681">
        <f>DN13-DN17-DN19</f>
        <v>1142</v>
      </c>
      <c r="DO22" s="681">
        <f>DO13-DO17-DO19</f>
        <v>1610</v>
      </c>
      <c r="DP22" s="681">
        <f>DP13-DP17-DP19</f>
        <v>1672</v>
      </c>
      <c r="DQ22" s="682">
        <f>SUM(DM22:DP22)</f>
        <v>5405</v>
      </c>
      <c r="DR22" s="681">
        <f>DR13-DR17-DR19</f>
        <v>2128</v>
      </c>
      <c r="DS22" s="681">
        <f>DS13-DS17-DS19</f>
        <v>2606</v>
      </c>
      <c r="DT22" s="681">
        <f>DT13-DT17-DT19</f>
        <v>2827</v>
      </c>
      <c r="DU22" s="681">
        <f>DU13-DU17-DU19</f>
        <v>3126</v>
      </c>
      <c r="DV22" s="682">
        <f>SUM(DR22:DU22)</f>
        <v>10687</v>
      </c>
      <c r="DW22" s="681">
        <f>DW13-DW17-DW19</f>
        <v>3377</v>
      </c>
      <c r="DX22" s="681">
        <f>DX13-DX17-DX19</f>
        <v>676</v>
      </c>
      <c r="DY22" s="681">
        <f>DY13-DY17-DY19</f>
        <v>791</v>
      </c>
      <c r="DZ22" s="681">
        <f>DZ13-DZ17-DZ19</f>
        <v>1485</v>
      </c>
      <c r="EA22" s="682">
        <f>SUM(DW22:DZ22)</f>
        <v>6329</v>
      </c>
      <c r="EB22" s="681">
        <f>EB13-EB17-EB19</f>
        <v>2317</v>
      </c>
      <c r="EC22" s="681">
        <f>EC13-EC17-EC19</f>
        <v>6934</v>
      </c>
      <c r="ED22" s="681">
        <f>ED13-ED17-ED19</f>
        <v>10578</v>
      </c>
      <c r="EE22" s="681">
        <f>EE13-EE17-EE19</f>
        <v>13756</v>
      </c>
      <c r="EF22" s="682">
        <f>SUM(EB22:EE22)</f>
        <v>33585</v>
      </c>
      <c r="EG22" s="681">
        <f>EG13-EG17-EG19</f>
        <v>17048</v>
      </c>
      <c r="EH22" s="681">
        <f>EH13-EH17-EH19</f>
        <v>18783</v>
      </c>
      <c r="EI22" s="681">
        <f>EI13-EI17-EI19</f>
        <v>22024</v>
      </c>
      <c r="EJ22" s="681">
        <f>EJ13-EJ17-EJ19</f>
        <v>24195</v>
      </c>
      <c r="EK22" s="682">
        <f>SUM(EG22:EJ22)</f>
        <v>82050</v>
      </c>
      <c r="EL22" s="681">
        <f>EL13-EL17-EL19</f>
        <v>21801</v>
      </c>
      <c r="EM22" s="681">
        <f>EM13-EM17-EM19</f>
        <v>28541</v>
      </c>
      <c r="EN22" s="681">
        <f>EN13-EN17-EN19</f>
        <v>36097</v>
      </c>
      <c r="EO22" s="681">
        <f>EO13-EO17-EO19</f>
        <v>44474</v>
      </c>
      <c r="EP22" s="682">
        <f>SUM(EL22:EO22)</f>
        <v>130913</v>
      </c>
      <c r="EQ22" s="681">
        <f>EQ13-EQ17-EQ19</f>
        <v>53783</v>
      </c>
      <c r="ER22" s="681">
        <f>ER13-ER17-ER19</f>
        <v>61442.009024745872</v>
      </c>
      <c r="ES22" s="681">
        <f>ES13-ES17-ES19</f>
        <v>74185.821310481551</v>
      </c>
      <c r="ET22" s="681">
        <f>ET13-ET17-ET19</f>
        <v>85091.533457705271</v>
      </c>
      <c r="EU22" s="682">
        <f>SUM(EQ22:ET22)</f>
        <v>274502.36379293271</v>
      </c>
      <c r="EV22" s="681">
        <f>EV13-EV17-EV19</f>
        <v>93179.657469663071</v>
      </c>
      <c r="EW22" s="681">
        <f>EW13-EW17-EW19</f>
        <v>102474.65311660673</v>
      </c>
      <c r="EX22" s="681">
        <f>EX13-EX17-EX19</f>
        <v>115155.73992156693</v>
      </c>
      <c r="EY22" s="681">
        <f>EY13-EY17-EY19</f>
        <v>122998.0283617797</v>
      </c>
      <c r="EZ22" s="682">
        <f>SUM(EV22:EY22)</f>
        <v>433808.07886961644</v>
      </c>
      <c r="FA22" s="681">
        <f>FA13-FA17-FA19</f>
        <v>126142.59733663373</v>
      </c>
      <c r="FB22" s="681">
        <f>FB13-FB17-FB19</f>
        <v>129947.12058882328</v>
      </c>
      <c r="FC22" s="681">
        <f>FC13-FC17-FC19</f>
        <v>139595.36122585408</v>
      </c>
      <c r="FD22" s="681">
        <f>FD13-FD17-FD19</f>
        <v>146868.48453056763</v>
      </c>
      <c r="FE22" s="682">
        <f>SUM(FA22:FD22)</f>
        <v>542553.56368187873</v>
      </c>
      <c r="FF22" s="681">
        <f>FF13-FF17-FF19</f>
        <v>147833.56245581582</v>
      </c>
      <c r="FG22" s="681">
        <f>FG13-FG17-FG19</f>
        <v>149368.14104433078</v>
      </c>
      <c r="FH22" s="681">
        <f>FH13-FH17-FH19</f>
        <v>154337.74260096141</v>
      </c>
      <c r="FI22" s="681">
        <f>FI13-FI17-FI19</f>
        <v>157616.14275023126</v>
      </c>
      <c r="FJ22" s="682">
        <f>SUM(FF22:FI22)</f>
        <v>609155.5888513393</v>
      </c>
      <c r="FK22" s="681">
        <f>FK13-FK17-FK19</f>
        <v>160313.56558846342</v>
      </c>
      <c r="FL22" s="681">
        <f>FL13-FL17-FL19</f>
        <v>165257.42916202266</v>
      </c>
      <c r="FM22" s="681">
        <f>FM13-FM17-FM19</f>
        <v>175708.14546526101</v>
      </c>
      <c r="FN22" s="681">
        <f>FN13-FN17-FN19</f>
        <v>182992.66436725185</v>
      </c>
      <c r="FO22" s="682">
        <f>SUM(FK22:FN22)</f>
        <v>684271.80458299897</v>
      </c>
      <c r="FP22" s="682"/>
      <c r="FQ22" s="37"/>
    </row>
    <row r="23" spans="1:173">
      <c r="A23" s="686" t="s">
        <v>395</v>
      </c>
      <c r="B23" s="684" t="s">
        <v>310</v>
      </c>
      <c r="C23" s="684" t="s">
        <v>310</v>
      </c>
      <c r="D23" s="684">
        <f t="shared" ref="D23:BM23" si="24">D22/D7</f>
        <v>-0.46505671423344308</v>
      </c>
      <c r="E23" s="684">
        <f t="shared" si="24"/>
        <v>6.1697968896065332E-2</v>
      </c>
      <c r="F23" s="680">
        <f>F22/F$7</f>
        <v>-0.11898455505486559</v>
      </c>
      <c r="G23" s="684">
        <f t="shared" si="24"/>
        <v>-4.0229275023882731E-2</v>
      </c>
      <c r="H23" s="684">
        <f t="shared" si="24"/>
        <v>-0.86640843909675302</v>
      </c>
      <c r="I23" s="684">
        <f t="shared" si="24"/>
        <v>0.14817505688010232</v>
      </c>
      <c r="J23" s="684">
        <f t="shared" si="24"/>
        <v>0.12841600927720231</v>
      </c>
      <c r="K23" s="680">
        <f>K22/K$7</f>
        <v>2.853946927709702E-2</v>
      </c>
      <c r="L23" s="684">
        <f t="shared" si="24"/>
        <v>0.12677067785631815</v>
      </c>
      <c r="M23" s="684">
        <f t="shared" si="24"/>
        <v>0.12642116461796785</v>
      </c>
      <c r="N23" s="684">
        <f t="shared" si="24"/>
        <v>0.19125908364685873</v>
      </c>
      <c r="O23" s="684">
        <f t="shared" si="24"/>
        <v>0.15494920400140133</v>
      </c>
      <c r="P23" s="680">
        <f>P22/P$7</f>
        <v>0.15306871737359984</v>
      </c>
      <c r="Q23" s="684">
        <f t="shared" si="24"/>
        <v>0.14530282928011962</v>
      </c>
      <c r="R23" s="684">
        <f t="shared" si="24"/>
        <v>0.17269280289160049</v>
      </c>
      <c r="S23" s="684">
        <f t="shared" si="24"/>
        <v>0.18726949870236304</v>
      </c>
      <c r="T23" s="684">
        <f t="shared" si="24"/>
        <v>0.18281042421154142</v>
      </c>
      <c r="U23" s="680">
        <f>U22/U$7</f>
        <v>0.17410481133307215</v>
      </c>
      <c r="V23" s="684">
        <f t="shared" si="24"/>
        <v>0.17641907260139789</v>
      </c>
      <c r="W23" s="684">
        <f t="shared" si="24"/>
        <v>0.18496200096200102</v>
      </c>
      <c r="X23" s="684">
        <f t="shared" si="24"/>
        <v>0.17607459120599711</v>
      </c>
      <c r="Y23" s="684">
        <f t="shared" si="24"/>
        <v>0.22493686567875346</v>
      </c>
      <c r="Z23" s="680">
        <f>Z22/Z$7</f>
        <v>0.19579312011718392</v>
      </c>
      <c r="AA23" s="684">
        <f t="shared" si="24"/>
        <v>0.20104648270301329</v>
      </c>
      <c r="AB23" s="684">
        <f t="shared" si="24"/>
        <v>6.3575833460102815E-2</v>
      </c>
      <c r="AC23" s="684">
        <f t="shared" si="24"/>
        <v>2.7250501970699736E-2</v>
      </c>
      <c r="AD23" s="684">
        <f t="shared" si="24"/>
        <v>7.0862926633503451E-2</v>
      </c>
      <c r="AE23" s="680">
        <f>AE22/AE$7</f>
        <v>9.9756457983116817E-2</v>
      </c>
      <c r="AF23" s="684">
        <f t="shared" si="24"/>
        <v>6.5059521016931604E-2</v>
      </c>
      <c r="AG23" s="684">
        <f t="shared" si="24"/>
        <v>5.3574147298455277E-2</v>
      </c>
      <c r="AH23" s="684">
        <f t="shared" si="24"/>
        <v>3.8803132888540551E-2</v>
      </c>
      <c r="AI23" s="684">
        <f t="shared" si="24"/>
        <v>5.0444909016582773E-2</v>
      </c>
      <c r="AJ23" s="680">
        <f>AJ22/AJ$7</f>
        <v>5.1376755744139316E-2</v>
      </c>
      <c r="AK23" s="684">
        <f t="shared" si="24"/>
        <v>5.0603405346414908E-2</v>
      </c>
      <c r="AL23" s="684">
        <f t="shared" si="24"/>
        <v>8.3300260272199649E-3</v>
      </c>
      <c r="AM23" s="684">
        <f t="shared" si="24"/>
        <v>5.5776768795421219E-2</v>
      </c>
      <c r="AN23" s="684">
        <f t="shared" si="24"/>
        <v>0.10089747844568879</v>
      </c>
      <c r="AO23" s="680">
        <f>AO22/AO$7</f>
        <v>5.6513002522844115E-2</v>
      </c>
      <c r="AP23" s="684">
        <f t="shared" si="24"/>
        <v>0.13048303833545158</v>
      </c>
      <c r="AQ23" s="684">
        <f t="shared" si="24"/>
        <v>0.13924030813552954</v>
      </c>
      <c r="AR23" s="684">
        <f t="shared" si="24"/>
        <v>0.14688343631891526</v>
      </c>
      <c r="AS23" s="684">
        <f t="shared" si="24"/>
        <v>0.1773035318032746</v>
      </c>
      <c r="AT23" s="680">
        <f>AT22/AT$7</f>
        <v>0.14911686598445001</v>
      </c>
      <c r="AU23" s="684">
        <f t="shared" si="24"/>
        <v>0.14888230833652341</v>
      </c>
      <c r="AV23" s="684">
        <f t="shared" si="24"/>
        <v>0.13936487573434339</v>
      </c>
      <c r="AW23" s="684">
        <f t="shared" si="24"/>
        <v>0.16465709285717772</v>
      </c>
      <c r="AX23" s="684">
        <f t="shared" si="24"/>
        <v>0.17285091247540885</v>
      </c>
      <c r="AY23" s="680">
        <f>AY22/AY$7</f>
        <v>0.15783256554496899</v>
      </c>
      <c r="AZ23" s="684">
        <f t="shared" si="24"/>
        <v>0.16729757900222678</v>
      </c>
      <c r="BA23" s="684">
        <f t="shared" si="24"/>
        <v>0.19755082314625025</v>
      </c>
      <c r="BB23" s="684">
        <f t="shared" si="24"/>
        <v>0.22215997353883168</v>
      </c>
      <c r="BC23" s="684">
        <f t="shared" si="24"/>
        <v>0.22157840911925361</v>
      </c>
      <c r="BD23" s="680">
        <f>BD22/BD$7</f>
        <v>0.20506947528710101</v>
      </c>
      <c r="BE23" s="684">
        <f t="shared" si="24"/>
        <v>0.17598501111508008</v>
      </c>
      <c r="BF23" s="684">
        <f t="shared" si="24"/>
        <v>4.5438658595055741E-2</v>
      </c>
      <c r="BG23" s="684">
        <f t="shared" si="24"/>
        <v>2.2652355303540834E-2</v>
      </c>
      <c r="BH23" s="684">
        <f t="shared" si="24"/>
        <v>-0.32537930747807292</v>
      </c>
      <c r="BI23" s="680">
        <f>BI22/BI$7</f>
        <v>3.1336180555170269E-2</v>
      </c>
      <c r="BJ23" s="684">
        <f t="shared" si="24"/>
        <v>-0.13658501334626053</v>
      </c>
      <c r="BK23" s="684">
        <f t="shared" si="24"/>
        <v>1.1521918302168617E-2</v>
      </c>
      <c r="BL23" s="684">
        <f t="shared" si="24"/>
        <v>9.2703104275215165E-2</v>
      </c>
      <c r="BM23" s="684">
        <f t="shared" si="24"/>
        <v>0.13667546066720407</v>
      </c>
      <c r="BN23" s="680">
        <f>BN22/BN$7</f>
        <v>4.0955133783964572E-2</v>
      </c>
      <c r="BO23" s="684">
        <f t="shared" ref="BO23:BW23" si="25">BO22/BO7</f>
        <v>0.14712626009045596</v>
      </c>
      <c r="BP23" s="684">
        <f t="shared" si="25"/>
        <v>2.3040946341751953E-2</v>
      </c>
      <c r="BQ23" s="684">
        <f t="shared" si="25"/>
        <v>0.1229784622093299</v>
      </c>
      <c r="BR23" s="684">
        <f t="shared" si="25"/>
        <v>0.13851683709847742</v>
      </c>
      <c r="BS23" s="680">
        <f>BS22/BS$7</f>
        <v>0.11081308460537871</v>
      </c>
      <c r="BT23" s="684">
        <f t="shared" si="25"/>
        <v>0.16097268405958598</v>
      </c>
      <c r="BU23" s="684">
        <f t="shared" si="25"/>
        <v>0.17864138032123414</v>
      </c>
      <c r="BV23" s="684">
        <f t="shared" si="25"/>
        <v>0.19087114746102907</v>
      </c>
      <c r="BW23" s="684">
        <f t="shared" si="25"/>
        <v>0.14128183769515956</v>
      </c>
      <c r="BX23" s="680">
        <f>BX22/BX$7</f>
        <v>0.16874382492940096</v>
      </c>
      <c r="BY23" s="684">
        <f t="shared" ref="BY23:CG23" si="26">BY22/BY7</f>
        <v>8.9026973316451874E-2</v>
      </c>
      <c r="BZ23" s="684">
        <f t="shared" si="26"/>
        <v>0.16146111637794816</v>
      </c>
      <c r="CA23" s="684">
        <f t="shared" si="26"/>
        <v>0.21699429454119634</v>
      </c>
      <c r="CB23" s="684">
        <f t="shared" si="26"/>
        <v>0.17370191760426854</v>
      </c>
      <c r="CC23" s="680">
        <f>CC22/CC$7</f>
        <v>0.16459762359295532</v>
      </c>
      <c r="CD23" s="684">
        <f t="shared" si="26"/>
        <v>9.5986442368018898E-2</v>
      </c>
      <c r="CE23" s="684">
        <f t="shared" si="26"/>
        <v>0.11950824671165065</v>
      </c>
      <c r="CF23" s="684">
        <f t="shared" si="26"/>
        <v>0.14023209455324512</v>
      </c>
      <c r="CG23" s="684">
        <f t="shared" si="26"/>
        <v>0.15004745599177785</v>
      </c>
      <c r="CH23" s="680">
        <f>CH22/CH$7</f>
        <v>0.12781992570751469</v>
      </c>
      <c r="CI23" s="684">
        <f>CI22/CI7</f>
        <v>0.14581238262692625</v>
      </c>
      <c r="CJ23" s="684">
        <f>CJ22/CJ7</f>
        <v>0.15628241677729177</v>
      </c>
      <c r="CK23" s="684">
        <f>CK22/CK7</f>
        <v>0.18189185086772949</v>
      </c>
      <c r="CL23" s="684">
        <f>CL22/CL7</f>
        <v>0.19216498175950048</v>
      </c>
      <c r="CM23" s="680">
        <f>CM22/CM$7</f>
        <v>0.17010419935290072</v>
      </c>
      <c r="CN23" s="684">
        <f>CN22/CN7</f>
        <v>0.16072980017376196</v>
      </c>
      <c r="CO23" s="684">
        <f>CO22/CO7</f>
        <v>0.15958369470945361</v>
      </c>
      <c r="CP23" s="684">
        <f>CP22/CP7</f>
        <v>0.19693486590038314</v>
      </c>
      <c r="CQ23" s="684">
        <f>CQ22/CQ7</f>
        <v>0.21056388294075659</v>
      </c>
      <c r="CR23" s="680">
        <f>CR22/CR$7</f>
        <v>0.18383233532934132</v>
      </c>
      <c r="CS23" s="684">
        <f>CS22/CS7</f>
        <v>0.20613026819923372</v>
      </c>
      <c r="CT23" s="684">
        <f>CT22/CT7</f>
        <v>0.22689075630252101</v>
      </c>
      <c r="CU23" s="684">
        <f>CU22/CU7</f>
        <v>0.32085828343313372</v>
      </c>
      <c r="CV23" s="684">
        <f>CV22/CV7</f>
        <v>0.33916244822825586</v>
      </c>
      <c r="CW23" s="680">
        <f>CW22/CW$7</f>
        <v>0.28552821997105643</v>
      </c>
      <c r="CX23" s="684">
        <f>CX22/CX7</f>
        <v>0.28910686628807436</v>
      </c>
      <c r="CY23" s="684">
        <f>CY22/CY7</f>
        <v>0.31031390134529147</v>
      </c>
      <c r="CZ23" s="684">
        <f>CZ22/CZ7</f>
        <v>0.34066767830045525</v>
      </c>
      <c r="DA23" s="684">
        <f>DA22/DA7</f>
        <v>0.36963242871865337</v>
      </c>
      <c r="DB23" s="680">
        <f>DB22/DB$7</f>
        <v>0.33209800288243774</v>
      </c>
      <c r="DC23" s="684">
        <f>DC22/DC7</f>
        <v>0.40505144995322734</v>
      </c>
      <c r="DD23" s="684">
        <f>DD22/DD7</f>
        <v>0.37111751520973424</v>
      </c>
      <c r="DE23" s="684">
        <f>DE22/DE7</f>
        <v>0.33637220999685635</v>
      </c>
      <c r="DF23" s="684">
        <f>DF22/DF7</f>
        <v>0.14648526077097507</v>
      </c>
      <c r="DG23" s="680">
        <f>DG22/DG$7</f>
        <v>0.32869580061454423</v>
      </c>
      <c r="DH23" s="684">
        <f>DH22/DH7</f>
        <v>0.17072072072072073</v>
      </c>
      <c r="DI23" s="684">
        <f>DI22/DI7</f>
        <v>0.22411787514540518</v>
      </c>
      <c r="DJ23" s="684">
        <f>DJ22/DJ7</f>
        <v>0.30988719309887192</v>
      </c>
      <c r="DK23" s="684">
        <f>DK22/DK7</f>
        <v>0.322061191626409</v>
      </c>
      <c r="DL23" s="680">
        <f>DL22/DL$7</f>
        <v>0.26479208646272212</v>
      </c>
      <c r="DM23" s="684">
        <f>DM22/DM7</f>
        <v>0.31850649350649352</v>
      </c>
      <c r="DN23" s="684">
        <f>DN22/DN7</f>
        <v>0.29539575788929123</v>
      </c>
      <c r="DO23" s="684">
        <f>DO22/DO7</f>
        <v>0.34066864155734239</v>
      </c>
      <c r="DP23" s="684">
        <f>DP22/DP7</f>
        <v>0.3341994803118129</v>
      </c>
      <c r="DQ23" s="680">
        <f>DQ22/DQ$7</f>
        <v>0.32413793103448274</v>
      </c>
      <c r="DR23" s="684">
        <f>DR22/DR7</f>
        <v>0.37590531708178765</v>
      </c>
      <c r="DS23" s="684">
        <f>DS22/DS7</f>
        <v>0.40049177808513908</v>
      </c>
      <c r="DT23" s="684">
        <f>DT22/DT7</f>
        <v>0.39800084471350133</v>
      </c>
      <c r="DU23" s="684">
        <f>DU22/DU7</f>
        <v>0.40900170090278687</v>
      </c>
      <c r="DV23" s="680">
        <f>DV22/DV$7</f>
        <v>0.39707958683213196</v>
      </c>
      <c r="DW23" s="684">
        <f>DW22/DW7</f>
        <v>0.40745656370656369</v>
      </c>
      <c r="DX23" s="684">
        <f>DX22/DX7</f>
        <v>0.10083532219570406</v>
      </c>
      <c r="DY23" s="684">
        <f>DY22/DY7</f>
        <v>0.13336705445961894</v>
      </c>
      <c r="DZ23" s="684">
        <f>DZ22/DZ7</f>
        <v>0.24541398116013882</v>
      </c>
      <c r="EA23" s="680">
        <f>EA22/EA$7</f>
        <v>0.2346333506339438</v>
      </c>
      <c r="EB23" s="684">
        <f>EB22/EB7</f>
        <v>0.32216351501668522</v>
      </c>
      <c r="EC23" s="684">
        <f>EC22/EC7</f>
        <v>0.51336344117864807</v>
      </c>
      <c r="ED23" s="684">
        <f>ED22/ED7</f>
        <v>0.58377483443708611</v>
      </c>
      <c r="EE23" s="684">
        <f>EE22/EE7</f>
        <v>0.6223589557978555</v>
      </c>
      <c r="EF23" s="680">
        <f>EF22/EF$7</f>
        <v>0.55127868421916548</v>
      </c>
      <c r="EG23" s="684">
        <f>EG22/EG7</f>
        <v>0.65458454922438947</v>
      </c>
      <c r="EH23" s="684">
        <f>EH22/EH7</f>
        <v>0.62526631158455392</v>
      </c>
      <c r="EI23" s="684">
        <f>EI22/EI7</f>
        <v>0.627786329171655</v>
      </c>
      <c r="EJ23" s="684">
        <f>EJ22/EJ7</f>
        <v>0.61516361140067632</v>
      </c>
      <c r="EK23" s="680">
        <f>EK22/EK$7</f>
        <v>0.6287500862088784</v>
      </c>
      <c r="EL23" s="684">
        <f>EL22/EL7</f>
        <v>0.49478008261086653</v>
      </c>
      <c r="EM23" s="684">
        <f>EM22/EM7</f>
        <v>0.61059409965128464</v>
      </c>
      <c r="EN23" s="684">
        <f>EN22/EN7</f>
        <v>0.6332140476441076</v>
      </c>
      <c r="EO23" s="684">
        <f>EO22/EO7</f>
        <v>0.65281019272828689</v>
      </c>
      <c r="EP23" s="680">
        <f>EP22/EP$7</f>
        <v>0.60625272068834568</v>
      </c>
      <c r="EQ23" s="684">
        <f>EQ22/EQ7</f>
        <v>0.65898425534521843</v>
      </c>
      <c r="ER23" s="684">
        <f>ER22/ER7</f>
        <v>0.66031391828911423</v>
      </c>
      <c r="ES23" s="684">
        <f>ES22/ES7</f>
        <v>0.67040999853445238</v>
      </c>
      <c r="ET23" s="684">
        <f>ET22/ET7</f>
        <v>0.67784755984433342</v>
      </c>
      <c r="EU23" s="680">
        <f>EU22/EU$7</f>
        <v>0.66812622508196151</v>
      </c>
      <c r="EV23" s="684">
        <f>EV22/EV7</f>
        <v>0.67988686966251488</v>
      </c>
      <c r="EW23" s="684">
        <f>EW22/EW7</f>
        <v>0.68108177865315966</v>
      </c>
      <c r="EX23" s="684">
        <f>EX22/EX7</f>
        <v>0.68466361414159582</v>
      </c>
      <c r="EY23" s="684">
        <f>EY22/EY7</f>
        <v>0.68554543241989307</v>
      </c>
      <c r="EZ23" s="680">
        <f>EZ22/EZ$7</f>
        <v>0.68303342322886207</v>
      </c>
      <c r="FA23" s="684">
        <f>FA22/FA7</f>
        <v>0.68530359953925946</v>
      </c>
      <c r="FB23" s="684">
        <f>FB22/FB7</f>
        <v>0.68485661013583699</v>
      </c>
      <c r="FC23" s="684">
        <f>FC22/FC7</f>
        <v>0.68753471166825075</v>
      </c>
      <c r="FD23" s="684">
        <f>FD22/FD7</f>
        <v>0.68896182661034855</v>
      </c>
      <c r="FE23" s="680">
        <f>FE22/FE$7</f>
        <v>0.68675675193515184</v>
      </c>
      <c r="FF23" s="684">
        <f>FF22/FF7</f>
        <v>0.68857877802874767</v>
      </c>
      <c r="FG23" s="684">
        <f>FG22/FG7</f>
        <v>0.68783989866962836</v>
      </c>
      <c r="FH23" s="684">
        <f>FH22/FH7</f>
        <v>0.6889842779733375</v>
      </c>
      <c r="FI23" s="684">
        <f>FI22/FI7</f>
        <v>0.68901101348115923</v>
      </c>
      <c r="FJ23" s="680">
        <f>FJ22/FJ$7</f>
        <v>0.68861185502351796</v>
      </c>
      <c r="FK23" s="684">
        <f>FK22/FK7</f>
        <v>0.68927918023953949</v>
      </c>
      <c r="FL23" s="684">
        <f>FL22/FL7</f>
        <v>0.68937210964139584</v>
      </c>
      <c r="FM23" s="684">
        <f>FM22/FM7</f>
        <v>0.69126878723176255</v>
      </c>
      <c r="FN23" s="684">
        <f>FN22/FN7</f>
        <v>0.69199421946637629</v>
      </c>
      <c r="FO23" s="680">
        <f>FO22/FO$7</f>
        <v>0.69053655890455512</v>
      </c>
      <c r="FP23" s="680"/>
      <c r="FQ23" s="37"/>
    </row>
    <row r="24" spans="1:173">
      <c r="A24" s="686" t="s">
        <v>396</v>
      </c>
      <c r="B24" s="684"/>
      <c r="C24" s="684">
        <f t="shared" ref="C24:BM24" si="27">(C22-B22)/(C7-B7)</f>
        <v>1.3728813559322026</v>
      </c>
      <c r="D24" s="684">
        <f t="shared" si="27"/>
        <v>-0.24120879120879116</v>
      </c>
      <c r="E24" s="684">
        <f t="shared" si="27"/>
        <v>0.22105379676776629</v>
      </c>
      <c r="F24" s="680"/>
      <c r="G24" s="684">
        <f>(G22-E22)/(G7-E7)</f>
        <v>-0.54747303869739905</v>
      </c>
      <c r="H24" s="684">
        <f t="shared" si="27"/>
        <v>0.58131316262632549</v>
      </c>
      <c r="I24" s="684">
        <f t="shared" si="27"/>
        <v>0.45465408648460243</v>
      </c>
      <c r="J24" s="684">
        <f t="shared" si="27"/>
        <v>5.0324920658910061E-2</v>
      </c>
      <c r="K24" s="680">
        <f>(K22-F22)/(K7-F7)</f>
        <v>6.174225415356982E-2</v>
      </c>
      <c r="L24" s="684">
        <f>(L22-J22)/(L7-J7)</f>
        <v>0.10709724502827865</v>
      </c>
      <c r="M24" s="684">
        <f t="shared" si="27"/>
        <v>0.12287469638519713</v>
      </c>
      <c r="N24" s="684">
        <f t="shared" si="27"/>
        <v>0.45752184440467419</v>
      </c>
      <c r="O24" s="684">
        <f t="shared" si="27"/>
        <v>4.2907124681934174E-2</v>
      </c>
      <c r="P24" s="680">
        <f>(P22-K22)/(P7-K7)</f>
        <v>0.2441831431372187</v>
      </c>
      <c r="Q24" s="684">
        <f>(Q22-O22)/(Q7-O7)</f>
        <v>8.3433193529058966E-2</v>
      </c>
      <c r="R24" s="684">
        <f t="shared" si="27"/>
        <v>0.36789056875450016</v>
      </c>
      <c r="S24" s="684">
        <f t="shared" si="27"/>
        <v>0.27433066422095959</v>
      </c>
      <c r="T24" s="684">
        <f>(T22-S22)/(T7-S7)</f>
        <v>0.14297980026209769</v>
      </c>
      <c r="U24" s="680">
        <f>(U22-P22)/(U7-P7)</f>
        <v>0.1959424435703612</v>
      </c>
      <c r="V24" s="684">
        <f>(V22-T22)/(V7-T7)</f>
        <v>0.10995457986374153</v>
      </c>
      <c r="W24" s="684">
        <f t="shared" si="27"/>
        <v>0.29361769519083647</v>
      </c>
      <c r="X24" s="684">
        <f t="shared" si="27"/>
        <v>0.15409939011046508</v>
      </c>
      <c r="Y24" s="684">
        <f t="shared" si="27"/>
        <v>0.35350222042793683</v>
      </c>
      <c r="Z24" s="680">
        <f>(Z22-U22)/(Z7-U7)</f>
        <v>0.22093732803327626</v>
      </c>
      <c r="AA24" s="684">
        <f>(AA22-Y22)/(AA7-Y7)</f>
        <v>4.91434919272375E-2</v>
      </c>
      <c r="AB24" s="684">
        <f t="shared" si="27"/>
        <v>0.57849890759542433</v>
      </c>
      <c r="AC24" s="684">
        <f t="shared" si="27"/>
        <v>-5.1139450149057035</v>
      </c>
      <c r="AD24" s="684">
        <f t="shared" si="27"/>
        <v>-10.865384615384562</v>
      </c>
      <c r="AE24" s="680">
        <f>(AE22-Z22)/(AE7-Z7)</f>
        <v>-0.1634871930361822</v>
      </c>
      <c r="AF24" s="684">
        <f>(AF22-AD22)/(AF7-AD7)</f>
        <v>0.17042999364541273</v>
      </c>
      <c r="AG24" s="684">
        <f t="shared" si="27"/>
        <v>-3.1319012246537513E-2</v>
      </c>
      <c r="AH24" s="684">
        <f t="shared" si="27"/>
        <v>-0.21947138239208802</v>
      </c>
      <c r="AI24" s="684">
        <f t="shared" si="27"/>
        <v>-0.35519713261648966</v>
      </c>
      <c r="AJ24" s="680">
        <f>(AJ22-AE22)/(AJ7-AE7)</f>
        <v>2.0113141296573249</v>
      </c>
      <c r="AK24" s="684">
        <f>(AK22-AI22)/(AK7-AI7)</f>
        <v>-0.29906542056010593</v>
      </c>
      <c r="AL24" s="684">
        <f t="shared" si="27"/>
        <v>1.2674198434738682</v>
      </c>
      <c r="AM24" s="684">
        <f t="shared" si="27"/>
        <v>0.41926759616999915</v>
      </c>
      <c r="AN24" s="684">
        <f t="shared" si="27"/>
        <v>0.55808194949395673</v>
      </c>
      <c r="AO24" s="680">
        <f>(AO22-AJ22)/(AO7-AJ7)</f>
        <v>0.10655948003078708</v>
      </c>
      <c r="AP24" s="684">
        <f>(AP22-AN22)/(AP7-AN7)</f>
        <v>1.0953367875647697</v>
      </c>
      <c r="AQ24" s="684">
        <f t="shared" si="27"/>
        <v>-0.42672127518263786</v>
      </c>
      <c r="AR24" s="684">
        <f t="shared" si="27"/>
        <v>0.65756131582005939</v>
      </c>
      <c r="AS24" s="684">
        <f t="shared" si="27"/>
        <v>0.53084722803243212</v>
      </c>
      <c r="AT24" s="680">
        <f>(AT22-AO22)/(AT7-AO7)</f>
        <v>0.65816865123860302</v>
      </c>
      <c r="AU24" s="684">
        <f>(AU22-AS22)/(AU7-AS7)</f>
        <v>-0.22478368227750981</v>
      </c>
      <c r="AV24" s="684">
        <f t="shared" si="27"/>
        <v>-0.99667366946778613</v>
      </c>
      <c r="AW24" s="684">
        <f t="shared" si="27"/>
        <v>0.29534847015850824</v>
      </c>
      <c r="AX24" s="684">
        <f t="shared" si="27"/>
        <v>0.28817687518224344</v>
      </c>
      <c r="AY24" s="680">
        <f>(AY22-AT22)/(AY7-AT7)</f>
        <v>0.18770740631727176</v>
      </c>
      <c r="AZ24" s="684">
        <f>(AZ22-AX22)/(AZ7-AX7)</f>
        <v>0.30838608967132031</v>
      </c>
      <c r="BA24" s="684">
        <f t="shared" si="27"/>
        <v>0.47831774262693272</v>
      </c>
      <c r="BB24" s="684">
        <f t="shared" si="27"/>
        <v>0.34978152863416606</v>
      </c>
      <c r="BC24" s="684">
        <f t="shared" si="27"/>
        <v>0.21413241825714591</v>
      </c>
      <c r="BD24" s="680">
        <f>(BD22-AY22)/(BD7-AY7)</f>
        <v>0.34593120711619663</v>
      </c>
      <c r="BE24" s="684">
        <f>(BE22-BC22)/(BE7-BC7)</f>
        <v>1.2873414129950109</v>
      </c>
      <c r="BF24" s="684">
        <f t="shared" si="27"/>
        <v>0.62297477676516633</v>
      </c>
      <c r="BG24" s="684">
        <f t="shared" si="27"/>
        <v>-4.0626631853786561</v>
      </c>
      <c r="BH24" s="684">
        <f t="shared" si="27"/>
        <v>0.42468338475204964</v>
      </c>
      <c r="BI24" s="680">
        <f>(BI22-BD22)/(BI7-BD7)</f>
        <v>1.0891870888750526</v>
      </c>
      <c r="BJ24" s="684">
        <f>(BJ22-BH22)/(BJ7-BH7)</f>
        <v>0.35954252257074359</v>
      </c>
      <c r="BK24" s="684">
        <f t="shared" si="27"/>
        <v>0.88762924240130348</v>
      </c>
      <c r="BL24" s="684">
        <f t="shared" si="27"/>
        <v>0.59030200653584453</v>
      </c>
      <c r="BM24" s="684">
        <f t="shared" si="27"/>
        <v>0.63762266340405127</v>
      </c>
      <c r="BN24" s="680">
        <f>(BN22-BI22)/(BN7-BI7)</f>
        <v>-0.29378950149369054</v>
      </c>
      <c r="BO24" s="684">
        <f>(BO22-BM22)/(BO7-BM7)</f>
        <v>0.67844760672703641</v>
      </c>
      <c r="BP24" s="684">
        <f t="shared" ref="BP24:BW24" si="28">(BP22-BO22)/(BP7-BO7)</f>
        <v>0.67522887647228569</v>
      </c>
      <c r="BQ24" s="684">
        <f t="shared" si="28"/>
        <v>2.6018835616438336</v>
      </c>
      <c r="BR24" s="684">
        <f t="shared" si="28"/>
        <v>0.44732008289374603</v>
      </c>
      <c r="BS24" s="680">
        <f>(BS22-BN22)/(BS7-BN7)</f>
        <v>1.1823539176626792</v>
      </c>
      <c r="BT24" s="684">
        <f>(BT22-BR22)/(BT7-BR7)</f>
        <v>0.42403816925049231</v>
      </c>
      <c r="BU24" s="684">
        <f t="shared" si="28"/>
        <v>0.49065677888321763</v>
      </c>
      <c r="BV24" s="684">
        <f t="shared" si="28"/>
        <v>0.44119364516843518</v>
      </c>
      <c r="BW24" s="684">
        <f t="shared" si="28"/>
        <v>0.60922592179562063</v>
      </c>
      <c r="BX24" s="680">
        <f>(BX22-BS22)/(BX7-BS7)</f>
        <v>0.62025511360012042</v>
      </c>
      <c r="BY24" s="684">
        <f>(BY22-BW22)/(BY7-BW7)</f>
        <v>1.8480064978634692</v>
      </c>
      <c r="BZ24" s="684">
        <f t="shared" ref="BZ24:CG24" si="29">(BZ22-BY22)/(BZ7-BY7)</f>
        <v>0.72257167505632536</v>
      </c>
      <c r="CA24" s="684">
        <f t="shared" si="29"/>
        <v>0.57980480480480501</v>
      </c>
      <c r="CB24" s="684">
        <f>(CB22-CA22)/(CB7-CA7)</f>
        <v>0.70996214303349459</v>
      </c>
      <c r="CC24" s="680">
        <f>(CC22-BX22)/(CC7-BX7)</f>
        <v>0.10586438672142148</v>
      </c>
      <c r="CD24" s="684">
        <f>(CD22-CB22)/(CD7-CB7)</f>
        <v>0.66132371207192331</v>
      </c>
      <c r="CE24" s="684">
        <f t="shared" si="29"/>
        <v>1.1176496733188162</v>
      </c>
      <c r="CF24" s="684">
        <f t="shared" si="29"/>
        <v>0.40417573538036516</v>
      </c>
      <c r="CG24" s="684">
        <f t="shared" si="29"/>
        <v>0.26467296761254666</v>
      </c>
      <c r="CH24" s="680">
        <f>(CH22-CC22)/(CH7-CC7)</f>
        <v>1.1772702120709113</v>
      </c>
      <c r="CI24" s="684">
        <f>(CI22-CG22)/(CI7-CG7)</f>
        <v>0.2627742511645853</v>
      </c>
      <c r="CJ24" s="684">
        <f>(CJ22-CI22)/(CJ7-CI7)</f>
        <v>312.21621621592209</v>
      </c>
      <c r="CK24" s="684">
        <f>(CK22-CJ22)/(CK7-CJ7)</f>
        <v>0.41233538406305653</v>
      </c>
      <c r="CL24" s="684">
        <f>(CL22-CK22)/(CL7-CK7)</f>
        <v>0.69306063982173927</v>
      </c>
      <c r="CM24" s="680">
        <f>(CM22-CH22)/(CM7-CH7)</f>
        <v>0.48685850057586488</v>
      </c>
      <c r="CN24" s="684">
        <f>(CN22-CL22)/(CN7-CL7)</f>
        <v>0.55575094961512961</v>
      </c>
      <c r="CO24" s="684">
        <f>(CO22-CN22)/(CO7-CN7)</f>
        <v>-0.5</v>
      </c>
      <c r="CP24" s="684">
        <f>(CP22-CO22)/(CP7-CO7)</f>
        <v>0.48026315789473684</v>
      </c>
      <c r="CQ24" s="684">
        <f>(CQ22-CP22)/(CQ7-CP7)</f>
        <v>0.39583333333333331</v>
      </c>
      <c r="CR24" s="680">
        <f>(CR22-CM22)/(CR7-CM7)</f>
        <v>0.37947840593254556</v>
      </c>
      <c r="CS24" s="684">
        <f>(CS22-CQ22)/(CS7-CQ7)</f>
        <v>0.27083333333333331</v>
      </c>
      <c r="CT24" s="684">
        <f>(CT22-CS22)/(CT7-CS7)</f>
        <v>0.44715447154471544</v>
      </c>
      <c r="CU24" s="684">
        <f>(CU22-CT22)/(CU7-CT7)</f>
        <v>0.55381944444444442</v>
      </c>
      <c r="CV24" s="684">
        <f>(CV22-CU22)/(CV7-CU7)</f>
        <v>0.55621301775147924</v>
      </c>
      <c r="CW24" s="680">
        <f>(CW22-CR22)/(CW7-CR7)</f>
        <v>0.55368421052631578</v>
      </c>
      <c r="CX24" s="684">
        <f>(CX22-CV22)/(CX7-CV7)</f>
        <v>0.75</v>
      </c>
      <c r="CY24" s="684">
        <f>(CY22-CX22)/(CY7-CX7)</f>
        <v>0.45051194539249145</v>
      </c>
      <c r="CZ24" s="684">
        <f>(CZ22-CY22)/(CZ7-CY7)</f>
        <v>0.5073891625615764</v>
      </c>
      <c r="DA24" s="684">
        <f>(DA22-CZ22)/(DA7-CZ7)</f>
        <v>0.64727272727272722</v>
      </c>
      <c r="DB24" s="680">
        <f>(DB22-CW22)/(DB7-CW7)</f>
        <v>0.44686162624821685</v>
      </c>
      <c r="DC24" s="684">
        <f>(DC22-DA22)/(DC7-DA7)</f>
        <v>0.7533783783783784</v>
      </c>
      <c r="DD24" s="684">
        <f>(DD22-DC22)/(DD7-DC7)</f>
        <v>1.6666666666666667</v>
      </c>
      <c r="DE24" s="684">
        <f>(DE22-DD22)/(DE7-DD7)</f>
        <v>-1.5344827586206897</v>
      </c>
      <c r="DF24" s="684">
        <f>(DF22-DE22)/(DF7-DE7)</f>
        <v>0.76536885245901642</v>
      </c>
      <c r="DG24" s="680">
        <f>(DG22-DB22)/(DG7-DB7)</f>
        <v>0.31218781218781216</v>
      </c>
      <c r="DH24" s="684">
        <f>(DH22-DF22)/(DH7-DF7)</f>
        <v>3.7333333333333334</v>
      </c>
      <c r="DI24" s="684">
        <f>(DI22-DH22)/(DI7-DH7)</f>
        <v>0.55431754874651806</v>
      </c>
      <c r="DJ24" s="684">
        <f>(DJ22-DI22)/(DJ7-DI7)</f>
        <v>0.81839080459770119</v>
      </c>
      <c r="DK24" s="684">
        <f>(DK22-DJ22)/(DK7-DJ7)</f>
        <v>0.72527472527472525</v>
      </c>
      <c r="DL24" s="680">
        <f>(DL22-DG22)/(DL7-DG7)</f>
        <v>1.2030075187969924</v>
      </c>
      <c r="DM24" s="684">
        <f>(DM22-DK22)/(DM7-DK7)</f>
        <v>0.76</v>
      </c>
      <c r="DN24" s="684">
        <f>(DN22-DM22)/(DN7-DM7)</f>
        <v>0.20483460559796438</v>
      </c>
      <c r="DO24" s="684">
        <f>(DO22-DN22)/(DO7-DN7)</f>
        <v>0.54418604651162794</v>
      </c>
      <c r="DP24" s="684">
        <f>(DP22-DO22)/(DP7-DO7)</f>
        <v>0.22382671480144403</v>
      </c>
      <c r="DQ24" s="680">
        <f>(DQ22-DL22)/(DQ7-DL7)</f>
        <v>0.43668577384054197</v>
      </c>
      <c r="DR24" s="684">
        <f>(DR22-DP22)/(DR7-DP7)</f>
        <v>0.69300911854103342</v>
      </c>
      <c r="DS24" s="684">
        <f>(DS22-DR22)/(DS7-DR7)</f>
        <v>0.56501182033096931</v>
      </c>
      <c r="DT24" s="684">
        <f>(DT22-DS22)/(DT7-DS7)</f>
        <v>0.37080536912751677</v>
      </c>
      <c r="DU24" s="684">
        <f>(DU22-DT22)/(DU7-DT7)</f>
        <v>0.5537037037037037</v>
      </c>
      <c r="DV24" s="680">
        <f>(DV22-DQ22)/(DV7-DQ7)</f>
        <v>0.51587069049711887</v>
      </c>
      <c r="DW24" s="684">
        <f>(DW22-DU22)/(DW7-DU7)</f>
        <v>0.38914728682170541</v>
      </c>
      <c r="DX24" s="684">
        <f>(DX22-DW22)/(DX7-DW7)</f>
        <v>1.7051767676767677</v>
      </c>
      <c r="DY24" s="684">
        <f>(DY22-DX22)/(DY7-DX7)</f>
        <v>-0.14877102199223805</v>
      </c>
      <c r="DZ24" s="684">
        <f>(DZ22-DY22)/(DZ7-DY7)</f>
        <v>5.7833333333333332</v>
      </c>
      <c r="EA24" s="680">
        <f>(EA22-DV22)/(EA7-DV7)</f>
        <v>-72.63333333333334</v>
      </c>
      <c r="EB24" s="684">
        <f>(EB22-EA22)/(EB7-EA7)</f>
        <v>0.20281063593165505</v>
      </c>
      <c r="EC24" s="684">
        <f>(EC22-EB22)/(EC7-EB7)</f>
        <v>0.73111638954869362</v>
      </c>
      <c r="ED24" s="684">
        <f>(ED22-EC22)/(ED7-EC7)</f>
        <v>0.78994146975937563</v>
      </c>
      <c r="EE24" s="684">
        <f>(EE22-ED22)/(EE7-ED7)</f>
        <v>0.79789103690685415</v>
      </c>
      <c r="EF24" s="680">
        <f>(EF22-EA22)/(EF7-EA7)</f>
        <v>0.80287498527159185</v>
      </c>
      <c r="EG24" s="684">
        <f>(EG22-EF22)/(EG7-EF7)</f>
        <v>0.4741384253684271</v>
      </c>
      <c r="EH24" s="684">
        <f>(EH22-EG22)/(EH7-EG7)</f>
        <v>0.4341841841841842</v>
      </c>
      <c r="EI24" s="684">
        <f>(EI22-EH22)/(EI7-EH7)</f>
        <v>0.64280047600158663</v>
      </c>
      <c r="EJ24" s="684">
        <f>(EJ22-EI22)/(EJ7-EI7)</f>
        <v>0.51094375147093429</v>
      </c>
      <c r="EK24" s="680">
        <f>(EK22-EF22)/(EK7-EF7)</f>
        <v>0.69658641753503414</v>
      </c>
      <c r="EL24" s="684">
        <f>(EL22-EK22)/(EL7-EK7)</f>
        <v>0.69704402151906053</v>
      </c>
      <c r="EM24" s="684">
        <f>(EM22-EL22)/(EM7-EL7)</f>
        <v>2.513987318164864</v>
      </c>
      <c r="EN24" s="684">
        <f>(EN22-EM22)/(EN7-EM7)</f>
        <v>0.73623696774822178</v>
      </c>
      <c r="EO24" s="684">
        <f>(EO22-EN22)/(EO7-EN7)</f>
        <v>0.75325959895692829</v>
      </c>
      <c r="EP24" s="680">
        <f>(EP22-EK22)/(EP7-EK7)</f>
        <v>0.57189171475052958</v>
      </c>
      <c r="EQ24" s="684">
        <f>(EQ22-EP22)/(EQ7-EP7)</f>
        <v>0.57421290471475472</v>
      </c>
      <c r="ER24" s="684">
        <f>(ER22-EQ22)/(ER7-EQ7)</f>
        <v>0.66980437138067417</v>
      </c>
      <c r="ES24" s="684">
        <f>(ES22-ER22)/(ES7-ER7)</f>
        <v>0.72376378319932433</v>
      </c>
      <c r="ET24" s="684">
        <f>(ET22-ES22)/(ET7-ES7)</f>
        <v>0.73317831067852401</v>
      </c>
      <c r="EU24" s="680">
        <f>(EU22-EP22)/(EU7-EP7)</f>
        <v>0.73667286844695545</v>
      </c>
      <c r="EV24" s="684">
        <f>(EV22-ET22)/(EV7-ET7)</f>
        <v>0.70210945292977467</v>
      </c>
      <c r="EW24" s="684">
        <f>(EW22-EV22)/(EW7-EV7)</f>
        <v>0.69329665854305911</v>
      </c>
      <c r="EX24" s="684">
        <f>(EX22-EW22)/(EX7-EW7)</f>
        <v>0.71505173315794834</v>
      </c>
      <c r="EY24" s="684">
        <f>(EY22-EX22)/(EY7-EX7)</f>
        <v>0.69876061120301503</v>
      </c>
      <c r="EZ24" s="680">
        <f>(EZ22-EU22)/(EZ7-EU7)</f>
        <v>0.71034335137291915</v>
      </c>
      <c r="FA24" s="684">
        <f>(FA22-EY22)/(FA7-EY7)</f>
        <v>0.67597647630318602</v>
      </c>
      <c r="FB24" s="684">
        <f>(FB22-FA22)/(FB7-FA7)</f>
        <v>0.67035943232811201</v>
      </c>
      <c r="FC24" s="684">
        <f>(FC22-FB22)/(FC7-FB7)</f>
        <v>0.72575890169673607</v>
      </c>
      <c r="FD24" s="684">
        <f>(FD22-FC22)/(FD7-FC7)</f>
        <v>0.71754863721233697</v>
      </c>
      <c r="FE24" s="680">
        <f>(FE22-EZ22)/(FE7-EZ7)</f>
        <v>0.70202281496947072</v>
      </c>
      <c r="FF24" s="684">
        <f>(FF22-FD22)/(FF7-FD7)</f>
        <v>0.63486264908933587</v>
      </c>
      <c r="FG24" s="684">
        <f>(FG22-FF22)/(FG7-FF7)</f>
        <v>0.62339788083930137</v>
      </c>
      <c r="FH24" s="684">
        <f>(FH22-FG22)/(FH7-FG7)</f>
        <v>0.72525091823171506</v>
      </c>
      <c r="FI24" s="684">
        <f>(FI22-FH22)/(FI7-FH7)</f>
        <v>0.69027199744716117</v>
      </c>
      <c r="FJ24" s="680">
        <f>(FJ22-FE22)/(FJ7-FE7)</f>
        <v>0.70410566168787625</v>
      </c>
      <c r="FK24" s="684">
        <f>(FK22-FI22)/(FK7-FI7)</f>
        <v>0.70531962519275271</v>
      </c>
      <c r="FL24" s="684">
        <f>(FL22-FK22)/(FL7-FK7)</f>
        <v>0.6923991506401882</v>
      </c>
      <c r="FM24" s="684">
        <f>(FM22-FL22)/(FM7-FL7)</f>
        <v>0.7227114769067069</v>
      </c>
      <c r="FN24" s="684">
        <f>(FN22-FM22)/(FN7-FM7)</f>
        <v>0.70996546365107138</v>
      </c>
      <c r="FO24" s="680">
        <f>(FO22-FJ22)/(FO7-FJ7)</f>
        <v>0.70655159193293282</v>
      </c>
      <c r="FP24" s="680"/>
      <c r="FQ24" s="37"/>
    </row>
    <row r="25" spans="1:173">
      <c r="A25" s="686"/>
      <c r="B25" s="175"/>
      <c r="C25" s="175"/>
      <c r="D25" s="175"/>
      <c r="E25" s="175"/>
      <c r="G25" s="175"/>
      <c r="H25" s="175"/>
      <c r="I25" s="175"/>
      <c r="J25" s="175"/>
      <c r="L25" s="175"/>
      <c r="M25" s="175"/>
      <c r="N25" s="175"/>
      <c r="O25" s="175"/>
      <c r="Q25" s="175"/>
      <c r="R25" s="175"/>
      <c r="S25" s="175"/>
      <c r="T25" s="175"/>
      <c r="V25" s="175"/>
      <c r="W25" s="175"/>
      <c r="X25" s="175"/>
      <c r="Y25" s="175"/>
      <c r="AA25" s="175"/>
      <c r="AB25" s="175"/>
      <c r="AC25" s="175"/>
      <c r="AD25" s="175"/>
      <c r="AE25" s="148"/>
      <c r="AF25" s="175"/>
      <c r="AG25" s="175"/>
      <c r="AH25" s="175"/>
      <c r="AI25" s="175"/>
      <c r="AJ25" s="148"/>
      <c r="AK25" s="175"/>
      <c r="AL25" s="175"/>
      <c r="AM25" s="175"/>
      <c r="AN25" s="175"/>
      <c r="AO25" s="148"/>
      <c r="AP25" s="175"/>
      <c r="AQ25" s="175"/>
      <c r="AR25" s="175"/>
      <c r="AS25" s="175"/>
      <c r="AT25" s="148"/>
      <c r="AU25" s="175"/>
      <c r="AV25" s="175"/>
      <c r="AW25" s="175"/>
      <c r="AX25" s="175"/>
      <c r="AY25" s="148"/>
      <c r="AZ25" s="175"/>
      <c r="BA25" s="175"/>
      <c r="BB25" s="175"/>
      <c r="BC25" s="175"/>
      <c r="BD25" s="148"/>
      <c r="BE25" s="175"/>
      <c r="BF25" s="175"/>
      <c r="BG25" s="175"/>
      <c r="BH25" s="175"/>
      <c r="BI25" s="148"/>
      <c r="BJ25" s="175"/>
      <c r="BK25" s="175"/>
      <c r="BL25" s="175"/>
      <c r="BM25" s="175"/>
      <c r="BN25" s="148"/>
      <c r="BO25" s="175"/>
      <c r="BP25" s="175"/>
      <c r="BQ25" s="175"/>
      <c r="BR25" s="175"/>
      <c r="BS25" s="148"/>
      <c r="BT25" s="175"/>
      <c r="BU25" s="175"/>
      <c r="BV25" s="175"/>
      <c r="BW25" s="175"/>
      <c r="BX25" s="148"/>
      <c r="BY25" s="175"/>
      <c r="BZ25" s="175"/>
      <c r="CA25" s="175"/>
      <c r="CB25" s="175"/>
      <c r="CC25" s="148"/>
      <c r="CD25" s="175"/>
      <c r="CE25" s="175"/>
      <c r="CF25" s="175"/>
      <c r="CG25" s="175"/>
      <c r="CH25" s="148"/>
      <c r="CI25" s="175"/>
      <c r="CJ25" s="175"/>
      <c r="CK25" s="175"/>
      <c r="CL25" s="175"/>
      <c r="CM25" s="148"/>
      <c r="CN25" s="175"/>
      <c r="CO25" s="175"/>
      <c r="CP25" s="175"/>
      <c r="CQ25" s="175"/>
      <c r="CR25" s="148"/>
      <c r="CS25" s="175"/>
      <c r="CT25" s="175"/>
      <c r="CU25" s="175"/>
      <c r="CV25" s="175"/>
      <c r="CW25" s="148"/>
      <c r="CX25" s="175"/>
      <c r="CY25" s="175"/>
      <c r="CZ25" s="175"/>
      <c r="DA25" s="175"/>
      <c r="DC25" s="175"/>
      <c r="DD25" s="689"/>
      <c r="DE25" s="175"/>
      <c r="DF25" s="175"/>
      <c r="DG25" s="148"/>
      <c r="DH25" s="175"/>
      <c r="DI25" s="175"/>
      <c r="DJ25" s="175"/>
      <c r="DK25" s="175"/>
      <c r="DL25" s="148"/>
      <c r="DM25" s="175"/>
      <c r="DN25" s="175"/>
      <c r="DO25" s="689"/>
      <c r="DP25" s="689"/>
      <c r="DQ25" s="148"/>
      <c r="DR25" s="175"/>
      <c r="DS25" s="175"/>
      <c r="DT25" s="175"/>
      <c r="DU25" s="175"/>
      <c r="DV25" s="148"/>
      <c r="DW25" s="175"/>
      <c r="DX25" s="175"/>
      <c r="DY25" s="175"/>
      <c r="DZ25" s="175"/>
      <c r="EA25" s="148"/>
      <c r="EB25" s="175"/>
      <c r="EC25" s="175"/>
      <c r="ED25" s="175"/>
      <c r="EE25" s="175"/>
      <c r="EF25" s="148"/>
      <c r="EG25" s="175"/>
      <c r="EH25" s="175"/>
      <c r="EI25" s="175"/>
      <c r="EJ25" s="175"/>
      <c r="EK25" s="148"/>
      <c r="EL25" s="175"/>
      <c r="EM25" s="175"/>
      <c r="EN25" s="175"/>
      <c r="EO25" s="175"/>
      <c r="EP25" s="148"/>
      <c r="EQ25" s="175"/>
      <c r="ER25" s="175"/>
      <c r="ES25" s="175"/>
      <c r="ET25" s="175"/>
      <c r="EU25" s="148"/>
      <c r="EV25" s="175"/>
      <c r="EW25" s="175"/>
      <c r="EX25" s="175"/>
      <c r="EY25" s="175"/>
      <c r="EZ25" s="148"/>
      <c r="FA25" s="175"/>
      <c r="FB25" s="175"/>
      <c r="FC25" s="175"/>
      <c r="FD25" s="175"/>
      <c r="FE25" s="148"/>
      <c r="FF25" s="175"/>
      <c r="FG25" s="175"/>
      <c r="FH25" s="175"/>
      <c r="FI25" s="175"/>
      <c r="FJ25" s="148"/>
      <c r="FK25" s="175"/>
      <c r="FL25" s="175"/>
      <c r="FM25" s="175"/>
      <c r="FN25" s="175"/>
      <c r="FO25" s="148"/>
      <c r="FP25" s="148"/>
      <c r="FQ25" s="37"/>
    </row>
    <row r="26" spans="1:173" ht="11.25" customHeight="1">
      <c r="A26" s="171" t="s">
        <v>397</v>
      </c>
      <c r="B26" s="681">
        <v>0</v>
      </c>
      <c r="C26" s="681">
        <v>0</v>
      </c>
      <c r="D26" s="681">
        <v>0</v>
      </c>
      <c r="E26" s="681">
        <v>0</v>
      </c>
      <c r="F26" s="682">
        <f>SUM(B26:E26)</f>
        <v>0</v>
      </c>
      <c r="G26" s="681">
        <v>0</v>
      </c>
      <c r="H26" s="681">
        <v>0</v>
      </c>
      <c r="I26" s="681">
        <v>0</v>
      </c>
      <c r="J26" s="681">
        <v>0</v>
      </c>
      <c r="K26" s="682">
        <f>SUM(G26:J26)</f>
        <v>0</v>
      </c>
      <c r="L26" s="681">
        <v>0</v>
      </c>
      <c r="M26" s="681">
        <v>0</v>
      </c>
      <c r="N26" s="681">
        <v>0</v>
      </c>
      <c r="O26" s="681">
        <v>0</v>
      </c>
      <c r="P26" s="682">
        <f>SUM(L26:O26)</f>
        <v>0</v>
      </c>
      <c r="Q26" s="681">
        <v>0</v>
      </c>
      <c r="R26" s="681">
        <v>0</v>
      </c>
      <c r="S26" s="681">
        <v>1.2895000000000003</v>
      </c>
      <c r="T26" s="681">
        <f>(0.0475/4)*300</f>
        <v>3.5625</v>
      </c>
      <c r="U26" s="682">
        <f>SUM(Q26:T26)</f>
        <v>4.8520000000000003</v>
      </c>
      <c r="V26" s="681">
        <f>(0.0475/4)*300</f>
        <v>3.5625</v>
      </c>
      <c r="W26" s="681">
        <f>(0.0475/4)*300</f>
        <v>3.5625</v>
      </c>
      <c r="X26" s="681">
        <f>(0.0475/4)*300</f>
        <v>3.5625</v>
      </c>
      <c r="Y26" s="681">
        <v>5.4854999999999983</v>
      </c>
      <c r="Z26" s="682">
        <f>SUM(V26:Y26)</f>
        <v>16.172999999999998</v>
      </c>
      <c r="AA26" s="681">
        <f>(0.0475/4)*300</f>
        <v>3.5625</v>
      </c>
      <c r="AB26" s="681">
        <f>(0.0475/4)*300</f>
        <v>3.5625</v>
      </c>
      <c r="AC26" s="681">
        <f>(0.0475/4)*300</f>
        <v>3.5625</v>
      </c>
      <c r="AD26" s="681">
        <f>+AD28-AD27</f>
        <v>2.97</v>
      </c>
      <c r="AE26" s="682">
        <f>SUM(AA26:AD26)</f>
        <v>13.657500000000001</v>
      </c>
      <c r="AF26" s="681">
        <f>(0.0475/4)*300</f>
        <v>3.5625</v>
      </c>
      <c r="AG26" s="681">
        <f>(0.0475/4)*300</f>
        <v>3.5625</v>
      </c>
      <c r="AH26" s="681">
        <v>0</v>
      </c>
      <c r="AI26" s="681">
        <v>0</v>
      </c>
      <c r="AJ26" s="682">
        <f>SUM(AF26:AI26)</f>
        <v>7.125</v>
      </c>
      <c r="AK26" s="681">
        <v>0</v>
      </c>
      <c r="AL26" s="681">
        <v>0</v>
      </c>
      <c r="AM26" s="681">
        <v>0</v>
      </c>
      <c r="AN26" s="681">
        <v>0</v>
      </c>
      <c r="AO26" s="682">
        <f>SUM(AK26:AN26)</f>
        <v>0</v>
      </c>
      <c r="AP26" s="681">
        <v>0.01</v>
      </c>
      <c r="AQ26" s="681">
        <v>0</v>
      </c>
      <c r="AR26" s="681">
        <v>0</v>
      </c>
      <c r="AS26" s="681">
        <v>0</v>
      </c>
      <c r="AT26" s="682">
        <f>SUM(AP26:AS26)</f>
        <v>0.01</v>
      </c>
      <c r="AU26" s="681">
        <v>1E-3</v>
      </c>
      <c r="AV26" s="681">
        <v>0</v>
      </c>
      <c r="AW26" s="681">
        <v>0</v>
      </c>
      <c r="AX26" s="681">
        <v>0</v>
      </c>
      <c r="AY26" s="682">
        <f>SUM(AU26:AX26)</f>
        <v>1E-3</v>
      </c>
      <c r="AZ26" s="681">
        <v>0</v>
      </c>
      <c r="BA26" s="681">
        <v>0</v>
      </c>
      <c r="BB26" s="681">
        <v>0</v>
      </c>
      <c r="BC26" s="681">
        <v>0</v>
      </c>
      <c r="BD26" s="682">
        <f>SUM(AZ26:BC26)</f>
        <v>0</v>
      </c>
      <c r="BE26" s="681">
        <v>0</v>
      </c>
      <c r="BF26" s="681">
        <v>0</v>
      </c>
      <c r="BG26" s="681">
        <v>0</v>
      </c>
      <c r="BH26" s="681">
        <v>0</v>
      </c>
      <c r="BI26" s="682">
        <f>SUM(BE26:BH26)</f>
        <v>0</v>
      </c>
      <c r="BJ26" s="681">
        <v>0</v>
      </c>
      <c r="BK26" s="681">
        <v>0</v>
      </c>
      <c r="BL26" s="681">
        <v>0</v>
      </c>
      <c r="BM26" s="681">
        <v>0</v>
      </c>
      <c r="BN26" s="682">
        <f>SUM(BJ26:BM26)</f>
        <v>0</v>
      </c>
      <c r="BO26" s="681">
        <v>0</v>
      </c>
      <c r="BP26" s="681">
        <v>0</v>
      </c>
      <c r="BQ26" s="681">
        <v>0</v>
      </c>
      <c r="BR26" s="681">
        <v>0</v>
      </c>
      <c r="BS26" s="682">
        <f>SUM(BO26:BR26)</f>
        <v>0</v>
      </c>
      <c r="BT26" s="681">
        <v>0</v>
      </c>
      <c r="BU26" s="681">
        <v>0</v>
      </c>
      <c r="BV26" s="681">
        <v>0</v>
      </c>
      <c r="BW26" s="681">
        <v>0</v>
      </c>
      <c r="BX26" s="682">
        <f>SUM(BT26:BW26)</f>
        <v>0</v>
      </c>
      <c r="BY26" s="681">
        <v>0</v>
      </c>
      <c r="BZ26" s="681">
        <v>0</v>
      </c>
      <c r="CA26" s="681">
        <v>0</v>
      </c>
      <c r="CB26" s="681">
        <v>0</v>
      </c>
      <c r="CC26" s="682">
        <f>SUM(BY26:CB26)</f>
        <v>0</v>
      </c>
      <c r="CD26" s="681">
        <v>0</v>
      </c>
      <c r="CE26" s="681">
        <v>0</v>
      </c>
      <c r="CF26" s="681">
        <v>0</v>
      </c>
      <c r="CG26" s="681">
        <v>0</v>
      </c>
      <c r="CH26" s="682">
        <f>SUM(CD26:CG26)</f>
        <v>0</v>
      </c>
      <c r="CI26" s="681">
        <v>0</v>
      </c>
      <c r="CJ26" s="681">
        <v>11.526</v>
      </c>
      <c r="CK26" s="681">
        <v>11.542</v>
      </c>
      <c r="CL26" s="681">
        <f>-7.083+11.594</f>
        <v>4.5109999999999992</v>
      </c>
      <c r="CM26" s="682">
        <f>SUM(CI26:CL26)</f>
        <v>27.578999999999997</v>
      </c>
      <c r="CN26" s="681">
        <f>12-7</f>
        <v>5</v>
      </c>
      <c r="CO26" s="681">
        <f>13-7</f>
        <v>6</v>
      </c>
      <c r="CP26" s="681">
        <f>12-7</f>
        <v>5</v>
      </c>
      <c r="CQ26" s="681">
        <f>12-2-7</f>
        <v>3</v>
      </c>
      <c r="CR26" s="682">
        <f>SUM(CN26:CQ26)</f>
        <v>19</v>
      </c>
      <c r="CS26" s="681">
        <f>12-7</f>
        <v>5</v>
      </c>
      <c r="CT26" s="681">
        <f>12-7</f>
        <v>5</v>
      </c>
      <c r="CU26" s="681">
        <f>16-6</f>
        <v>10</v>
      </c>
      <c r="CV26" s="681">
        <f>18-4</f>
        <v>14</v>
      </c>
      <c r="CW26" s="682">
        <f>SUM(CS26:CV26)</f>
        <v>34</v>
      </c>
      <c r="CX26" s="681">
        <f>16-2</f>
        <v>14</v>
      </c>
      <c r="CY26" s="681">
        <f>15-1</f>
        <v>14</v>
      </c>
      <c r="CZ26" s="681">
        <v>15</v>
      </c>
      <c r="DA26" s="681">
        <f>15+2</f>
        <v>17</v>
      </c>
      <c r="DB26" s="682">
        <f>SUM(CX26:DA26)</f>
        <v>60</v>
      </c>
      <c r="DC26" s="681">
        <f>15-1</f>
        <v>14</v>
      </c>
      <c r="DD26" s="681">
        <v>14</v>
      </c>
      <c r="DE26" s="681">
        <v>15</v>
      </c>
      <c r="DF26" s="681">
        <v>14</v>
      </c>
      <c r="DG26" s="682">
        <f>SUM(DC26:DF26)</f>
        <v>57</v>
      </c>
      <c r="DH26" s="681">
        <v>13</v>
      </c>
      <c r="DI26" s="681">
        <v>13</v>
      </c>
      <c r="DJ26" s="681">
        <v>13</v>
      </c>
      <c r="DK26" s="681">
        <v>12</v>
      </c>
      <c r="DL26" s="682">
        <f>SUM(DH26:DK26)</f>
        <v>51</v>
      </c>
      <c r="DM26" s="681">
        <f>25+1-1</f>
        <v>25</v>
      </c>
      <c r="DN26" s="681">
        <f>54-2-1</f>
        <v>51</v>
      </c>
      <c r="DO26" s="681">
        <v>53</v>
      </c>
      <c r="DP26" s="681">
        <f>53</f>
        <v>53</v>
      </c>
      <c r="DQ26" s="682">
        <f>SUM(DM26:DP26)</f>
        <v>182</v>
      </c>
      <c r="DR26" s="681">
        <f>53-1</f>
        <v>52</v>
      </c>
      <c r="DS26" s="681">
        <f>60-1</f>
        <v>59</v>
      </c>
      <c r="DT26" s="681">
        <f>62-1</f>
        <v>61</v>
      </c>
      <c r="DU26" s="681">
        <f>61</f>
        <v>61</v>
      </c>
      <c r="DV26" s="682">
        <f>SUM(DR26:DU26)</f>
        <v>233</v>
      </c>
      <c r="DW26" s="681">
        <f>68-1</f>
        <v>67</v>
      </c>
      <c r="DX26" s="681">
        <f>65-1</f>
        <v>64</v>
      </c>
      <c r="DY26" s="681">
        <f>65-1</f>
        <v>64</v>
      </c>
      <c r="DZ26" s="681">
        <f>65-1</f>
        <v>64</v>
      </c>
      <c r="EA26" s="682">
        <f>SUM(DW26:DZ26)</f>
        <v>259</v>
      </c>
      <c r="EB26" s="681">
        <f>66-1</f>
        <v>65</v>
      </c>
      <c r="EC26" s="681">
        <f>65-1</f>
        <v>64</v>
      </c>
      <c r="ED26" s="681">
        <f>63-1</f>
        <v>62</v>
      </c>
      <c r="EE26" s="681">
        <f>63-1</f>
        <v>62</v>
      </c>
      <c r="EF26" s="682">
        <f>SUM(EB26:EE26)</f>
        <v>253</v>
      </c>
      <c r="EG26" s="681">
        <f>64-1</f>
        <v>63</v>
      </c>
      <c r="EH26" s="681">
        <f>61-1</f>
        <v>60</v>
      </c>
      <c r="EI26" s="681">
        <f>61-1</f>
        <v>60</v>
      </c>
      <c r="EJ26" s="681">
        <f>61-1</f>
        <v>60</v>
      </c>
      <c r="EK26" s="682">
        <f>SUM(EG26:EJ26)</f>
        <v>243</v>
      </c>
      <c r="EL26" s="681">
        <f>63-1</f>
        <v>62</v>
      </c>
      <c r="EM26" s="681">
        <f>62-1</f>
        <v>61</v>
      </c>
      <c r="EN26" s="681">
        <f>61-1</f>
        <v>60</v>
      </c>
      <c r="EO26" s="681">
        <f>74-13</f>
        <v>61</v>
      </c>
      <c r="EP26" s="682">
        <f>SUM(EL26:EO26)</f>
        <v>244</v>
      </c>
      <c r="EQ26" s="681">
        <f>102-26</f>
        <v>76</v>
      </c>
      <c r="ER26" s="690">
        <f>+EQ26</f>
        <v>76</v>
      </c>
      <c r="ES26" s="690">
        <f>+ER26</f>
        <v>76</v>
      </c>
      <c r="ET26" s="690">
        <f>+ES26</f>
        <v>76</v>
      </c>
      <c r="EU26" s="682">
        <f>SUM(EQ26:ET26)</f>
        <v>304</v>
      </c>
      <c r="EV26" s="690">
        <f>+ET26</f>
        <v>76</v>
      </c>
      <c r="EW26" s="690">
        <f>+EV26</f>
        <v>76</v>
      </c>
      <c r="EX26" s="690">
        <f>+EW26</f>
        <v>76</v>
      </c>
      <c r="EY26" s="690">
        <f>+EX26</f>
        <v>76</v>
      </c>
      <c r="EZ26" s="682">
        <f>SUM(EV26:EY26)</f>
        <v>304</v>
      </c>
      <c r="FA26" s="690">
        <f>+EY26</f>
        <v>76</v>
      </c>
      <c r="FB26" s="690">
        <f>+FA26</f>
        <v>76</v>
      </c>
      <c r="FC26" s="690">
        <f>+FB26</f>
        <v>76</v>
      </c>
      <c r="FD26" s="690">
        <f>+FC26</f>
        <v>76</v>
      </c>
      <c r="FE26" s="682">
        <f>SUM(FA26:FD26)</f>
        <v>304</v>
      </c>
      <c r="FF26" s="690">
        <f>+FD26</f>
        <v>76</v>
      </c>
      <c r="FG26" s="690">
        <f>+FF26</f>
        <v>76</v>
      </c>
      <c r="FH26" s="690">
        <f>+FG26</f>
        <v>76</v>
      </c>
      <c r="FI26" s="690">
        <f>+FH26</f>
        <v>76</v>
      </c>
      <c r="FJ26" s="682">
        <f>SUM(FF26:FI26)</f>
        <v>304</v>
      </c>
      <c r="FK26" s="690">
        <f>+FI26</f>
        <v>76</v>
      </c>
      <c r="FL26" s="690">
        <f>+FK26</f>
        <v>76</v>
      </c>
      <c r="FM26" s="690">
        <f>+FL26</f>
        <v>76</v>
      </c>
      <c r="FN26" s="690">
        <f>+FM26</f>
        <v>76</v>
      </c>
      <c r="FO26" s="682">
        <f>SUM(FK26:FN26)</f>
        <v>304</v>
      </c>
      <c r="FP26" s="682"/>
      <c r="FQ26" s="37"/>
    </row>
    <row r="27" spans="1:173">
      <c r="A27" s="171" t="s">
        <v>398</v>
      </c>
      <c r="B27" s="176"/>
      <c r="C27" s="176"/>
      <c r="D27" s="176"/>
      <c r="E27" s="176"/>
      <c r="F27" s="682">
        <f>SUM(B27:E27)</f>
        <v>0</v>
      </c>
      <c r="G27" s="176"/>
      <c r="H27" s="176"/>
      <c r="I27" s="176"/>
      <c r="J27" s="176"/>
      <c r="K27" s="682">
        <f>SUM(G27:J27)</f>
        <v>0</v>
      </c>
      <c r="L27" s="176"/>
      <c r="M27" s="176"/>
      <c r="N27" s="176"/>
      <c r="O27" s="176"/>
      <c r="P27" s="682">
        <f>SUM(L27:O27)</f>
        <v>0</v>
      </c>
      <c r="Q27" s="176">
        <f t="shared" ref="Q27:W27" si="30">Q28-Q26</f>
        <v>-1.3280000000000001</v>
      </c>
      <c r="R27" s="176">
        <f t="shared" si="30"/>
        <v>-4.0979999999999999</v>
      </c>
      <c r="S27" s="176">
        <f t="shared" si="30"/>
        <v>-5.9195000000000002</v>
      </c>
      <c r="T27" s="176">
        <f t="shared" si="30"/>
        <v>-10.179499999999997</v>
      </c>
      <c r="U27" s="682">
        <f>SUM(Q27:T27)</f>
        <v>-21.524999999999999</v>
      </c>
      <c r="V27" s="176">
        <f t="shared" si="30"/>
        <v>-9.0775000000000006</v>
      </c>
      <c r="W27" s="176">
        <f t="shared" si="30"/>
        <v>-6.2255000000000003</v>
      </c>
      <c r="X27" s="176">
        <f>-1.682-X26</f>
        <v>-5.2445000000000004</v>
      </c>
      <c r="Y27" s="176">
        <f>Y28-Y26</f>
        <v>-7.3335000000000008</v>
      </c>
      <c r="Z27" s="682">
        <f>SUM(V27:Y27)</f>
        <v>-27.881</v>
      </c>
      <c r="AA27" s="176">
        <f>AA28-AA26</f>
        <v>-5.2934999999999999</v>
      </c>
      <c r="AB27" s="176">
        <f>AB28-AB26</f>
        <v>-4.9024999999999999</v>
      </c>
      <c r="AC27" s="176">
        <f>AC28-AC26</f>
        <v>-5.0324999999999998</v>
      </c>
      <c r="AD27" s="176">
        <v>-5</v>
      </c>
      <c r="AE27" s="682">
        <f>SUM(AA27:AD27)</f>
        <v>-20.2285</v>
      </c>
      <c r="AF27" s="176">
        <f>AF28-AF26</f>
        <v>-5.4245000000000001</v>
      </c>
      <c r="AG27" s="176">
        <f>AG28-AG26</f>
        <v>-5.5914999999999999</v>
      </c>
      <c r="AH27" s="176">
        <f>AH28-AH26</f>
        <v>-3.26</v>
      </c>
      <c r="AI27" s="176">
        <v>-2.4329999999999998</v>
      </c>
      <c r="AJ27" s="682">
        <f>SUM(AF27:AI27)</f>
        <v>-16.709</v>
      </c>
      <c r="AK27" s="176">
        <v>-2.8069999999999999</v>
      </c>
      <c r="AL27" s="176">
        <v>-2.6</v>
      </c>
      <c r="AM27" s="176">
        <v>-3.5910000000000002</v>
      </c>
      <c r="AN27" s="176">
        <v>-2.8540000000000001</v>
      </c>
      <c r="AO27" s="682">
        <f>SUM(AK27:AN27)</f>
        <v>-11.852</v>
      </c>
      <c r="AP27" s="176">
        <v>-4.383</v>
      </c>
      <c r="AQ27" s="176">
        <v>-5.2190000000000003</v>
      </c>
      <c r="AR27" s="176">
        <v>-6.1459999999999999</v>
      </c>
      <c r="AS27" s="176">
        <v>-4.3860000000000001</v>
      </c>
      <c r="AT27" s="682">
        <f>SUM(AP27:AS27)</f>
        <v>-20.134</v>
      </c>
      <c r="AU27" s="176">
        <v>-8.5640000000000001</v>
      </c>
      <c r="AV27" s="176">
        <v>-8.7059999999999995</v>
      </c>
      <c r="AW27" s="176">
        <v>-10.714</v>
      </c>
      <c r="AX27" s="176">
        <v>-13.045</v>
      </c>
      <c r="AY27" s="682">
        <f>SUM(AU27:AX27)</f>
        <v>-41.029000000000003</v>
      </c>
      <c r="AZ27" s="176">
        <v>-12.542999999999999</v>
      </c>
      <c r="BA27" s="176">
        <v>-16.091000000000001</v>
      </c>
      <c r="BB27" s="176">
        <v>-18.957999999999998</v>
      </c>
      <c r="BC27" s="176">
        <v>-17.402999999999999</v>
      </c>
      <c r="BD27" s="682">
        <f>SUM(AZ27:BC27)</f>
        <v>-64.995000000000005</v>
      </c>
      <c r="BE27" s="176">
        <v>-10.039</v>
      </c>
      <c r="BF27" s="176">
        <v>-8.7919999999999998</v>
      </c>
      <c r="BG27" s="176">
        <v>-4.2069999999999999</v>
      </c>
      <c r="BH27" s="176">
        <v>-4.7080000000000002</v>
      </c>
      <c r="BI27" s="682">
        <f>SUM(BE27:BH27)</f>
        <v>-27.746000000000002</v>
      </c>
      <c r="BJ27" s="176">
        <v>-6.1440000000000001</v>
      </c>
      <c r="BK27" s="176">
        <v>-3.0059999999999998</v>
      </c>
      <c r="BL27" s="176">
        <v>-2.3620000000000001</v>
      </c>
      <c r="BM27" s="176">
        <v>-5.1390000000000002</v>
      </c>
      <c r="BN27" s="682">
        <f>SUM(BJ27:BM27)</f>
        <v>-16.651</v>
      </c>
      <c r="BO27" s="176">
        <v>-3.3319999999999999</v>
      </c>
      <c r="BP27" s="176">
        <v>-6.16</v>
      </c>
      <c r="BQ27" s="176">
        <v>0.19800000000000001</v>
      </c>
      <c r="BR27" s="176">
        <v>-6.1280000000000001</v>
      </c>
      <c r="BS27" s="682">
        <f>SUM(BO27:BR27)</f>
        <v>-15.422000000000001</v>
      </c>
      <c r="BT27" s="176">
        <v>-1.623</v>
      </c>
      <c r="BU27" s="176">
        <v>-3.5169999999999999</v>
      </c>
      <c r="BV27" s="176">
        <v>-7.6970000000000001</v>
      </c>
      <c r="BW27" s="176">
        <v>-2.2599999999999998</v>
      </c>
      <c r="BX27" s="682">
        <f>SUM(BT27:BW27)</f>
        <v>-15.097</v>
      </c>
      <c r="BY27" s="176">
        <v>-4.2690000000000001</v>
      </c>
      <c r="BZ27" s="176">
        <v>-5.585</v>
      </c>
      <c r="CA27" s="176">
        <v>-1.411</v>
      </c>
      <c r="CB27" s="176">
        <v>-2.5350000000000001</v>
      </c>
      <c r="CC27" s="682">
        <f>SUM(BY27:CB27)</f>
        <v>-13.799999999999999</v>
      </c>
      <c r="CD27" s="176">
        <v>-5.2809999999999997</v>
      </c>
      <c r="CE27" s="176">
        <v>-6.2859999999999996</v>
      </c>
      <c r="CF27" s="176">
        <v>-0.496</v>
      </c>
      <c r="CG27" s="176">
        <f>-7.935+5.743</f>
        <v>-2.1919999999999993</v>
      </c>
      <c r="CH27" s="682">
        <f>SUM(CD27:CG27)</f>
        <v>-14.254999999999999</v>
      </c>
      <c r="CI27" s="176">
        <f>11.471-5.71-17.684+16.982-6.901</f>
        <v>-1.8420000000000023</v>
      </c>
      <c r="CJ27" s="176">
        <f>-6.829+3.857-2.5-6.973</f>
        <v>-12.445</v>
      </c>
      <c r="CK27" s="176">
        <f>-7.422-7.01+0.125</f>
        <v>-14.306999999999999</v>
      </c>
      <c r="CL27" s="176">
        <f>-8.129-0.188</f>
        <v>-8.3170000000000002</v>
      </c>
      <c r="CM27" s="682">
        <f>SUM(CI27:CL27)</f>
        <v>-36.911000000000001</v>
      </c>
      <c r="CN27" s="176">
        <f>-9+1</f>
        <v>-8</v>
      </c>
      <c r="CO27" s="176">
        <f>-9</f>
        <v>-9</v>
      </c>
      <c r="CP27" s="176">
        <f>-9-3</f>
        <v>-12</v>
      </c>
      <c r="CQ27" s="176">
        <v>-11</v>
      </c>
      <c r="CR27" s="682">
        <f>SUM(CN27:CQ27)</f>
        <v>-40</v>
      </c>
      <c r="CS27" s="176">
        <f>-12+4</f>
        <v>-8</v>
      </c>
      <c r="CT27" s="176">
        <v>-12</v>
      </c>
      <c r="CU27" s="176">
        <f>-14</f>
        <v>-14</v>
      </c>
      <c r="CV27" s="176">
        <v>-17</v>
      </c>
      <c r="CW27" s="682">
        <f>SUM(CS27:CV27)</f>
        <v>-51</v>
      </c>
      <c r="CX27" s="176">
        <f>-16</f>
        <v>-16</v>
      </c>
      <c r="CY27" s="176">
        <v>-15</v>
      </c>
      <c r="CZ27" s="176">
        <v>-17</v>
      </c>
      <c r="DA27" s="176">
        <f>-20-2</f>
        <v>-22</v>
      </c>
      <c r="DB27" s="682">
        <f>SUM(CX27:DA27)</f>
        <v>-70</v>
      </c>
      <c r="DC27" s="176">
        <f>-25-6</f>
        <v>-31</v>
      </c>
      <c r="DD27" s="176">
        <f>-32+2</f>
        <v>-30</v>
      </c>
      <c r="DE27" s="176">
        <f>-37+2</f>
        <v>-35</v>
      </c>
      <c r="DF27" s="176">
        <f>-42+1</f>
        <v>-41</v>
      </c>
      <c r="DG27" s="682">
        <f>SUM(DC27:DF27)</f>
        <v>-137</v>
      </c>
      <c r="DH27" s="176">
        <v>-44</v>
      </c>
      <c r="DI27" s="176">
        <f>-47</f>
        <v>-47</v>
      </c>
      <c r="DJ27" s="176">
        <f>-45+1</f>
        <v>-44</v>
      </c>
      <c r="DK27" s="176">
        <f>-41+3</f>
        <v>-38</v>
      </c>
      <c r="DL27" s="682">
        <f>SUM(DH27:DK27)</f>
        <v>-173</v>
      </c>
      <c r="DM27" s="176">
        <f>-31-3</f>
        <v>-34</v>
      </c>
      <c r="DN27" s="176">
        <f>-13+1</f>
        <v>-12</v>
      </c>
      <c r="DO27" s="176">
        <f>+-7+4-4-1</f>
        <v>-8</v>
      </c>
      <c r="DP27" s="176">
        <f>-6-10+9-1</f>
        <v>-8</v>
      </c>
      <c r="DQ27" s="682">
        <f>SUM(DM27:DP27)</f>
        <v>-62</v>
      </c>
      <c r="DR27" s="176">
        <f>-6+134-135</f>
        <v>-7</v>
      </c>
      <c r="DS27" s="176">
        <f>-6-4</f>
        <v>-10</v>
      </c>
      <c r="DT27" s="176">
        <f>-7-22+20</f>
        <v>-9</v>
      </c>
      <c r="DU27" s="176">
        <f>-9+53-53</f>
        <v>-9</v>
      </c>
      <c r="DV27" s="682">
        <f>SUM(DR27:DU27)</f>
        <v>-35</v>
      </c>
      <c r="DW27" s="176">
        <f>-18+13-17</f>
        <v>-22</v>
      </c>
      <c r="DX27" s="176">
        <f>-46+5-7</f>
        <v>-48</v>
      </c>
      <c r="DY27" s="176">
        <f>-88+11-11</f>
        <v>-88</v>
      </c>
      <c r="DZ27" s="176">
        <f>-115+18-10</f>
        <v>-107</v>
      </c>
      <c r="EA27" s="682">
        <f>SUM(DW27:DZ27)</f>
        <v>-265</v>
      </c>
      <c r="EB27" s="176">
        <f>-150+15-14</f>
        <v>-149</v>
      </c>
      <c r="EC27" s="176">
        <f>-187-59+62</f>
        <v>-184</v>
      </c>
      <c r="ED27" s="176">
        <f>-234-69+66</f>
        <v>-237</v>
      </c>
      <c r="EE27" s="176">
        <f>-294-260+260</f>
        <v>-294</v>
      </c>
      <c r="EF27" s="682">
        <f>SUM(EB27:EE27)</f>
        <v>-864</v>
      </c>
      <c r="EG27" s="176">
        <f>-359-75+69</f>
        <v>-365</v>
      </c>
      <c r="EH27" s="176">
        <f>-444-189+193</f>
        <v>-440</v>
      </c>
      <c r="EI27" s="176">
        <f>-472-36+37</f>
        <v>-471</v>
      </c>
      <c r="EJ27" s="176">
        <f>-511-733+727</f>
        <v>-517</v>
      </c>
      <c r="EK27" s="682">
        <f>SUM(EG27:EJ27)</f>
        <v>-1793</v>
      </c>
      <c r="EL27" s="176">
        <f>-515+180-175</f>
        <v>-510</v>
      </c>
      <c r="EM27" s="176">
        <f>-592-2236+2247</f>
        <v>-581</v>
      </c>
      <c r="EN27" s="176">
        <f>-624-1363+1354</f>
        <v>-633</v>
      </c>
      <c r="EO27" s="176">
        <f>-568-5604+5491</f>
        <v>-681</v>
      </c>
      <c r="EP27" s="682">
        <f>SUM(EL27:EO27)</f>
        <v>-2405</v>
      </c>
      <c r="EQ27" s="176">
        <f>-540-15929+15936</f>
        <v>-533</v>
      </c>
      <c r="ER27" s="691">
        <f>EQ27-15</f>
        <v>-548</v>
      </c>
      <c r="ES27" s="691">
        <f>ER27-15</f>
        <v>-563</v>
      </c>
      <c r="ET27" s="691">
        <f>ES27-15</f>
        <v>-578</v>
      </c>
      <c r="EU27" s="682">
        <f>SUM(EQ27:ET27)</f>
        <v>-2222</v>
      </c>
      <c r="EV27" s="691">
        <f>ET27-25</f>
        <v>-603</v>
      </c>
      <c r="EW27" s="691">
        <f>EV27-25</f>
        <v>-628</v>
      </c>
      <c r="EX27" s="691">
        <f>EW27-25</f>
        <v>-653</v>
      </c>
      <c r="EY27" s="691">
        <f>EX27-25</f>
        <v>-678</v>
      </c>
      <c r="EZ27" s="682">
        <f>SUM(EV27:EY27)</f>
        <v>-2562</v>
      </c>
      <c r="FA27" s="691">
        <f>EY27-25</f>
        <v>-703</v>
      </c>
      <c r="FB27" s="691">
        <f>FA27-25</f>
        <v>-728</v>
      </c>
      <c r="FC27" s="691">
        <f>FB27-25</f>
        <v>-753</v>
      </c>
      <c r="FD27" s="691">
        <f>FC27-25</f>
        <v>-778</v>
      </c>
      <c r="FE27" s="682">
        <f>SUM(FA27:FD27)</f>
        <v>-2962</v>
      </c>
      <c r="FF27" s="691">
        <f>FD27-25</f>
        <v>-803</v>
      </c>
      <c r="FG27" s="691">
        <f>FF27-25</f>
        <v>-828</v>
      </c>
      <c r="FH27" s="691">
        <f>FG27-25</f>
        <v>-853</v>
      </c>
      <c r="FI27" s="691">
        <f>FH27-25</f>
        <v>-878</v>
      </c>
      <c r="FJ27" s="682">
        <f>SUM(FF27:FI27)</f>
        <v>-3362</v>
      </c>
      <c r="FK27" s="691">
        <f>FI27-25</f>
        <v>-903</v>
      </c>
      <c r="FL27" s="691">
        <f>FK27-25</f>
        <v>-928</v>
      </c>
      <c r="FM27" s="691">
        <f>FL27-25</f>
        <v>-953</v>
      </c>
      <c r="FN27" s="691">
        <f>FM27-25</f>
        <v>-978</v>
      </c>
      <c r="FO27" s="682">
        <f>SUM(FK27:FN27)</f>
        <v>-3762</v>
      </c>
      <c r="FP27" s="682"/>
      <c r="FQ27" s="37"/>
    </row>
    <row r="28" spans="1:173">
      <c r="A28" s="171" t="s">
        <v>399</v>
      </c>
      <c r="B28" s="681">
        <v>3.2000000000000001E-2</v>
      </c>
      <c r="C28" s="681">
        <v>0.04</v>
      </c>
      <c r="D28" s="681">
        <v>0.03</v>
      </c>
      <c r="E28" s="681">
        <v>2.8000000000000001E-2</v>
      </c>
      <c r="F28" s="682">
        <f>SUM(B28:E28)</f>
        <v>0.13</v>
      </c>
      <c r="G28" s="681">
        <v>-2.7E-2</v>
      </c>
      <c r="H28" s="681">
        <v>-2.1999999999999999E-2</v>
      </c>
      <c r="I28" s="681">
        <v>-1.0999999999999999E-2</v>
      </c>
      <c r="J28" s="681">
        <v>8.8999999999999968E-2</v>
      </c>
      <c r="K28" s="682">
        <f>SUM(G28:J28)</f>
        <v>2.899999999999997E-2</v>
      </c>
      <c r="L28" s="681">
        <v>-0.34200000000000003</v>
      </c>
      <c r="M28" s="681">
        <v>-0.36899999999999999</v>
      </c>
      <c r="N28" s="681">
        <v>-0.43</v>
      </c>
      <c r="O28" s="681">
        <v>-0.61299999999999999</v>
      </c>
      <c r="P28" s="682">
        <f>SUM(L28:O28)</f>
        <v>-1.754</v>
      </c>
      <c r="Q28" s="681">
        <f>-1.328</f>
        <v>-1.3280000000000001</v>
      </c>
      <c r="R28" s="681">
        <v>-4.0979999999999999</v>
      </c>
      <c r="S28" s="681">
        <v>-4.63</v>
      </c>
      <c r="T28" s="681">
        <v>-6.6169999999999973</v>
      </c>
      <c r="U28" s="682">
        <f>SUM(Q28:T28)</f>
        <v>-16.672999999999998</v>
      </c>
      <c r="V28" s="681">
        <v>-5.5149999999999997</v>
      </c>
      <c r="W28" s="681">
        <v>-2.6629999999999998</v>
      </c>
      <c r="X28" s="681">
        <f>X27+X26</f>
        <v>-1.6820000000000004</v>
      </c>
      <c r="Y28" s="681">
        <v>-1.8480000000000025</v>
      </c>
      <c r="Z28" s="682">
        <f>SUM(V28:Y28)</f>
        <v>-11.708000000000002</v>
      </c>
      <c r="AA28" s="681">
        <v>-1.7310000000000001</v>
      </c>
      <c r="AB28" s="681">
        <v>-1.34</v>
      </c>
      <c r="AC28" s="681">
        <v>-1.47</v>
      </c>
      <c r="AD28" s="681">
        <v>-2.0299999999999998</v>
      </c>
      <c r="AE28" s="682">
        <f>SUM(AA28:AD28)</f>
        <v>-6.5709999999999997</v>
      </c>
      <c r="AF28" s="681">
        <v>-1.8620000000000001</v>
      </c>
      <c r="AG28" s="681">
        <v>-2.0289999999999999</v>
      </c>
      <c r="AH28" s="681">
        <v>-3.26</v>
      </c>
      <c r="AI28" s="681">
        <f t="shared" ref="AI28:BM28" si="31">SUM(AI26:AI27)</f>
        <v>-2.4329999999999998</v>
      </c>
      <c r="AJ28" s="682">
        <f>SUM(AF28:AI28)</f>
        <v>-9.5839999999999996</v>
      </c>
      <c r="AK28" s="681">
        <f t="shared" si="31"/>
        <v>-2.8069999999999999</v>
      </c>
      <c r="AL28" s="681">
        <f t="shared" si="31"/>
        <v>-2.6</v>
      </c>
      <c r="AM28" s="681">
        <f t="shared" si="31"/>
        <v>-3.5910000000000002</v>
      </c>
      <c r="AN28" s="681">
        <f t="shared" si="31"/>
        <v>-2.8540000000000001</v>
      </c>
      <c r="AO28" s="682">
        <f>SUM(AK28:AN28)</f>
        <v>-11.852</v>
      </c>
      <c r="AP28" s="681">
        <f t="shared" si="31"/>
        <v>-4.3730000000000002</v>
      </c>
      <c r="AQ28" s="681">
        <f t="shared" si="31"/>
        <v>-5.2190000000000003</v>
      </c>
      <c r="AR28" s="681">
        <f t="shared" si="31"/>
        <v>-6.1459999999999999</v>
      </c>
      <c r="AS28" s="681">
        <f t="shared" si="31"/>
        <v>-4.3860000000000001</v>
      </c>
      <c r="AT28" s="682">
        <f>SUM(AP28:AS28)</f>
        <v>-20.123999999999999</v>
      </c>
      <c r="AU28" s="681">
        <f t="shared" si="31"/>
        <v>-8.5630000000000006</v>
      </c>
      <c r="AV28" s="681">
        <f t="shared" si="31"/>
        <v>-8.7059999999999995</v>
      </c>
      <c r="AW28" s="681">
        <f t="shared" si="31"/>
        <v>-10.714</v>
      </c>
      <c r="AX28" s="681">
        <f t="shared" si="31"/>
        <v>-13.045</v>
      </c>
      <c r="AY28" s="682">
        <f>SUM(AU28:AX28)</f>
        <v>-41.027999999999999</v>
      </c>
      <c r="AZ28" s="681">
        <f t="shared" si="31"/>
        <v>-12.542999999999999</v>
      </c>
      <c r="BA28" s="681">
        <f t="shared" si="31"/>
        <v>-16.091000000000001</v>
      </c>
      <c r="BB28" s="681">
        <f>SUM(BB26:BB27)</f>
        <v>-18.957999999999998</v>
      </c>
      <c r="BC28" s="681">
        <f>SUM(BC26:BC27)</f>
        <v>-17.402999999999999</v>
      </c>
      <c r="BD28" s="682">
        <f>SUM(AZ28:BC28)</f>
        <v>-64.995000000000005</v>
      </c>
      <c r="BE28" s="681">
        <f>SUM(BE26:BE27)</f>
        <v>-10.039</v>
      </c>
      <c r="BF28" s="681">
        <f t="shared" si="31"/>
        <v>-8.7919999999999998</v>
      </c>
      <c r="BG28" s="681">
        <f t="shared" si="31"/>
        <v>-4.2069999999999999</v>
      </c>
      <c r="BH28" s="681">
        <f t="shared" si="31"/>
        <v>-4.7080000000000002</v>
      </c>
      <c r="BI28" s="682">
        <f>SUM(BE28:BH28)</f>
        <v>-27.746000000000002</v>
      </c>
      <c r="BJ28" s="681">
        <f t="shared" si="31"/>
        <v>-6.1440000000000001</v>
      </c>
      <c r="BK28" s="681">
        <f t="shared" si="31"/>
        <v>-3.0059999999999998</v>
      </c>
      <c r="BL28" s="681">
        <f t="shared" si="31"/>
        <v>-2.3620000000000001</v>
      </c>
      <c r="BM28" s="681">
        <f t="shared" si="31"/>
        <v>-5.1390000000000002</v>
      </c>
      <c r="BN28" s="682">
        <f>SUM(BJ28:BM28)</f>
        <v>-16.651</v>
      </c>
      <c r="BO28" s="681">
        <f t="shared" ref="BO28:BW28" si="32">SUM(BO26:BO27)</f>
        <v>-3.3319999999999999</v>
      </c>
      <c r="BP28" s="681">
        <f t="shared" si="32"/>
        <v>-6.16</v>
      </c>
      <c r="BQ28" s="681">
        <f t="shared" si="32"/>
        <v>0.19800000000000001</v>
      </c>
      <c r="BR28" s="681">
        <f t="shared" si="32"/>
        <v>-6.1280000000000001</v>
      </c>
      <c r="BS28" s="682">
        <f>SUM(BO28:BR28)</f>
        <v>-15.422000000000001</v>
      </c>
      <c r="BT28" s="681">
        <f t="shared" si="32"/>
        <v>-1.623</v>
      </c>
      <c r="BU28" s="681">
        <f t="shared" si="32"/>
        <v>-3.5169999999999999</v>
      </c>
      <c r="BV28" s="681">
        <f t="shared" si="32"/>
        <v>-7.6970000000000001</v>
      </c>
      <c r="BW28" s="681">
        <f t="shared" si="32"/>
        <v>-2.2599999999999998</v>
      </c>
      <c r="BX28" s="682">
        <f>SUM(BT28:BW28)</f>
        <v>-15.097</v>
      </c>
      <c r="BY28" s="681">
        <f>SUM(BY26:BY27)</f>
        <v>-4.2690000000000001</v>
      </c>
      <c r="BZ28" s="681">
        <f>SUM(BZ26:BZ27)</f>
        <v>-5.585</v>
      </c>
      <c r="CA28" s="681">
        <f>SUM(CA26:CA27)</f>
        <v>-1.411</v>
      </c>
      <c r="CB28" s="681">
        <f>SUM(CB26:CB27)</f>
        <v>-2.5350000000000001</v>
      </c>
      <c r="CC28" s="682">
        <f>SUM(BY28:CB28)</f>
        <v>-13.799999999999999</v>
      </c>
      <c r="CD28" s="681">
        <f>SUM(CD26:CD27)</f>
        <v>-5.2809999999999997</v>
      </c>
      <c r="CE28" s="681">
        <f>SUM(CE26:CE27)</f>
        <v>-6.2859999999999996</v>
      </c>
      <c r="CF28" s="681">
        <f>SUM(CF26:CF27)</f>
        <v>-0.496</v>
      </c>
      <c r="CG28" s="681">
        <f>SUM(CG26:CG27)</f>
        <v>-2.1919999999999993</v>
      </c>
      <c r="CH28" s="682">
        <f>SUM(CD28:CG28)</f>
        <v>-14.254999999999999</v>
      </c>
      <c r="CI28" s="681">
        <f>SUM(CI26:CI27)</f>
        <v>-1.8420000000000023</v>
      </c>
      <c r="CJ28" s="681">
        <f>SUM(CJ26:CJ27)</f>
        <v>-0.91900000000000048</v>
      </c>
      <c r="CK28" s="681">
        <f>SUM(CK26:CK27)</f>
        <v>-2.7649999999999988</v>
      </c>
      <c r="CL28" s="681">
        <f>SUM(CL26:CL27)</f>
        <v>-3.8060000000000009</v>
      </c>
      <c r="CM28" s="682">
        <f>SUM(CI28:CL28)</f>
        <v>-9.3320000000000025</v>
      </c>
      <c r="CN28" s="681">
        <f>SUM(CN26:CN27)</f>
        <v>-3</v>
      </c>
      <c r="CO28" s="681">
        <f>SUM(CO26:CO27)</f>
        <v>-3</v>
      </c>
      <c r="CP28" s="681">
        <f>SUM(CP26:CP27)</f>
        <v>-7</v>
      </c>
      <c r="CQ28" s="681">
        <f>SUM(CQ26:CQ27)</f>
        <v>-8</v>
      </c>
      <c r="CR28" s="682">
        <f>SUM(CN28:CQ28)</f>
        <v>-21</v>
      </c>
      <c r="CS28" s="681">
        <f>SUM(CS26:CS27)</f>
        <v>-3</v>
      </c>
      <c r="CT28" s="681">
        <f>SUM(CT26:CT27)</f>
        <v>-7</v>
      </c>
      <c r="CU28" s="681">
        <f>SUM(CU26:CU27)</f>
        <v>-4</v>
      </c>
      <c r="CV28" s="681">
        <f>SUM(CV26:CV27)</f>
        <v>-3</v>
      </c>
      <c r="CW28" s="682">
        <f>SUM(CS28:CV28)</f>
        <v>-17</v>
      </c>
      <c r="CX28" s="681">
        <f>SUM(CX26:CX27)</f>
        <v>-2</v>
      </c>
      <c r="CY28" s="681">
        <f>SUM(CY26:CY27)</f>
        <v>-1</v>
      </c>
      <c r="CZ28" s="681">
        <f>SUM(CZ26:CZ27)</f>
        <v>-2</v>
      </c>
      <c r="DA28" s="681">
        <f>SUM(DA26:DA27)</f>
        <v>-5</v>
      </c>
      <c r="DB28" s="682">
        <f>SUM(CX28:DA28)</f>
        <v>-10</v>
      </c>
      <c r="DC28" s="681">
        <f>SUM(DC26:DC27)</f>
        <v>-17</v>
      </c>
      <c r="DD28" s="681">
        <f>SUM(DD26:DD27)</f>
        <v>-16</v>
      </c>
      <c r="DE28" s="681">
        <f>SUM(DE26:DE27)</f>
        <v>-20</v>
      </c>
      <c r="DF28" s="681">
        <f>SUM(DF26:DF27)</f>
        <v>-27</v>
      </c>
      <c r="DG28" s="682">
        <f>SUM(DC28:DF28)</f>
        <v>-80</v>
      </c>
      <c r="DH28" s="681">
        <f>SUM(DH26:DH27)</f>
        <v>-31</v>
      </c>
      <c r="DI28" s="681">
        <f>SUM(DI26:DI27)</f>
        <v>-34</v>
      </c>
      <c r="DJ28" s="681">
        <f>SUM(DJ26:DJ27)</f>
        <v>-31</v>
      </c>
      <c r="DK28" s="681">
        <f>SUM(DK26:DK27)</f>
        <v>-26</v>
      </c>
      <c r="DL28" s="682">
        <f>SUM(DH28:DK28)</f>
        <v>-122</v>
      </c>
      <c r="DM28" s="681">
        <f>SUM(DM26:DM27)</f>
        <v>-9</v>
      </c>
      <c r="DN28" s="681">
        <f>SUM(DN26:DN27)</f>
        <v>39</v>
      </c>
      <c r="DO28" s="681">
        <f>SUM(DO26:DO27)</f>
        <v>45</v>
      </c>
      <c r="DP28" s="681">
        <f>SUM(DP26:DP27)</f>
        <v>45</v>
      </c>
      <c r="DQ28" s="682">
        <f>SUM(DM28:DP28)</f>
        <v>120</v>
      </c>
      <c r="DR28" s="681">
        <f>SUM(DR26:DR27)</f>
        <v>45</v>
      </c>
      <c r="DS28" s="681">
        <f>SUM(DS26:DS27)</f>
        <v>49</v>
      </c>
      <c r="DT28" s="681">
        <f>SUM(DT26:DT27)</f>
        <v>52</v>
      </c>
      <c r="DU28" s="681">
        <f>SUM(DU26:DU27)</f>
        <v>52</v>
      </c>
      <c r="DV28" s="682">
        <f>SUM(DR28:DU28)</f>
        <v>198</v>
      </c>
      <c r="DW28" s="681">
        <f>SUM(DW26:DW27)</f>
        <v>45</v>
      </c>
      <c r="DX28" s="681">
        <f>SUM(DX26:DX27)</f>
        <v>16</v>
      </c>
      <c r="DY28" s="681">
        <f>SUM(DY26:DY27)</f>
        <v>-24</v>
      </c>
      <c r="DZ28" s="681">
        <f>SUM(DZ26:DZ27)</f>
        <v>-43</v>
      </c>
      <c r="EA28" s="682">
        <f>SUM(DW28:DZ28)</f>
        <v>-6</v>
      </c>
      <c r="EB28" s="681">
        <f>SUM(EB26:EB27)</f>
        <v>-84</v>
      </c>
      <c r="EC28" s="681">
        <f>SUM(EC26:EC27)</f>
        <v>-120</v>
      </c>
      <c r="ED28" s="681">
        <f>SUM(ED26:ED27)</f>
        <v>-175</v>
      </c>
      <c r="EE28" s="681">
        <f>SUM(EE26:EE27)</f>
        <v>-232</v>
      </c>
      <c r="EF28" s="682">
        <f>SUM(EB28:EE28)</f>
        <v>-611</v>
      </c>
      <c r="EG28" s="681">
        <f>SUM(EG26:EG27)</f>
        <v>-302</v>
      </c>
      <c r="EH28" s="681">
        <f>SUM(EH26:EH27)</f>
        <v>-380</v>
      </c>
      <c r="EI28" s="681">
        <f>SUM(EI26:EI27)</f>
        <v>-411</v>
      </c>
      <c r="EJ28" s="681">
        <f>SUM(EJ26:EJ27)</f>
        <v>-457</v>
      </c>
      <c r="EK28" s="682">
        <f>SUM(EG28:EJ28)</f>
        <v>-1550</v>
      </c>
      <c r="EL28" s="681">
        <f>SUM(EL26:EL27)</f>
        <v>-448</v>
      </c>
      <c r="EM28" s="681">
        <f>SUM(EM26:EM27)</f>
        <v>-520</v>
      </c>
      <c r="EN28" s="681">
        <f>SUM(EN26:EN27)</f>
        <v>-573</v>
      </c>
      <c r="EO28" s="681">
        <f>SUM(EO26:EO27)</f>
        <v>-620</v>
      </c>
      <c r="EP28" s="682">
        <f>SUM(EL28:EO28)</f>
        <v>-2161</v>
      </c>
      <c r="EQ28" s="681">
        <f>SUM(EQ26:EQ27)</f>
        <v>-457</v>
      </c>
      <c r="ER28" s="681">
        <f>SUM(ER26:ER27)</f>
        <v>-472</v>
      </c>
      <c r="ES28" s="681">
        <f>SUM(ES26:ES27)</f>
        <v>-487</v>
      </c>
      <c r="ET28" s="681">
        <f>SUM(ET26:ET27)</f>
        <v>-502</v>
      </c>
      <c r="EU28" s="682">
        <f>SUM(EQ28:ET28)</f>
        <v>-1918</v>
      </c>
      <c r="EV28" s="681">
        <f>SUM(EV26:EV27)</f>
        <v>-527</v>
      </c>
      <c r="EW28" s="681">
        <f>SUM(EW26:EW27)</f>
        <v>-552</v>
      </c>
      <c r="EX28" s="681">
        <f>SUM(EX26:EX27)</f>
        <v>-577</v>
      </c>
      <c r="EY28" s="681">
        <f>SUM(EY26:EY27)</f>
        <v>-602</v>
      </c>
      <c r="EZ28" s="682">
        <f>SUM(EV28:EY28)</f>
        <v>-2258</v>
      </c>
      <c r="FA28" s="681">
        <f>SUM(FA26:FA27)</f>
        <v>-627</v>
      </c>
      <c r="FB28" s="681">
        <f>SUM(FB26:FB27)</f>
        <v>-652</v>
      </c>
      <c r="FC28" s="681">
        <f>SUM(FC26:FC27)</f>
        <v>-677</v>
      </c>
      <c r="FD28" s="681">
        <f>SUM(FD26:FD27)</f>
        <v>-702</v>
      </c>
      <c r="FE28" s="682">
        <f>SUM(FA28:FD28)</f>
        <v>-2658</v>
      </c>
      <c r="FF28" s="681">
        <f>SUM(FF26:FF27)</f>
        <v>-727</v>
      </c>
      <c r="FG28" s="681">
        <f>SUM(FG26:FG27)</f>
        <v>-752</v>
      </c>
      <c r="FH28" s="681">
        <f>SUM(FH26:FH27)</f>
        <v>-777</v>
      </c>
      <c r="FI28" s="681">
        <f>SUM(FI26:FI27)</f>
        <v>-802</v>
      </c>
      <c r="FJ28" s="682">
        <f>SUM(FF28:FI28)</f>
        <v>-3058</v>
      </c>
      <c r="FK28" s="681">
        <f>SUM(FK26:FK27)</f>
        <v>-827</v>
      </c>
      <c r="FL28" s="681">
        <f>SUM(FL26:FL27)</f>
        <v>-852</v>
      </c>
      <c r="FM28" s="681">
        <f>SUM(FM26:FM27)</f>
        <v>-877</v>
      </c>
      <c r="FN28" s="681">
        <f>SUM(FN26:FN27)</f>
        <v>-902</v>
      </c>
      <c r="FO28" s="682">
        <f>SUM(FK28:FN28)</f>
        <v>-3458</v>
      </c>
      <c r="FP28" s="682"/>
      <c r="FQ28" s="37"/>
    </row>
    <row r="29" spans="1:173">
      <c r="B29" s="681"/>
      <c r="C29" s="681"/>
      <c r="D29" s="681"/>
      <c r="E29" s="681"/>
      <c r="F29" s="682"/>
      <c r="G29" s="681"/>
      <c r="H29" s="681"/>
      <c r="I29" s="681"/>
      <c r="J29" s="681"/>
      <c r="K29" s="682"/>
      <c r="L29" s="681"/>
      <c r="M29" s="681"/>
      <c r="N29" s="681"/>
      <c r="O29" s="681"/>
      <c r="P29" s="682"/>
      <c r="Q29" s="681"/>
      <c r="R29" s="681"/>
      <c r="S29" s="681"/>
      <c r="T29" s="681"/>
      <c r="U29" s="682"/>
      <c r="V29" s="681"/>
      <c r="W29" s="681"/>
      <c r="X29" s="681"/>
      <c r="Y29" s="681"/>
      <c r="Z29" s="682"/>
      <c r="AA29" s="681"/>
      <c r="AB29" s="681"/>
      <c r="AC29" s="681"/>
      <c r="AD29" s="681"/>
      <c r="AE29" s="682"/>
      <c r="AF29" s="681"/>
      <c r="AG29" s="681"/>
      <c r="AH29" s="681"/>
      <c r="AI29" s="681"/>
      <c r="AJ29" s="682"/>
      <c r="AK29" s="681"/>
      <c r="AL29" s="681"/>
      <c r="AM29" s="681"/>
      <c r="AN29" s="681"/>
      <c r="AO29" s="682"/>
      <c r="AP29" s="681"/>
      <c r="AQ29" s="681"/>
      <c r="AR29" s="681"/>
      <c r="AS29" s="681"/>
      <c r="AT29" s="682"/>
      <c r="AU29" s="681"/>
      <c r="AV29" s="681"/>
      <c r="AW29" s="681"/>
      <c r="AX29" s="681"/>
      <c r="AY29" s="682"/>
      <c r="AZ29" s="681"/>
      <c r="BA29" s="681"/>
      <c r="BB29" s="681"/>
      <c r="BC29" s="681"/>
      <c r="BD29" s="682"/>
      <c r="BE29" s="681"/>
      <c r="BF29" s="681"/>
      <c r="BG29" s="681"/>
      <c r="BH29" s="681"/>
      <c r="BI29" s="682"/>
      <c r="BJ29" s="681"/>
      <c r="BK29" s="681"/>
      <c r="BL29" s="681"/>
      <c r="BM29" s="681"/>
      <c r="BN29" s="682"/>
      <c r="BO29" s="681"/>
      <c r="BP29" s="681"/>
      <c r="BQ29" s="681"/>
      <c r="BR29" s="681"/>
      <c r="BS29" s="682"/>
      <c r="BT29" s="681"/>
      <c r="BU29" s="681"/>
      <c r="BV29" s="681"/>
      <c r="BW29" s="681"/>
      <c r="BX29" s="682"/>
      <c r="BY29" s="681"/>
      <c r="BZ29" s="681"/>
      <c r="CA29" s="681"/>
      <c r="CB29" s="681"/>
      <c r="CC29" s="682"/>
      <c r="CD29" s="681"/>
      <c r="CE29" s="681"/>
      <c r="CF29" s="681"/>
      <c r="CG29" s="681"/>
      <c r="CH29" s="682"/>
      <c r="CI29" s="681"/>
      <c r="CJ29" s="681"/>
      <c r="CK29" s="681"/>
      <c r="CL29" s="681"/>
      <c r="CM29" s="682"/>
      <c r="CN29" s="681"/>
      <c r="CO29" s="681"/>
      <c r="CP29" s="681"/>
      <c r="CQ29" s="681"/>
      <c r="CR29" s="682"/>
      <c r="CS29" s="681"/>
      <c r="CT29" s="681"/>
      <c r="CU29" s="681"/>
      <c r="CV29" s="681"/>
      <c r="CW29" s="682"/>
      <c r="CX29" s="681"/>
      <c r="CY29" s="681"/>
      <c r="CZ29" s="681"/>
      <c r="DA29" s="681"/>
      <c r="DB29" s="682"/>
      <c r="DC29" s="681"/>
      <c r="DD29" s="681"/>
      <c r="DE29" s="681"/>
      <c r="DF29" s="681"/>
      <c r="DG29" s="682"/>
      <c r="DH29" s="681"/>
      <c r="DI29" s="681"/>
      <c r="DJ29" s="681"/>
      <c r="DK29" s="681"/>
      <c r="DL29" s="682"/>
      <c r="DM29" s="681"/>
      <c r="DN29" s="681"/>
      <c r="DO29" s="681"/>
      <c r="DP29" s="681"/>
      <c r="DQ29" s="682"/>
      <c r="DR29" s="681"/>
      <c r="DS29" s="681"/>
      <c r="DT29" s="681"/>
      <c r="DU29" s="681"/>
      <c r="DV29" s="682"/>
      <c r="DW29" s="681"/>
      <c r="DX29" s="681"/>
      <c r="DY29" s="681"/>
      <c r="DZ29" s="681"/>
      <c r="EA29" s="682"/>
      <c r="EB29" s="681"/>
      <c r="EC29" s="681"/>
      <c r="ED29" s="681"/>
      <c r="EE29" s="681"/>
      <c r="EF29" s="682"/>
      <c r="EG29" s="681"/>
      <c r="EH29" s="681"/>
      <c r="EI29" s="681"/>
      <c r="EJ29" s="681"/>
      <c r="EK29" s="682"/>
      <c r="EL29" s="681"/>
      <c r="EM29" s="681"/>
      <c r="EN29" s="681"/>
      <c r="EO29" s="681"/>
      <c r="EP29" s="682"/>
      <c r="EQ29" s="681"/>
      <c r="ER29" s="681"/>
      <c r="ES29" s="681"/>
      <c r="ET29" s="681"/>
      <c r="EU29" s="682"/>
      <c r="EV29" s="681"/>
      <c r="EW29" s="681"/>
      <c r="EX29" s="681"/>
      <c r="EY29" s="681"/>
      <c r="EZ29" s="682"/>
      <c r="FA29" s="681"/>
      <c r="FB29" s="681"/>
      <c r="FC29" s="681"/>
      <c r="FD29" s="681"/>
      <c r="FE29" s="682"/>
      <c r="FF29" s="681"/>
      <c r="FG29" s="681"/>
      <c r="FH29" s="681"/>
      <c r="FI29" s="681"/>
      <c r="FJ29" s="682"/>
      <c r="FK29" s="681"/>
      <c r="FL29" s="681"/>
      <c r="FM29" s="681"/>
      <c r="FN29" s="681"/>
      <c r="FO29" s="682"/>
      <c r="FP29" s="682"/>
      <c r="FQ29" s="37"/>
    </row>
    <row r="30" spans="1:173">
      <c r="A30" s="171" t="s">
        <v>400</v>
      </c>
      <c r="B30" s="681">
        <v>0</v>
      </c>
      <c r="C30" s="681">
        <v>0</v>
      </c>
      <c r="D30" s="681">
        <v>0</v>
      </c>
      <c r="E30" s="681">
        <v>0</v>
      </c>
      <c r="F30" s="682">
        <f>SUM(B30:E30)</f>
        <v>0</v>
      </c>
      <c r="G30" s="681">
        <v>0</v>
      </c>
      <c r="H30" s="681">
        <v>0</v>
      </c>
      <c r="I30" s="681">
        <v>0</v>
      </c>
      <c r="J30" s="681">
        <v>0</v>
      </c>
      <c r="K30" s="682">
        <f>SUM(G30:J30)</f>
        <v>0</v>
      </c>
      <c r="L30" s="681">
        <v>0</v>
      </c>
      <c r="M30" s="681">
        <v>8.9999999999999993E-3</v>
      </c>
      <c r="N30" s="681">
        <v>0.98299999999999998</v>
      </c>
      <c r="O30" s="681">
        <v>-0.94</v>
      </c>
      <c r="P30" s="682">
        <f>SUM(L30:O30)</f>
        <v>5.2000000000000046E-2</v>
      </c>
      <c r="Q30" s="681">
        <v>-0.39700000000000002</v>
      </c>
      <c r="R30" s="681">
        <v>-0.89800000000000002</v>
      </c>
      <c r="S30" s="681">
        <v>0.11799999999999999</v>
      </c>
      <c r="T30" s="681">
        <v>0.35899999999999999</v>
      </c>
      <c r="U30" s="682">
        <f>SUM(Q30:T30)</f>
        <v>-0.81800000000000006</v>
      </c>
      <c r="V30" s="681">
        <v>0</v>
      </c>
      <c r="W30" s="681">
        <v>0</v>
      </c>
      <c r="X30" s="681">
        <v>0</v>
      </c>
      <c r="Y30" s="681">
        <f>0.691</f>
        <v>0.69099999999999995</v>
      </c>
      <c r="Z30" s="682">
        <f>SUM(V30:Y30)</f>
        <v>0.69099999999999995</v>
      </c>
      <c r="AA30" s="681">
        <v>0</v>
      </c>
      <c r="AB30" s="681">
        <v>0</v>
      </c>
      <c r="AC30" s="681">
        <v>0</v>
      </c>
      <c r="AD30" s="681">
        <v>0</v>
      </c>
      <c r="AE30" s="682">
        <f>SUM(AA30:AD30)</f>
        <v>0</v>
      </c>
      <c r="AF30" s="681">
        <v>0</v>
      </c>
      <c r="AG30" s="681">
        <v>0</v>
      </c>
      <c r="AH30" s="681">
        <v>0</v>
      </c>
      <c r="AI30" s="681">
        <v>0</v>
      </c>
      <c r="AJ30" s="682">
        <f>SUM(AF30:AI30)</f>
        <v>0</v>
      </c>
      <c r="AK30" s="681">
        <v>0</v>
      </c>
      <c r="AL30" s="681">
        <v>0</v>
      </c>
      <c r="AM30" s="681">
        <v>0</v>
      </c>
      <c r="AN30" s="681">
        <v>0</v>
      </c>
      <c r="AO30" s="682">
        <f>SUM(AK30:AN30)</f>
        <v>0</v>
      </c>
      <c r="AP30" s="681">
        <v>0</v>
      </c>
      <c r="AQ30" s="681">
        <v>0</v>
      </c>
      <c r="AR30" s="681">
        <v>0</v>
      </c>
      <c r="AS30" s="681">
        <v>0</v>
      </c>
      <c r="AT30" s="682">
        <f>SUM(AP30:AS30)</f>
        <v>0</v>
      </c>
      <c r="AU30" s="681">
        <v>0</v>
      </c>
      <c r="AV30" s="681">
        <v>0</v>
      </c>
      <c r="AW30" s="681">
        <v>0</v>
      </c>
      <c r="AX30" s="681">
        <v>0</v>
      </c>
      <c r="AY30" s="682">
        <f>SUM(AU30:AX30)</f>
        <v>0</v>
      </c>
      <c r="AZ30" s="681">
        <v>0</v>
      </c>
      <c r="BA30" s="681">
        <v>0</v>
      </c>
      <c r="BB30" s="681">
        <v>0</v>
      </c>
      <c r="BC30" s="681">
        <v>0</v>
      </c>
      <c r="BD30" s="682">
        <f>SUM(AZ30:BC30)</f>
        <v>0</v>
      </c>
      <c r="BE30" s="681">
        <v>0</v>
      </c>
      <c r="BF30" s="681">
        <v>0</v>
      </c>
      <c r="BG30" s="681">
        <v>0</v>
      </c>
      <c r="BH30" s="681">
        <v>0</v>
      </c>
      <c r="BI30" s="682">
        <f>SUM(BE30:BH30)</f>
        <v>0</v>
      </c>
      <c r="BJ30" s="681">
        <v>0</v>
      </c>
      <c r="BK30" s="681">
        <v>0</v>
      </c>
      <c r="BL30" s="681">
        <v>0</v>
      </c>
      <c r="BM30" s="681">
        <v>0</v>
      </c>
      <c r="BN30" s="682">
        <f>SUM(BJ30:BM30)</f>
        <v>0</v>
      </c>
      <c r="BO30" s="681">
        <v>0</v>
      </c>
      <c r="BP30" s="681">
        <v>0</v>
      </c>
      <c r="BQ30" s="681">
        <v>0</v>
      </c>
      <c r="BR30" s="681">
        <v>0</v>
      </c>
      <c r="BS30" s="682">
        <f>SUM(BO30:BR30)</f>
        <v>0</v>
      </c>
      <c r="BT30" s="681">
        <v>0</v>
      </c>
      <c r="BU30" s="681">
        <v>0</v>
      </c>
      <c r="BV30" s="681">
        <v>0</v>
      </c>
      <c r="BW30" s="681">
        <v>0</v>
      </c>
      <c r="BX30" s="682">
        <f>SUM(BT30:BW30)</f>
        <v>0</v>
      </c>
      <c r="BY30" s="681">
        <v>0</v>
      </c>
      <c r="BZ30" s="681">
        <v>0</v>
      </c>
      <c r="CA30" s="681">
        <v>0</v>
      </c>
      <c r="CB30" s="681">
        <v>0</v>
      </c>
      <c r="CC30" s="682">
        <f>SUM(BY30:CB30)</f>
        <v>0</v>
      </c>
      <c r="CD30" s="681">
        <v>0</v>
      </c>
      <c r="CE30" s="681">
        <v>0</v>
      </c>
      <c r="CF30" s="681">
        <v>0</v>
      </c>
      <c r="CG30" s="681">
        <v>0</v>
      </c>
      <c r="CH30" s="682">
        <f>SUM(CD30:CG30)</f>
        <v>0</v>
      </c>
      <c r="CI30" s="681">
        <v>0</v>
      </c>
      <c r="CJ30" s="681">
        <v>0</v>
      </c>
      <c r="CK30" s="681">
        <v>0</v>
      </c>
      <c r="CL30" s="681">
        <v>0</v>
      </c>
      <c r="CM30" s="682">
        <f>SUM(CI30:CL30)</f>
        <v>0</v>
      </c>
      <c r="CN30" s="681">
        <v>0</v>
      </c>
      <c r="CO30" s="681">
        <v>0</v>
      </c>
      <c r="CP30" s="681">
        <v>0</v>
      </c>
      <c r="CQ30" s="681">
        <v>0</v>
      </c>
      <c r="CR30" s="682">
        <f>SUM(CN30:CQ30)</f>
        <v>0</v>
      </c>
      <c r="CS30" s="681">
        <v>0</v>
      </c>
      <c r="CT30" s="681">
        <v>0</v>
      </c>
      <c r="CU30" s="681">
        <f>16-15</f>
        <v>1</v>
      </c>
      <c r="CV30" s="681">
        <f>6-6-1</f>
        <v>-1</v>
      </c>
      <c r="CW30" s="682">
        <f>SUM(CS30:CV30)</f>
        <v>0</v>
      </c>
      <c r="CX30" s="681">
        <f>18-14</f>
        <v>4</v>
      </c>
      <c r="CY30" s="681">
        <f>4-3</f>
        <v>1</v>
      </c>
      <c r="CZ30" s="681">
        <f>1-1</f>
        <v>0</v>
      </c>
      <c r="DA30" s="681">
        <v>0</v>
      </c>
      <c r="DB30" s="682">
        <f>SUM(CX30:DA30)</f>
        <v>5</v>
      </c>
      <c r="DC30" s="681">
        <v>6</v>
      </c>
      <c r="DD30" s="681">
        <v>-5</v>
      </c>
      <c r="DE30" s="681">
        <f>-1</f>
        <v>-1</v>
      </c>
      <c r="DF30" s="681">
        <v>-2</v>
      </c>
      <c r="DG30" s="682">
        <f>SUM(DC30:DF30)</f>
        <v>-2</v>
      </c>
      <c r="DH30" s="681">
        <v>0</v>
      </c>
      <c r="DI30" s="681">
        <v>-1</v>
      </c>
      <c r="DJ30" s="681">
        <v>0</v>
      </c>
      <c r="DK30" s="681">
        <v>0</v>
      </c>
      <c r="DL30" s="682">
        <f>SUM(DH30:DK30)</f>
        <v>-1</v>
      </c>
      <c r="DM30" s="681">
        <v>0</v>
      </c>
      <c r="DN30" s="681">
        <v>0</v>
      </c>
      <c r="DO30" s="681">
        <v>0</v>
      </c>
      <c r="DP30" s="681">
        <v>0</v>
      </c>
      <c r="DQ30" s="682">
        <f>SUM(DM30:DP30)</f>
        <v>0</v>
      </c>
      <c r="DR30" s="683">
        <v>0</v>
      </c>
      <c r="DS30" s="681">
        <v>0</v>
      </c>
      <c r="DT30" s="681">
        <v>0</v>
      </c>
      <c r="DU30" s="681">
        <v>0</v>
      </c>
      <c r="DV30" s="682">
        <f>SUM(DR30:DU30)</f>
        <v>0</v>
      </c>
      <c r="DW30" s="683">
        <v>0</v>
      </c>
      <c r="DX30" s="681">
        <v>1</v>
      </c>
      <c r="DY30" s="681">
        <v>0</v>
      </c>
      <c r="DZ30" s="681">
        <v>0</v>
      </c>
      <c r="EA30" s="682">
        <f>SUM(DW30:DZ30)</f>
        <v>1</v>
      </c>
      <c r="EB30" s="681">
        <v>0</v>
      </c>
      <c r="EC30" s="681">
        <v>0</v>
      </c>
      <c r="ED30" s="681">
        <v>0</v>
      </c>
      <c r="EE30" s="681">
        <v>0</v>
      </c>
      <c r="EF30" s="682">
        <f>SUM(EB30:EE30)</f>
        <v>0</v>
      </c>
      <c r="EG30" s="681">
        <v>0</v>
      </c>
      <c r="EH30" s="681">
        <v>0</v>
      </c>
      <c r="EI30" s="681">
        <v>0</v>
      </c>
      <c r="EJ30" s="681">
        <v>0</v>
      </c>
      <c r="EK30" s="682">
        <f>SUM(EG30:EJ30)</f>
        <v>0</v>
      </c>
      <c r="EL30" s="681">
        <v>0</v>
      </c>
      <c r="EM30" s="681">
        <v>0</v>
      </c>
      <c r="EN30" s="681">
        <v>0</v>
      </c>
      <c r="EO30" s="681">
        <v>0</v>
      </c>
      <c r="EP30" s="682">
        <f>SUM(EL30:EO30)</f>
        <v>0</v>
      </c>
      <c r="EQ30" s="681">
        <v>0</v>
      </c>
      <c r="ER30" s="683">
        <v>0</v>
      </c>
      <c r="ES30" s="683">
        <v>0</v>
      </c>
      <c r="ET30" s="683">
        <v>0</v>
      </c>
      <c r="EU30" s="682">
        <f>SUM(EQ30:ET30)</f>
        <v>0</v>
      </c>
      <c r="EV30" s="683">
        <v>0</v>
      </c>
      <c r="EW30" s="683">
        <v>0</v>
      </c>
      <c r="EX30" s="683">
        <v>0</v>
      </c>
      <c r="EY30" s="683">
        <v>0</v>
      </c>
      <c r="EZ30" s="682">
        <f>SUM(EV30:EY30)</f>
        <v>0</v>
      </c>
      <c r="FA30" s="683">
        <v>0</v>
      </c>
      <c r="FB30" s="683">
        <v>0</v>
      </c>
      <c r="FC30" s="683">
        <v>0</v>
      </c>
      <c r="FD30" s="683">
        <v>0</v>
      </c>
      <c r="FE30" s="682">
        <f>SUM(FA30:FD30)</f>
        <v>0</v>
      </c>
      <c r="FF30" s="683">
        <v>0</v>
      </c>
      <c r="FG30" s="683">
        <v>0</v>
      </c>
      <c r="FH30" s="683">
        <v>0</v>
      </c>
      <c r="FI30" s="683">
        <v>0</v>
      </c>
      <c r="FJ30" s="682">
        <f>SUM(FF30:FI30)</f>
        <v>0</v>
      </c>
      <c r="FK30" s="683">
        <v>0</v>
      </c>
      <c r="FL30" s="683">
        <v>0</v>
      </c>
      <c r="FM30" s="683">
        <v>0</v>
      </c>
      <c r="FN30" s="683">
        <v>0</v>
      </c>
      <c r="FO30" s="682">
        <f>SUM(FK30:FN30)</f>
        <v>0</v>
      </c>
      <c r="FP30" s="682"/>
      <c r="FQ30" s="37"/>
    </row>
    <row r="31" spans="1:173">
      <c r="B31" s="177"/>
      <c r="C31" s="177"/>
      <c r="D31" s="177"/>
      <c r="E31" s="177"/>
      <c r="G31" s="177"/>
      <c r="H31" s="177"/>
      <c r="I31" s="177"/>
      <c r="J31" s="177"/>
      <c r="L31" s="177"/>
      <c r="M31" s="177"/>
      <c r="N31" s="177"/>
      <c r="O31" s="177"/>
      <c r="Q31" s="177"/>
      <c r="R31" s="177"/>
      <c r="S31" s="177"/>
      <c r="T31" s="177"/>
      <c r="V31" s="177"/>
      <c r="W31" s="177"/>
      <c r="X31" s="177"/>
      <c r="Y31" s="177"/>
      <c r="AA31" s="177"/>
      <c r="AB31" s="177"/>
      <c r="AC31" s="177"/>
      <c r="AD31" s="177"/>
      <c r="AE31" s="148"/>
      <c r="AF31" s="177"/>
      <c r="AG31" s="177"/>
      <c r="AH31" s="177"/>
      <c r="AI31" s="177"/>
      <c r="AJ31" s="148"/>
      <c r="AK31" s="177"/>
      <c r="AL31" s="177"/>
      <c r="AM31" s="177"/>
      <c r="AN31" s="177"/>
      <c r="AO31" s="148"/>
      <c r="AP31" s="177"/>
      <c r="AQ31" s="177"/>
      <c r="AR31" s="177"/>
      <c r="AS31" s="177"/>
      <c r="AT31" s="148"/>
      <c r="AU31" s="177"/>
      <c r="AV31" s="177"/>
      <c r="AW31" s="177"/>
      <c r="AX31" s="177"/>
      <c r="AY31" s="148"/>
      <c r="AZ31" s="177"/>
      <c r="BA31" s="177"/>
      <c r="BB31" s="177"/>
      <c r="BC31" s="177"/>
      <c r="BD31" s="148"/>
      <c r="BE31" s="177"/>
      <c r="BF31" s="177"/>
      <c r="BG31" s="177"/>
      <c r="BH31" s="177"/>
      <c r="BI31" s="148"/>
      <c r="BJ31" s="177"/>
      <c r="BK31" s="177"/>
      <c r="BL31" s="177"/>
      <c r="BM31" s="177"/>
      <c r="BN31" s="148"/>
      <c r="BO31" s="177"/>
      <c r="BP31" s="177"/>
      <c r="BQ31" s="177"/>
      <c r="BR31" s="177"/>
      <c r="BS31" s="148"/>
      <c r="BT31" s="177"/>
      <c r="BU31" s="177"/>
      <c r="BV31" s="177"/>
      <c r="BW31" s="177"/>
      <c r="BX31" s="148"/>
      <c r="BY31" s="177"/>
      <c r="BZ31" s="177"/>
      <c r="CA31" s="177"/>
      <c r="CB31" s="177"/>
      <c r="CC31" s="148"/>
      <c r="CD31" s="177"/>
      <c r="CE31" s="177"/>
      <c r="CF31" s="177"/>
      <c r="CG31" s="177"/>
      <c r="CH31" s="148"/>
      <c r="CI31" s="177"/>
      <c r="CJ31" s="177"/>
      <c r="CK31" s="177"/>
      <c r="CL31" s="177"/>
      <c r="CM31" s="148"/>
      <c r="CN31" s="177"/>
      <c r="CO31" s="177"/>
      <c r="CP31" s="177"/>
      <c r="CQ31" s="177"/>
      <c r="CR31" s="148"/>
      <c r="CS31" s="177"/>
      <c r="CT31" s="177"/>
      <c r="CU31" s="177"/>
      <c r="CV31" s="177"/>
      <c r="CW31" s="148"/>
      <c r="CX31" s="177"/>
      <c r="CY31" s="177"/>
      <c r="CZ31" s="177"/>
      <c r="DA31" s="177"/>
      <c r="DC31" s="177"/>
      <c r="DD31" s="177"/>
      <c r="DE31" s="177"/>
      <c r="DF31" s="177"/>
      <c r="DG31" s="148"/>
      <c r="DH31" s="177"/>
      <c r="DI31" s="177"/>
      <c r="DJ31" s="177"/>
      <c r="DK31" s="177"/>
      <c r="DL31" s="148"/>
      <c r="DM31" s="177"/>
      <c r="DN31" s="177"/>
      <c r="DO31" s="177"/>
      <c r="DP31" s="177"/>
      <c r="DQ31" s="148"/>
      <c r="DR31" s="177"/>
      <c r="DS31" s="177"/>
      <c r="DT31" s="177"/>
      <c r="DU31" s="177"/>
      <c r="DV31" s="148"/>
      <c r="DW31" s="177"/>
      <c r="DX31" s="177"/>
      <c r="DY31" s="177"/>
      <c r="DZ31" s="177"/>
      <c r="EA31" s="148"/>
      <c r="EB31" s="177"/>
      <c r="EC31" s="177"/>
      <c r="ED31" s="177"/>
      <c r="EE31" s="177"/>
      <c r="EF31" s="148"/>
      <c r="EG31" s="177"/>
      <c r="EH31" s="177"/>
      <c r="EI31" s="177"/>
      <c r="EJ31" s="177"/>
      <c r="EK31" s="148"/>
      <c r="EL31" s="177"/>
      <c r="EM31" s="177"/>
      <c r="EN31" s="177"/>
      <c r="EO31" s="177"/>
      <c r="EP31" s="148"/>
      <c r="EQ31" s="177"/>
      <c r="ER31" s="177"/>
      <c r="ES31" s="177"/>
      <c r="ET31" s="177"/>
      <c r="EU31" s="681"/>
      <c r="EV31" s="177"/>
      <c r="EW31" s="177"/>
      <c r="EX31" s="177"/>
      <c r="EY31" s="177"/>
      <c r="EZ31" s="148"/>
      <c r="FA31" s="177"/>
      <c r="FB31" s="177"/>
      <c r="FC31" s="177"/>
      <c r="FD31" s="177"/>
      <c r="FE31" s="148"/>
      <c r="FF31" s="177"/>
      <c r="FG31" s="177"/>
      <c r="FH31" s="177"/>
      <c r="FI31" s="177"/>
      <c r="FJ31" s="148"/>
      <c r="FK31" s="177"/>
      <c r="FL31" s="177"/>
      <c r="FM31" s="177"/>
      <c r="FN31" s="177"/>
      <c r="FO31" s="148"/>
      <c r="FP31" s="148"/>
    </row>
    <row r="32" spans="1:173">
      <c r="A32" s="171" t="s">
        <v>401</v>
      </c>
      <c r="B32" s="681">
        <f>B22-B28-B30</f>
        <v>-1.1760000000000002</v>
      </c>
      <c r="C32" s="681">
        <f>C22-C28-C30</f>
        <v>-1.2650000000000001</v>
      </c>
      <c r="D32" s="681">
        <f>D22-D28-D30</f>
        <v>-2.5719999999999996</v>
      </c>
      <c r="E32" s="681">
        <f>E22-E28-E30</f>
        <v>1.4240000000000017</v>
      </c>
      <c r="F32" s="682">
        <f>SUM(B32:E32)</f>
        <v>-3.5889999999999982</v>
      </c>
      <c r="G32" s="681">
        <f>G22-G28-G30</f>
        <v>-1.1099999999999979</v>
      </c>
      <c r="H32" s="681">
        <f>H22-H28-H30</f>
        <v>-10.491000000000001</v>
      </c>
      <c r="I32" s="681">
        <f>I22-I28-I30</f>
        <v>7.7609999999999921</v>
      </c>
      <c r="J32" s="681">
        <f>J22-J28-J30</f>
        <v>8.3270000000000071</v>
      </c>
      <c r="K32" s="682">
        <f>SUM(G32:J32)</f>
        <v>4.4870000000000001</v>
      </c>
      <c r="L32" s="681">
        <f>L22-L28-L30</f>
        <v>9.3450000000000042</v>
      </c>
      <c r="M32" s="681">
        <f>M22-M28-M30</f>
        <v>10.222999999999997</v>
      </c>
      <c r="N32" s="681">
        <f>N22-N28-N30</f>
        <v>18.001999999999999</v>
      </c>
      <c r="O32" s="681">
        <f>O22-O28-O30</f>
        <v>21.457000000000011</v>
      </c>
      <c r="P32" s="682">
        <f>SUM(L32:O32)</f>
        <v>59.027000000000015</v>
      </c>
      <c r="Q32" s="681">
        <f>Q22-Q28-Q30</f>
        <v>23.3</v>
      </c>
      <c r="R32" s="681">
        <f>R22-R28-R30</f>
        <v>34.236000000000018</v>
      </c>
      <c r="S32" s="681">
        <f>S22-S28-S30</f>
        <v>41.528999999999996</v>
      </c>
      <c r="T32" s="681">
        <f>T22-T28-T30</f>
        <v>46.43899999999995</v>
      </c>
      <c r="U32" s="682">
        <f>SUM(Q32:T32)</f>
        <v>145.50399999999996</v>
      </c>
      <c r="V32" s="681">
        <f>V22-V28-V30</f>
        <v>48.019999999999996</v>
      </c>
      <c r="W32" s="681">
        <f>W22-W28-W30</f>
        <v>50.730000000000011</v>
      </c>
      <c r="X32" s="681">
        <f>X22-X28-X30</f>
        <v>65.945000000000007</v>
      </c>
      <c r="Y32" s="681">
        <f>Y22-Y28-Y30</f>
        <v>114.45499999999997</v>
      </c>
      <c r="Z32" s="682">
        <f>SUM(V32:Y32)</f>
        <v>279.14999999999998</v>
      </c>
      <c r="AA32" s="681">
        <f>AA22-AA28-AA30</f>
        <v>118.92199999999994</v>
      </c>
      <c r="AB32" s="681">
        <f>AB22-AB28-AB30</f>
        <v>28.505000000000035</v>
      </c>
      <c r="AC32" s="681">
        <f>AC22-AC28-AC30</f>
        <v>13.195999999999978</v>
      </c>
      <c r="AD32" s="681">
        <f>AD22-AD28-AD30</f>
        <v>32.400999999999975</v>
      </c>
      <c r="AE32" s="682">
        <f>SUM(AA32:AD32)</f>
        <v>193.02399999999992</v>
      </c>
      <c r="AF32" s="681">
        <f>AF22-AF28-AF30</f>
        <v>28.210000000000015</v>
      </c>
      <c r="AG32" s="681">
        <f>AG22-AG28-AG30</f>
        <v>26.660999999999976</v>
      </c>
      <c r="AH32" s="681">
        <f>AH22-AH28-AH30</f>
        <v>22.121000000000016</v>
      </c>
      <c r="AI32" s="681">
        <f>AI22-AI28-AI30</f>
        <v>26.249000000000045</v>
      </c>
      <c r="AJ32" s="682">
        <f>SUM(AF32:AI32)</f>
        <v>103.24100000000007</v>
      </c>
      <c r="AK32" s="681">
        <f>AK22-AK28-AK30</f>
        <v>26.686999999999923</v>
      </c>
      <c r="AL32" s="681">
        <f>AL22-AL28-AL30</f>
        <v>6.3989999999999636</v>
      </c>
      <c r="AM32" s="681">
        <f>AM22-AM28-AM30</f>
        <v>32.349000000000025</v>
      </c>
      <c r="AN32" s="681">
        <f>AN22-AN28-AN30</f>
        <v>60.010000000000005</v>
      </c>
      <c r="AO32" s="682">
        <f>SUM(AK32:AN32)</f>
        <v>125.44499999999992</v>
      </c>
      <c r="AP32" s="681">
        <f>AP22-AP28-AP30</f>
        <v>80.555000000000064</v>
      </c>
      <c r="AQ32" s="681">
        <f>AQ22-AQ28-AQ30</f>
        <v>85.256</v>
      </c>
      <c r="AR32" s="681">
        <f>AR22-AR28-AR30</f>
        <v>91.839999999999947</v>
      </c>
      <c r="AS32" s="681">
        <f>AS22-AS28-AS30</f>
        <v>116.72800000000004</v>
      </c>
      <c r="AT32" s="682">
        <f>SUM(AP32:AS32)</f>
        <v>374.37900000000002</v>
      </c>
      <c r="AU32" s="681">
        <f>AU22-AU28-AU30</f>
        <v>110.07200000000002</v>
      </c>
      <c r="AV32" s="681">
        <f>AV22-AV28-AV30</f>
        <v>104.52200000000003</v>
      </c>
      <c r="AW32" s="681">
        <f>AW22-AW28-AW30</f>
        <v>145.82700000000003</v>
      </c>
      <c r="AX32" s="681">
        <f>AX22-AX28-AX30</f>
        <v>164.959</v>
      </c>
      <c r="AY32" s="682">
        <f>SUM(AU32:AX32)</f>
        <v>525.38000000000011</v>
      </c>
      <c r="AZ32" s="681">
        <f>AZ22-AZ28-AZ30</f>
        <v>153.78900000000002</v>
      </c>
      <c r="BA32" s="681">
        <f>BA22-BA28-BA30</f>
        <v>200.851</v>
      </c>
      <c r="BB32" s="681">
        <f>BB22-BB28-BB30</f>
        <v>266.79899999999998</v>
      </c>
      <c r="BC32" s="681">
        <f>BC22-BC28-BC30</f>
        <v>283.90199999999993</v>
      </c>
      <c r="BD32" s="682">
        <f>SUM(AZ32:BC32)</f>
        <v>905.34099999999989</v>
      </c>
      <c r="BE32" s="681">
        <f>BE22-BE28-BE30</f>
        <v>213.01799999999994</v>
      </c>
      <c r="BF32" s="681">
        <f>BF22-BF28-BF30</f>
        <v>49.353999999999985</v>
      </c>
      <c r="BG32" s="681">
        <f>BG22-BG28-BG30</f>
        <v>24.540999999999947</v>
      </c>
      <c r="BH32" s="681">
        <f>BH22-BH28-BH30</f>
        <v>-151.845</v>
      </c>
      <c r="BI32" s="682">
        <f>SUM(BE32:BH32)</f>
        <v>135.0679999999999</v>
      </c>
      <c r="BJ32" s="681">
        <f>BJ22-BJ28-BJ30</f>
        <v>-84.57999999999997</v>
      </c>
      <c r="BK32" s="681">
        <f>BK22-BK28-BK30</f>
        <v>11.952999999999975</v>
      </c>
      <c r="BL32" s="681">
        <f>BL22-BL28-BL30</f>
        <v>86.091999999999985</v>
      </c>
      <c r="BM32" s="681">
        <f>BM22-BM28-BM30</f>
        <v>139.42100000000002</v>
      </c>
      <c r="BN32" s="682">
        <f>SUM(BJ32:BM32)</f>
        <v>152.88600000000002</v>
      </c>
      <c r="BO32" s="681">
        <f>BO22-BO28-BO30</f>
        <v>150.72499999999994</v>
      </c>
      <c r="BP32" s="681">
        <f>BP22-BP28-BP30</f>
        <v>24.850999999999917</v>
      </c>
      <c r="BQ32" s="681">
        <f>BQ22-BQ28-BQ30</f>
        <v>103.58500000000002</v>
      </c>
      <c r="BR32" s="681">
        <f>BR22-BR28-BR30</f>
        <v>128.90600000000001</v>
      </c>
      <c r="BS32" s="682">
        <f>SUM(BO32:BR32)</f>
        <v>408.06699999999989</v>
      </c>
      <c r="BT32" s="681">
        <f>BT22-BT28-BT30</f>
        <v>156.48500000000001</v>
      </c>
      <c r="BU32" s="681">
        <f>BU22-BU28-BU30</f>
        <v>185.10899999999998</v>
      </c>
      <c r="BV32" s="681">
        <f>BV22-BV28-BV30</f>
        <v>211.2</v>
      </c>
      <c r="BW32" s="681">
        <f>BW22-BW28-BW30</f>
        <v>136.92899999999992</v>
      </c>
      <c r="BX32" s="682">
        <f>SUM(BT32:BW32)</f>
        <v>689.72299999999996</v>
      </c>
      <c r="BY32" s="681">
        <f>BY22-BY28-BY30</f>
        <v>86.608000000000061</v>
      </c>
      <c r="BZ32" s="681">
        <f>BZ22-BZ28-BZ30</f>
        <v>174.19399999999993</v>
      </c>
      <c r="CA32" s="681">
        <f>CA22-CA28-CA30</f>
        <v>262.69599999999991</v>
      </c>
      <c r="CB32" s="681">
        <f>CB22-CB28-CB30</f>
        <v>194.80600000000007</v>
      </c>
      <c r="CC32" s="682">
        <f>SUM(BY32:CB32)</f>
        <v>718.30399999999997</v>
      </c>
      <c r="CD32" s="681">
        <f>CD22-CD28-CD30</f>
        <v>96.923000000000002</v>
      </c>
      <c r="CE32" s="681">
        <f>CE22-CE28-CE30</f>
        <v>123.07400000000007</v>
      </c>
      <c r="CF32" s="681">
        <f>CF22-CF28-CF30</f>
        <v>148.29600000000013</v>
      </c>
      <c r="CG32" s="681">
        <f>CG22-CG28-CG30</f>
        <v>173.87900000000008</v>
      </c>
      <c r="CH32" s="682">
        <f>SUM(CD32:CG32)</f>
        <v>542.17200000000025</v>
      </c>
      <c r="CI32" s="681">
        <f>CI22-CI28-CI30</f>
        <v>162.64200000000014</v>
      </c>
      <c r="CJ32" s="681">
        <f>CJ22-CJ28-CJ30</f>
        <v>173.27100000000004</v>
      </c>
      <c r="CK32" s="681">
        <f>CK22-CK28-CK30</f>
        <v>225.6520000000001</v>
      </c>
      <c r="CL32" s="681">
        <f>CL22-CL28-CL30</f>
        <v>244.11099999999996</v>
      </c>
      <c r="CM32" s="682">
        <f>SUM(CI32:CL32)</f>
        <v>805.67600000000027</v>
      </c>
      <c r="CN32" s="681">
        <f>CN22-CN28-CN30</f>
        <v>188</v>
      </c>
      <c r="CO32" s="681">
        <f>CO22-CO28-CO30</f>
        <v>187</v>
      </c>
      <c r="CP32" s="681">
        <f>CP22-CP28-CP30</f>
        <v>264</v>
      </c>
      <c r="CQ32" s="681">
        <f>CQ22-CQ28-CQ30</f>
        <v>303</v>
      </c>
      <c r="CR32" s="682">
        <f>SUM(CN32:CQ32)</f>
        <v>942</v>
      </c>
      <c r="CS32" s="681">
        <f>CS22-CS28-CS30</f>
        <v>272</v>
      </c>
      <c r="CT32" s="681">
        <f>CT22-CT28-CT30</f>
        <v>331</v>
      </c>
      <c r="CU32" s="681">
        <f>CU22-CU28-CU30</f>
        <v>646</v>
      </c>
      <c r="CV32" s="681">
        <f>CV22-CV28-CV30</f>
        <v>741</v>
      </c>
      <c r="CW32" s="682">
        <f>SUM(CS32:CV32)</f>
        <v>1990</v>
      </c>
      <c r="CX32" s="681">
        <f>CX22-CX28-CX30</f>
        <v>558</v>
      </c>
      <c r="CY32" s="681">
        <f>CY22-CY28-CY30</f>
        <v>692</v>
      </c>
      <c r="CZ32" s="681">
        <f>CZ22-CZ28-CZ30</f>
        <v>900</v>
      </c>
      <c r="DA32" s="681">
        <f>DA22-DA28-DA30</f>
        <v>1081</v>
      </c>
      <c r="DB32" s="682">
        <f>SUM(CX32:DA32)</f>
        <v>3231</v>
      </c>
      <c r="DC32" s="681">
        <f>DC22-DC28-DC30</f>
        <v>1310</v>
      </c>
      <c r="DD32" s="681">
        <f>DD22-DD28-DD30</f>
        <v>1180</v>
      </c>
      <c r="DE32" s="681">
        <f>DE22-DE28-DE30</f>
        <v>1091</v>
      </c>
      <c r="DF32" s="681">
        <f>DF22-DF28-DF30</f>
        <v>352</v>
      </c>
      <c r="DG32" s="682">
        <f>SUM(DC32:DF32)</f>
        <v>3933</v>
      </c>
      <c r="DH32" s="681">
        <f>DH22-DH28-DH30</f>
        <v>410</v>
      </c>
      <c r="DI32" s="681">
        <f>DI22-DI28-DI30</f>
        <v>613</v>
      </c>
      <c r="DJ32" s="681">
        <f>DJ22-DJ28-DJ30</f>
        <v>965</v>
      </c>
      <c r="DK32" s="681">
        <f>DK22-DK28-DK30</f>
        <v>1026</v>
      </c>
      <c r="DL32" s="682">
        <f>SUM(DH32:DK32)</f>
        <v>3014</v>
      </c>
      <c r="DM32" s="681">
        <f>DM22-DM28-DM30</f>
        <v>990</v>
      </c>
      <c r="DN32" s="681">
        <f>DN22-DN28-DN30</f>
        <v>1103</v>
      </c>
      <c r="DO32" s="681">
        <f>DO22-DO28-DO30</f>
        <v>1565</v>
      </c>
      <c r="DP32" s="681">
        <f>DP22-DP28-DP30</f>
        <v>1627</v>
      </c>
      <c r="DQ32" s="682">
        <f>SUM(DM32:DP32)</f>
        <v>5285</v>
      </c>
      <c r="DR32" s="681">
        <f>DR22-DR28-DR30</f>
        <v>2083</v>
      </c>
      <c r="DS32" s="681">
        <f>DS22-DS28-DS30</f>
        <v>2557</v>
      </c>
      <c r="DT32" s="681">
        <f>DT22-DT28-DT30</f>
        <v>2775</v>
      </c>
      <c r="DU32" s="681">
        <f>DU22-DU28-DU30</f>
        <v>3074</v>
      </c>
      <c r="DV32" s="682">
        <f>SUM(DR32:DU32)</f>
        <v>10489</v>
      </c>
      <c r="DW32" s="681">
        <f>DW22-DW28-DW30</f>
        <v>3332</v>
      </c>
      <c r="DX32" s="681">
        <f>DX22-DX28-DX30</f>
        <v>659</v>
      </c>
      <c r="DY32" s="681">
        <f>DY22-DY28-DY30</f>
        <v>815</v>
      </c>
      <c r="DZ32" s="681">
        <f>DZ22-DZ28-DZ30</f>
        <v>1528</v>
      </c>
      <c r="EA32" s="682">
        <f>SUM(DW32:DZ32)</f>
        <v>6334</v>
      </c>
      <c r="EB32" s="681">
        <f>EB22-EB28-EB30</f>
        <v>2401</v>
      </c>
      <c r="EC32" s="681">
        <f>EC22-EC28-EC30</f>
        <v>7054</v>
      </c>
      <c r="ED32" s="681">
        <f>ED22-ED28-ED30</f>
        <v>10753</v>
      </c>
      <c r="EE32" s="681">
        <f>EE22-EE28-EE30</f>
        <v>13988</v>
      </c>
      <c r="EF32" s="682">
        <f>SUM(EB32:EE32)</f>
        <v>34196</v>
      </c>
      <c r="EG32" s="681">
        <f>EG22-EG28-EG30</f>
        <v>17350</v>
      </c>
      <c r="EH32" s="681">
        <f>EH22-EH28-EH30</f>
        <v>19163</v>
      </c>
      <c r="EI32" s="681">
        <f>EI22-EI28-EI30</f>
        <v>22435</v>
      </c>
      <c r="EJ32" s="681">
        <f>EJ22-EJ28-EJ30</f>
        <v>24652</v>
      </c>
      <c r="EK32" s="682">
        <f>SUM(EG32:EJ32)</f>
        <v>83600</v>
      </c>
      <c r="EL32" s="681">
        <f>EL22-EL28-EL30</f>
        <v>22249</v>
      </c>
      <c r="EM32" s="681">
        <f>EM22-EM28-EM30</f>
        <v>29061</v>
      </c>
      <c r="EN32" s="681">
        <f>EN22-EN28-EN30</f>
        <v>36670</v>
      </c>
      <c r="EO32" s="681">
        <f>EO22-EO28-EO30</f>
        <v>45094</v>
      </c>
      <c r="EP32" s="682">
        <f>SUM(EL32:EO32)</f>
        <v>133074</v>
      </c>
      <c r="EQ32" s="681">
        <f>EQ22-EQ28-EQ30</f>
        <v>54240</v>
      </c>
      <c r="ER32" s="681">
        <f>ER22-ER28-ER30</f>
        <v>61914.009024745872</v>
      </c>
      <c r="ES32" s="681">
        <f>ES22-ES28-ES30</f>
        <v>74672.821310481551</v>
      </c>
      <c r="ET32" s="681">
        <f>ET22-ET28-ET30</f>
        <v>85593.533457705271</v>
      </c>
      <c r="EU32" s="682">
        <f>SUM(EQ32:ET32)</f>
        <v>276420.36379293271</v>
      </c>
      <c r="EV32" s="681">
        <f>EV22-EV28-EV30</f>
        <v>93706.657469663071</v>
      </c>
      <c r="EW32" s="681">
        <f>EW22-EW28-EW30</f>
        <v>103026.65311660673</v>
      </c>
      <c r="EX32" s="681">
        <f>EX22-EX28-EX30</f>
        <v>115732.73992156693</v>
      </c>
      <c r="EY32" s="681">
        <f>EY22-EY28-EY30</f>
        <v>123600.0283617797</v>
      </c>
      <c r="EZ32" s="682">
        <f>SUM(EV32:EY32)</f>
        <v>436066.07886961644</v>
      </c>
      <c r="FA32" s="681">
        <f>FA22-FA28-FA30</f>
        <v>126769.59733663373</v>
      </c>
      <c r="FB32" s="681">
        <f>FB22-FB28-FB30</f>
        <v>130599.12058882328</v>
      </c>
      <c r="FC32" s="681">
        <f>FC22-FC28-FC30</f>
        <v>140272.36122585408</v>
      </c>
      <c r="FD32" s="681">
        <f>FD22-FD28-FD30</f>
        <v>147570.48453056763</v>
      </c>
      <c r="FE32" s="682">
        <f>SUM(FA32:FD32)</f>
        <v>545211.56368187873</v>
      </c>
      <c r="FF32" s="681">
        <f>FF22-FF28-FF30</f>
        <v>148560.56245581582</v>
      </c>
      <c r="FG32" s="681">
        <f>FG22-FG28-FG30</f>
        <v>150120.14104433078</v>
      </c>
      <c r="FH32" s="681">
        <f>FH22-FH28-FH30</f>
        <v>155114.74260096141</v>
      </c>
      <c r="FI32" s="681">
        <f>FI22-FI28-FI30</f>
        <v>158418.14275023126</v>
      </c>
      <c r="FJ32" s="682">
        <f>SUM(FF32:FI32)</f>
        <v>612213.5888513393</v>
      </c>
      <c r="FK32" s="681">
        <f>FK22-FK28-FK30</f>
        <v>161140.56558846342</v>
      </c>
      <c r="FL32" s="681">
        <f>FL22-FL28-FL30</f>
        <v>166109.42916202266</v>
      </c>
      <c r="FM32" s="681">
        <f>FM22-FM28-FM30</f>
        <v>176585.14546526101</v>
      </c>
      <c r="FN32" s="681">
        <f>FN22-FN28-FN30</f>
        <v>183894.66436725185</v>
      </c>
      <c r="FO32" s="682">
        <f>SUM(FK32:FN32)</f>
        <v>687729.80458299897</v>
      </c>
      <c r="FP32" s="682"/>
      <c r="FQ32" s="692"/>
    </row>
    <row r="33" spans="1:173">
      <c r="B33" s="149"/>
      <c r="C33" s="149"/>
      <c r="D33" s="149"/>
      <c r="E33" s="149"/>
      <c r="G33" s="149"/>
      <c r="H33" s="149"/>
      <c r="I33" s="149"/>
      <c r="J33" s="149"/>
      <c r="L33" s="149"/>
      <c r="M33" s="149"/>
      <c r="N33" s="149"/>
      <c r="O33" s="149"/>
      <c r="Q33" s="149"/>
      <c r="R33" s="149"/>
      <c r="S33" s="149"/>
      <c r="T33" s="149"/>
      <c r="V33" s="149"/>
      <c r="W33" s="149"/>
      <c r="X33" s="149"/>
      <c r="Y33" s="149"/>
      <c r="AA33" s="149"/>
      <c r="AB33" s="149"/>
      <c r="AC33" s="149"/>
      <c r="AD33" s="149"/>
      <c r="AE33" s="148"/>
      <c r="AF33" s="149"/>
      <c r="AJ33" s="148"/>
      <c r="AO33" s="148"/>
      <c r="AT33" s="148"/>
      <c r="AY33" s="148"/>
      <c r="BD33" s="148"/>
      <c r="BI33" s="148"/>
      <c r="BN33" s="148"/>
      <c r="BS33" s="148"/>
      <c r="BX33" s="148"/>
      <c r="CC33" s="148"/>
      <c r="CH33" s="148"/>
      <c r="CM33" s="148"/>
      <c r="CR33" s="148"/>
      <c r="CW33" s="148"/>
      <c r="DG33" s="148"/>
      <c r="DL33" s="148"/>
      <c r="DQ33" s="148"/>
      <c r="DV33" s="148"/>
      <c r="EA33" s="148"/>
      <c r="EF33" s="148"/>
      <c r="EK33" s="148"/>
      <c r="EP33" s="148"/>
      <c r="EU33" s="148"/>
      <c r="EZ33" s="148"/>
      <c r="FE33" s="148"/>
      <c r="FJ33" s="148"/>
      <c r="FO33" s="148"/>
      <c r="FP33" s="148"/>
    </row>
    <row r="34" spans="1:173">
      <c r="A34" s="171" t="s">
        <v>402</v>
      </c>
      <c r="B34" s="681">
        <v>0</v>
      </c>
      <c r="C34" s="681">
        <v>0</v>
      </c>
      <c r="D34" s="681">
        <v>0</v>
      </c>
      <c r="E34" s="681">
        <v>0</v>
      </c>
      <c r="F34" s="682">
        <f>SUM(B34:E34)</f>
        <v>0</v>
      </c>
      <c r="G34" s="681">
        <v>-8.8999999999999996E-2</v>
      </c>
      <c r="H34" s="681">
        <v>-0.83899999999999997</v>
      </c>
      <c r="I34" s="681">
        <v>0.62</v>
      </c>
      <c r="J34" s="681">
        <v>0.66500000000000004</v>
      </c>
      <c r="K34" s="682">
        <f>SUM(G34:J34)</f>
        <v>0.3570000000000001</v>
      </c>
      <c r="L34" s="681">
        <v>3.0840000000000001</v>
      </c>
      <c r="M34" s="681">
        <f>3.146</f>
        <v>3.1459999999999999</v>
      </c>
      <c r="N34" s="681">
        <f>4.973</f>
        <v>4.9729999999999999</v>
      </c>
      <c r="O34" s="681">
        <f>6.865</f>
        <v>6.8650000000000002</v>
      </c>
      <c r="P34" s="682">
        <f>SUM(L34:O34)</f>
        <v>18.067999999999998</v>
      </c>
      <c r="Q34" s="681">
        <v>8.6050000000000004</v>
      </c>
      <c r="R34" s="681">
        <v>10.599</v>
      </c>
      <c r="S34" s="681">
        <v>13.209</v>
      </c>
      <c r="T34" s="681">
        <v>14.622</v>
      </c>
      <c r="U34" s="682">
        <f>SUM(Q34:T34)</f>
        <v>47.034999999999997</v>
      </c>
      <c r="V34" s="681">
        <f>11.422+0.3*9.573</f>
        <v>14.293900000000001</v>
      </c>
      <c r="W34" s="681">
        <f>14.111</f>
        <v>14.111000000000001</v>
      </c>
      <c r="X34" s="681">
        <f>17.706</f>
        <v>17.706</v>
      </c>
      <c r="Y34" s="681">
        <v>37.634399999999999</v>
      </c>
      <c r="Z34" s="682">
        <f>SUM(V34:Y34)</f>
        <v>83.7453</v>
      </c>
      <c r="AA34" s="681">
        <v>35.677</v>
      </c>
      <c r="AB34" s="681">
        <f>2.251+0.3*21</f>
        <v>8.5510000000000002</v>
      </c>
      <c r="AC34" s="681">
        <f>0.3*AC32</f>
        <v>3.9587999999999934</v>
      </c>
      <c r="AD34" s="681">
        <f>21.83-0.3*40.365</f>
        <v>9.7204999999999977</v>
      </c>
      <c r="AE34" s="682">
        <f>SUM(AA34:AD34)</f>
        <v>57.907299999999992</v>
      </c>
      <c r="AF34" s="681">
        <v>8.4629999999999992</v>
      </c>
      <c r="AG34" s="681">
        <v>2.5110000000000001</v>
      </c>
      <c r="AH34" s="681">
        <f>-0.803+0.4*13.068</f>
        <v>4.4241999999999999</v>
      </c>
      <c r="AI34" s="681">
        <v>2.0830000000000002</v>
      </c>
      <c r="AJ34" s="682">
        <f>SUM(AF34:AI34)</f>
        <v>17.481200000000001</v>
      </c>
      <c r="AK34" s="681">
        <v>5.3380000000000001</v>
      </c>
      <c r="AL34" s="681">
        <v>1.28</v>
      </c>
      <c r="AM34" s="681">
        <v>6.47</v>
      </c>
      <c r="AN34" s="681">
        <v>12.000999999999999</v>
      </c>
      <c r="AO34" s="682">
        <f>SUM(AK34:AN34)</f>
        <v>25.088999999999999</v>
      </c>
      <c r="AP34" s="681">
        <v>16.111000000000001</v>
      </c>
      <c r="AQ34" s="681">
        <v>10.419</v>
      </c>
      <c r="AR34" s="681">
        <f>12.429+14.158*0.16</f>
        <v>14.694280000000001</v>
      </c>
      <c r="AS34" s="681">
        <v>18.675999999999998</v>
      </c>
      <c r="AT34" s="682">
        <f>SUM(AP34:AS34)</f>
        <v>59.900279999999995</v>
      </c>
      <c r="AU34" s="681">
        <v>18.712</v>
      </c>
      <c r="AV34" s="681">
        <v>17.768999999999998</v>
      </c>
      <c r="AW34" s="681">
        <f>21.816+(6.594-(AW41-AW42))</f>
        <v>24.601800000000001</v>
      </c>
      <c r="AX34" s="681">
        <f>AX35*AX32</f>
        <v>14.846309999999999</v>
      </c>
      <c r="AY34" s="682">
        <f>SUM(AU34:AX34)</f>
        <v>75.929109999999994</v>
      </c>
      <c r="AZ34" s="681">
        <v>21.53</v>
      </c>
      <c r="BA34" s="681">
        <v>28.119</v>
      </c>
      <c r="BB34" s="681">
        <v>31.138000000000002</v>
      </c>
      <c r="BC34" s="681">
        <v>22.908999999999999</v>
      </c>
      <c r="BD34" s="682">
        <f>SUM(AZ34:BC34)</f>
        <v>103.696</v>
      </c>
      <c r="BE34" s="681">
        <v>36.213000000000001</v>
      </c>
      <c r="BF34" s="681">
        <f>-25.671+0.17*195.954</f>
        <v>7.6411800000000056</v>
      </c>
      <c r="BG34" s="681">
        <f>-0.745</f>
        <v>-0.745</v>
      </c>
      <c r="BH34" s="681">
        <v>-22.71</v>
      </c>
      <c r="BI34" s="682">
        <f>SUM(BE34:BH34)</f>
        <v>20.399180000000008</v>
      </c>
      <c r="BJ34" s="681">
        <f>-23.483+16.142</f>
        <v>-7.3410000000000011</v>
      </c>
      <c r="BK34" s="681">
        <f>-1.799+1.398</f>
        <v>-0.40100000000000002</v>
      </c>
      <c r="BL34" s="681">
        <f>2.63-4.876+1.008</f>
        <v>-1.2380000000000004</v>
      </c>
      <c r="BM34" s="681">
        <v>8.3450000000000006</v>
      </c>
      <c r="BN34" s="682">
        <f>SUM(BJ34:BM34)</f>
        <v>-0.63499999999999979</v>
      </c>
      <c r="BO34" s="681">
        <v>13.131</v>
      </c>
      <c r="BP34" s="681">
        <f>-28.086+32.828</f>
        <v>4.7420000000000044</v>
      </c>
      <c r="BQ34" s="681">
        <v>18.722999999999999</v>
      </c>
      <c r="BR34" s="681">
        <v>14.255000000000001</v>
      </c>
      <c r="BS34" s="682">
        <f>SUM(BO34:BR34)</f>
        <v>50.851000000000006</v>
      </c>
      <c r="BT34" s="681">
        <v>21.265999999999998</v>
      </c>
      <c r="BU34" s="681">
        <v>25.974</v>
      </c>
      <c r="BV34" s="681">
        <v>26.513999999999999</v>
      </c>
      <c r="BW34" s="681">
        <v>8.5519999999999996</v>
      </c>
      <c r="BX34" s="682">
        <f>SUM(BT34:BW34)</f>
        <v>82.305999999999983</v>
      </c>
      <c r="BY34" s="681">
        <f>16.658-7.989+(BY41-BY42)</f>
        <v>14.004350000000002</v>
      </c>
      <c r="BZ34" s="681">
        <f>26.162+9.839-5.806</f>
        <v>30.194999999999997</v>
      </c>
      <c r="CA34" s="681">
        <f>44.548+0.556</f>
        <v>45.103999999999999</v>
      </c>
      <c r="CB34" s="681">
        <v>12.135</v>
      </c>
      <c r="CC34" s="682">
        <f>SUM(BY34:CB34)</f>
        <v>101.43835</v>
      </c>
      <c r="CD34" s="681">
        <f>10.171+6.348-3.507</f>
        <v>13.011999999999999</v>
      </c>
      <c r="CE34" s="681">
        <f>15.372+6.767-5.183</f>
        <v>16.956</v>
      </c>
      <c r="CF34" s="681">
        <f>22.75+6.055</f>
        <v>28.805</v>
      </c>
      <c r="CG34" s="681">
        <f>21.971+1.924</f>
        <v>23.895</v>
      </c>
      <c r="CH34" s="682">
        <f>SUM(CD34:CG34)</f>
        <v>82.667999999999992</v>
      </c>
      <c r="CI34" s="681">
        <f>26.766+5.342-5</f>
        <v>27.107999999999997</v>
      </c>
      <c r="CJ34" s="681">
        <f>26.649+11.606-5</f>
        <v>33.255000000000003</v>
      </c>
      <c r="CK34" s="681">
        <f>36.103+10.549-7</f>
        <v>39.652000000000001</v>
      </c>
      <c r="CL34" s="681">
        <f>34.731+3.783</f>
        <v>38.514000000000003</v>
      </c>
      <c r="CM34" s="682">
        <f>SUM(CI34:CL34)</f>
        <v>138.529</v>
      </c>
      <c r="CN34" s="681">
        <f>38+1</f>
        <v>39</v>
      </c>
      <c r="CO34" s="681">
        <f>46-2-9</f>
        <v>35</v>
      </c>
      <c r="CP34" s="681">
        <f>-1+57</f>
        <v>56</v>
      </c>
      <c r="CQ34" s="681">
        <f>46+21</f>
        <v>67</v>
      </c>
      <c r="CR34" s="682">
        <f>SUM(CN34:CQ34)</f>
        <v>197</v>
      </c>
      <c r="CS34" s="681">
        <f>45+14</f>
        <v>59</v>
      </c>
      <c r="CT34" s="681">
        <f>64+12</f>
        <v>76</v>
      </c>
      <c r="CU34" s="681">
        <f>79+62</f>
        <v>141</v>
      </c>
      <c r="CV34" s="681">
        <f>71+36</f>
        <v>107</v>
      </c>
      <c r="CW34" s="682">
        <f>SUM(CS34:CV34)</f>
        <v>383</v>
      </c>
      <c r="CX34" s="681">
        <f>29+73</f>
        <v>102</v>
      </c>
      <c r="CY34" s="681">
        <f>101+34</f>
        <v>135</v>
      </c>
      <c r="CZ34" s="681">
        <f>58+116</f>
        <v>174</v>
      </c>
      <c r="DA34" s="681">
        <f>-40+33+133</f>
        <v>126</v>
      </c>
      <c r="DB34" s="682">
        <f>SUM(CX34:DA34)</f>
        <v>537</v>
      </c>
      <c r="DC34" s="681">
        <f>67+87</f>
        <v>154</v>
      </c>
      <c r="DD34" s="681">
        <f>79+22</f>
        <v>101</v>
      </c>
      <c r="DE34" s="681">
        <f>-149+91+138</f>
        <v>80</v>
      </c>
      <c r="DF34" s="681">
        <f>-243+230+25</f>
        <v>12</v>
      </c>
      <c r="DG34" s="682">
        <f>SUM(DC34:DF34)</f>
        <v>347</v>
      </c>
      <c r="DH34" s="681">
        <f>-5+50</f>
        <v>45</v>
      </c>
      <c r="DI34" s="681">
        <f>54+21</f>
        <v>75</v>
      </c>
      <c r="DJ34" s="681">
        <f>60+26</f>
        <v>86</v>
      </c>
      <c r="DK34" s="681">
        <f>66+8</f>
        <v>74</v>
      </c>
      <c r="DL34" s="682">
        <f>SUM(DH34:DK34)</f>
        <v>280</v>
      </c>
      <c r="DM34" s="681">
        <f>64+30</f>
        <v>94</v>
      </c>
      <c r="DN34" s="681">
        <f>-13+124</f>
        <v>111</v>
      </c>
      <c r="DO34" s="681">
        <f>12+102</f>
        <v>114</v>
      </c>
      <c r="DP34" s="681">
        <f>13+74</f>
        <v>87</v>
      </c>
      <c r="DQ34" s="682">
        <f>SUM(DM34:DP34)</f>
        <v>406</v>
      </c>
      <c r="DR34" s="681">
        <f>132+67</f>
        <v>199</v>
      </c>
      <c r="DS34" s="681">
        <f>20+127+252</f>
        <v>399</v>
      </c>
      <c r="DT34" s="681">
        <f>174+187</f>
        <v>361</v>
      </c>
      <c r="DU34" s="681">
        <f>-138+330-7+90</f>
        <v>275</v>
      </c>
      <c r="DV34" s="682">
        <f>SUM(DR34:DU34)</f>
        <v>1234</v>
      </c>
      <c r="DW34" s="681">
        <f>187+280</f>
        <v>467</v>
      </c>
      <c r="DX34" s="681">
        <f>-181+197</f>
        <v>16</v>
      </c>
      <c r="DY34" s="681">
        <f>-67+171</f>
        <v>104</v>
      </c>
      <c r="DZ34" s="681">
        <f>-125+218</f>
        <v>93</v>
      </c>
      <c r="EA34" s="682">
        <f>SUM(DW34:DZ34)</f>
        <v>680</v>
      </c>
      <c r="EB34" s="681">
        <f>166+257</f>
        <v>423</v>
      </c>
      <c r="EC34" s="681">
        <f>793+363</f>
        <v>1156</v>
      </c>
      <c r="ED34" s="681">
        <f>1279+433</f>
        <v>1712</v>
      </c>
      <c r="EE34" s="681">
        <f>1821+321</f>
        <v>2142</v>
      </c>
      <c r="EF34" s="682">
        <f>SUM(EB34:EE34)</f>
        <v>5433</v>
      </c>
      <c r="EG34" s="681">
        <f>2398+725</f>
        <v>3123</v>
      </c>
      <c r="EH34" s="681">
        <f>2615+750</f>
        <v>3365</v>
      </c>
      <c r="EI34" s="681">
        <f>3007+670</f>
        <v>3677</v>
      </c>
      <c r="EJ34" s="681">
        <f>3126+781</f>
        <v>3907</v>
      </c>
      <c r="EK34" s="682">
        <f>SUM(EG34:EJ34)</f>
        <v>14072</v>
      </c>
      <c r="EL34" s="681">
        <f>3135+694</f>
        <v>3829</v>
      </c>
      <c r="EM34" s="681">
        <f>4784+166-48</f>
        <v>4902</v>
      </c>
      <c r="EN34" s="681">
        <f>6026+532</f>
        <v>6558</v>
      </c>
      <c r="EO34" s="681">
        <f>7437-262</f>
        <v>7175</v>
      </c>
      <c r="EP34" s="682">
        <f>SUM(EL34:EO34)</f>
        <v>22464</v>
      </c>
      <c r="EQ34" s="681">
        <f>11582-2890</f>
        <v>8692</v>
      </c>
      <c r="ER34" s="681">
        <f>(ER32)*ER35</f>
        <v>10525.381534206799</v>
      </c>
      <c r="ES34" s="681">
        <f>(ES32)*ES35</f>
        <v>12694.379622781864</v>
      </c>
      <c r="ET34" s="681">
        <f>(ET32)*ET35</f>
        <v>14550.900687809897</v>
      </c>
      <c r="EU34" s="682">
        <f>SUM(EQ34:ET34)</f>
        <v>46462.66184479856</v>
      </c>
      <c r="EV34" s="681">
        <f>(EV32)*EV35</f>
        <v>15930.131769842723</v>
      </c>
      <c r="EW34" s="681">
        <f>(EW32)*EW35</f>
        <v>17514.531029823145</v>
      </c>
      <c r="EX34" s="681">
        <f>(EX32)*EX35</f>
        <v>19674.565786666379</v>
      </c>
      <c r="EY34" s="681">
        <f>(EY32)*EY35</f>
        <v>21012.004821502549</v>
      </c>
      <c r="EZ34" s="682">
        <f>SUM(EV34:EY34)</f>
        <v>74131.233407834792</v>
      </c>
      <c r="FA34" s="681">
        <f>(FA32)*FA35</f>
        <v>21550.831547227735</v>
      </c>
      <c r="FB34" s="681">
        <f>(FB32)*FB35</f>
        <v>22201.850500099958</v>
      </c>
      <c r="FC34" s="681">
        <f>(FC32)*FC35</f>
        <v>23846.301408395197</v>
      </c>
      <c r="FD34" s="681">
        <f>(FD32)*FD35</f>
        <v>25086.9823701965</v>
      </c>
      <c r="FE34" s="682">
        <f>SUM(FA34:FD34)</f>
        <v>92685.965825919382</v>
      </c>
      <c r="FF34" s="681">
        <f>(FF32)*FF35</f>
        <v>25255.295617488689</v>
      </c>
      <c r="FG34" s="681">
        <f>(FG32)*FG35</f>
        <v>25520.423977536237</v>
      </c>
      <c r="FH34" s="681">
        <f>(FH32)*FH35</f>
        <v>26369.506242163443</v>
      </c>
      <c r="FI34" s="681">
        <f>(FI32)*FI35</f>
        <v>26931.084267539314</v>
      </c>
      <c r="FJ34" s="682">
        <f>SUM(FF34:FI34)</f>
        <v>104076.31010472769</v>
      </c>
      <c r="FK34" s="681">
        <f>(FK32)*FK35</f>
        <v>27393.896150038781</v>
      </c>
      <c r="FL34" s="681">
        <f>(FL32)*FL35</f>
        <v>28238.602957543855</v>
      </c>
      <c r="FM34" s="681">
        <f>(FM32)*FM35</f>
        <v>30019.474729094374</v>
      </c>
      <c r="FN34" s="681">
        <f>(FN32)*FN35</f>
        <v>31262.092942432817</v>
      </c>
      <c r="FO34" s="682">
        <f>SUM(FK34:FN34)</f>
        <v>116914.06677910984</v>
      </c>
      <c r="FP34" s="682"/>
      <c r="FQ34" s="692"/>
    </row>
    <row r="35" spans="1:173">
      <c r="A35" s="171" t="s">
        <v>403</v>
      </c>
      <c r="B35" s="179">
        <f t="shared" ref="B35:BM35" si="33">B34/B32</f>
        <v>0</v>
      </c>
      <c r="C35" s="179">
        <f t="shared" si="33"/>
        <v>0</v>
      </c>
      <c r="D35" s="179">
        <f t="shared" si="33"/>
        <v>0</v>
      </c>
      <c r="E35" s="179">
        <f t="shared" si="33"/>
        <v>0</v>
      </c>
      <c r="F35" s="680">
        <f>F34/F32</f>
        <v>0</v>
      </c>
      <c r="G35" s="179">
        <f t="shared" si="33"/>
        <v>8.0180180180180333E-2</v>
      </c>
      <c r="H35" s="179">
        <f t="shared" si="33"/>
        <v>7.997331045658182E-2</v>
      </c>
      <c r="I35" s="179">
        <f t="shared" si="33"/>
        <v>7.9886612549929209E-2</v>
      </c>
      <c r="J35" s="179">
        <f t="shared" si="33"/>
        <v>7.9860694127536866E-2</v>
      </c>
      <c r="K35" s="680">
        <f>K34/K32</f>
        <v>7.9563182527301116E-2</v>
      </c>
      <c r="L35" s="179">
        <f t="shared" si="33"/>
        <v>0.33001605136436585</v>
      </c>
      <c r="M35" s="179">
        <f t="shared" si="33"/>
        <v>0.30773745475887709</v>
      </c>
      <c r="N35" s="179">
        <f t="shared" si="33"/>
        <v>0.27624708365737144</v>
      </c>
      <c r="O35" s="179">
        <f t="shared" si="33"/>
        <v>0.319942210001398</v>
      </c>
      <c r="P35" s="680">
        <f>P34/P32</f>
        <v>0.30609720975146953</v>
      </c>
      <c r="Q35" s="179">
        <f t="shared" si="33"/>
        <v>0.36931330472103002</v>
      </c>
      <c r="R35" s="179">
        <f t="shared" si="33"/>
        <v>0.3095864002804064</v>
      </c>
      <c r="S35" s="179">
        <f t="shared" si="33"/>
        <v>0.31806689301452001</v>
      </c>
      <c r="T35" s="179">
        <f t="shared" si="33"/>
        <v>0.31486466116841483</v>
      </c>
      <c r="U35" s="680">
        <f>U34/U32</f>
        <v>0.32325571805586106</v>
      </c>
      <c r="V35" s="179">
        <f t="shared" si="33"/>
        <v>0.29766555601832573</v>
      </c>
      <c r="W35" s="179">
        <f t="shared" si="33"/>
        <v>0.2781588803469347</v>
      </c>
      <c r="X35" s="179">
        <f t="shared" si="33"/>
        <v>0.26849647433467277</v>
      </c>
      <c r="Y35" s="179">
        <f t="shared" si="33"/>
        <v>0.32881394434493916</v>
      </c>
      <c r="Z35" s="680">
        <f>Z34/Z32</f>
        <v>0.30000107469102638</v>
      </c>
      <c r="AA35" s="179">
        <f t="shared" si="33"/>
        <v>0.30000336354921731</v>
      </c>
      <c r="AB35" s="179">
        <f t="shared" si="33"/>
        <v>0.29998245921768074</v>
      </c>
      <c r="AC35" s="179">
        <f t="shared" si="33"/>
        <v>0.3</v>
      </c>
      <c r="AD35" s="179">
        <f t="shared" si="33"/>
        <v>0.30000617264899249</v>
      </c>
      <c r="AE35" s="680">
        <f>AE34/AE32</f>
        <v>0.30000051807029188</v>
      </c>
      <c r="AF35" s="179">
        <f t="shared" si="33"/>
        <v>0.29999999999999982</v>
      </c>
      <c r="AG35" s="179">
        <f t="shared" si="33"/>
        <v>9.4182513784179231E-2</v>
      </c>
      <c r="AH35" s="179">
        <f t="shared" si="33"/>
        <v>0.19999999999999984</v>
      </c>
      <c r="AI35" s="179">
        <f t="shared" si="33"/>
        <v>7.9355404015390929E-2</v>
      </c>
      <c r="AJ35" s="680">
        <f>AJ34/AJ32</f>
        <v>0.16932420259393061</v>
      </c>
      <c r="AK35" s="179">
        <f t="shared" si="33"/>
        <v>0.20002248285682225</v>
      </c>
      <c r="AL35" s="179">
        <f t="shared" si="33"/>
        <v>0.2000312548835767</v>
      </c>
      <c r="AM35" s="179">
        <f t="shared" si="33"/>
        <v>0.20000618257133126</v>
      </c>
      <c r="AN35" s="179">
        <f t="shared" si="33"/>
        <v>0.1999833361106482</v>
      </c>
      <c r="AO35" s="680">
        <f>AO34/AO32</f>
        <v>0.20000000000000012</v>
      </c>
      <c r="AP35" s="179">
        <f t="shared" si="33"/>
        <v>0.19999999999999984</v>
      </c>
      <c r="AQ35" s="179">
        <f t="shared" si="33"/>
        <v>0.12220840761940509</v>
      </c>
      <c r="AR35" s="179">
        <f t="shared" si="33"/>
        <v>0.15999869337979106</v>
      </c>
      <c r="AS35" s="179">
        <f t="shared" si="33"/>
        <v>0.15999588787608793</v>
      </c>
      <c r="AT35" s="680">
        <f>AT34/AT32</f>
        <v>0.15999903840760296</v>
      </c>
      <c r="AU35" s="179">
        <f t="shared" si="33"/>
        <v>0.16999781960898319</v>
      </c>
      <c r="AV35" s="179">
        <f t="shared" si="33"/>
        <v>0.17000248751459016</v>
      </c>
      <c r="AW35" s="179">
        <f t="shared" si="33"/>
        <v>0.16870538377666686</v>
      </c>
      <c r="AX35" s="179">
        <v>0.09</v>
      </c>
      <c r="AY35" s="680">
        <f>AY34/AY32</f>
        <v>0.14452226959534048</v>
      </c>
      <c r="AZ35" s="179">
        <f t="shared" si="33"/>
        <v>0.13999700888880218</v>
      </c>
      <c r="BA35" s="179">
        <f t="shared" si="33"/>
        <v>0.13999930296588017</v>
      </c>
      <c r="BB35" s="179">
        <f t="shared" si="33"/>
        <v>0.11670958286950103</v>
      </c>
      <c r="BC35" s="179">
        <f t="shared" si="33"/>
        <v>8.069333784193139E-2</v>
      </c>
      <c r="BD35" s="680">
        <f>BD34/BD32</f>
        <v>0.11453805803559101</v>
      </c>
      <c r="BE35" s="179">
        <f t="shared" si="33"/>
        <v>0.16999971833366198</v>
      </c>
      <c r="BF35" s="179">
        <f t="shared" si="33"/>
        <v>0.15482392511245305</v>
      </c>
      <c r="BG35" s="179">
        <f t="shared" si="33"/>
        <v>-3.035736115072742E-2</v>
      </c>
      <c r="BH35" s="179">
        <f t="shared" si="33"/>
        <v>0.14956040699397413</v>
      </c>
      <c r="BI35" s="680">
        <f>BI34/BI32</f>
        <v>0.15102896318891243</v>
      </c>
      <c r="BJ35" s="179">
        <f t="shared" si="33"/>
        <v>8.6793568219437262E-2</v>
      </c>
      <c r="BK35" s="179">
        <f t="shared" si="33"/>
        <v>-3.3548063247720313E-2</v>
      </c>
      <c r="BL35" s="179">
        <f t="shared" si="33"/>
        <v>-1.4379965618175913E-2</v>
      </c>
      <c r="BM35" s="179">
        <f t="shared" si="33"/>
        <v>5.9854684731855311E-2</v>
      </c>
      <c r="BN35" s="680">
        <f>BN34/BN32</f>
        <v>-4.1534215036039901E-3</v>
      </c>
      <c r="BO35" s="179">
        <f t="shared" ref="BO35:DV35" si="34">BO34/BO32</f>
        <v>8.7118925194891395E-2</v>
      </c>
      <c r="BP35" s="179">
        <f t="shared" si="34"/>
        <v>0.19081727093477205</v>
      </c>
      <c r="BQ35" s="179">
        <f t="shared" si="34"/>
        <v>0.1807501086064584</v>
      </c>
      <c r="BR35" s="179">
        <f t="shared" si="34"/>
        <v>0.11058445689106791</v>
      </c>
      <c r="BS35" s="680">
        <f>BS34/BS32</f>
        <v>0.12461434029215795</v>
      </c>
      <c r="BT35" s="179">
        <f t="shared" si="34"/>
        <v>0.13589800939387159</v>
      </c>
      <c r="BU35" s="179">
        <f t="shared" si="34"/>
        <v>0.14031732654814191</v>
      </c>
      <c r="BV35" s="179">
        <f t="shared" si="34"/>
        <v>0.12553977272727274</v>
      </c>
      <c r="BW35" s="179">
        <f t="shared" si="34"/>
        <v>6.2455725229863687E-2</v>
      </c>
      <c r="BX35" s="680">
        <f>BX34/BX32</f>
        <v>0.11933196370136995</v>
      </c>
      <c r="BY35" s="179">
        <f t="shared" si="34"/>
        <v>0.16169811102900417</v>
      </c>
      <c r="BZ35" s="179">
        <f t="shared" si="34"/>
        <v>0.17334121726351084</v>
      </c>
      <c r="CA35" s="179">
        <f t="shared" si="34"/>
        <v>0.17169656180528067</v>
      </c>
      <c r="CB35" s="179">
        <f t="shared" si="34"/>
        <v>6.2292742523330884E-2</v>
      </c>
      <c r="CC35" s="680">
        <f>CC34/CC32</f>
        <v>0.141219247004054</v>
      </c>
      <c r="CD35" s="179">
        <f t="shared" si="34"/>
        <v>0.13425090019912714</v>
      </c>
      <c r="CE35" s="179">
        <f t="shared" si="34"/>
        <v>0.13777077205583624</v>
      </c>
      <c r="CF35" s="179">
        <f t="shared" si="34"/>
        <v>0.19423989858121576</v>
      </c>
      <c r="CG35" s="179">
        <f t="shared" si="34"/>
        <v>0.1374231505817263</v>
      </c>
      <c r="CH35" s="680">
        <f t="shared" si="34"/>
        <v>0.1524755981496646</v>
      </c>
      <c r="CI35" s="179">
        <f t="shared" si="34"/>
        <v>0.16667281514000057</v>
      </c>
      <c r="CJ35" s="179">
        <f t="shared" si="34"/>
        <v>0.19192478833734436</v>
      </c>
      <c r="CK35" s="179">
        <f t="shared" si="34"/>
        <v>0.17572190807083465</v>
      </c>
      <c r="CL35" s="179">
        <f t="shared" si="34"/>
        <v>0.15777248874487429</v>
      </c>
      <c r="CM35" s="680">
        <f t="shared" si="34"/>
        <v>0.17194132628997258</v>
      </c>
      <c r="CN35" s="179">
        <f t="shared" si="34"/>
        <v>0.20744680851063829</v>
      </c>
      <c r="CO35" s="179">
        <f t="shared" si="34"/>
        <v>0.18716577540106952</v>
      </c>
      <c r="CP35" s="179">
        <f t="shared" si="34"/>
        <v>0.21212121212121213</v>
      </c>
      <c r="CQ35" s="179">
        <f t="shared" si="34"/>
        <v>0.22112211221122113</v>
      </c>
      <c r="CR35" s="680">
        <f t="shared" si="34"/>
        <v>0.20912951167728239</v>
      </c>
      <c r="CS35" s="179">
        <f t="shared" si="34"/>
        <v>0.21691176470588236</v>
      </c>
      <c r="CT35" s="179">
        <f t="shared" si="34"/>
        <v>0.22960725075528701</v>
      </c>
      <c r="CU35" s="179">
        <f t="shared" si="34"/>
        <v>0.21826625386996903</v>
      </c>
      <c r="CV35" s="179">
        <f t="shared" si="34"/>
        <v>0.14439946018893388</v>
      </c>
      <c r="CW35" s="680">
        <f>CW34/CW32</f>
        <v>0.19246231155778895</v>
      </c>
      <c r="CX35" s="179">
        <f t="shared" si="34"/>
        <v>0.18279569892473119</v>
      </c>
      <c r="CY35" s="179">
        <f t="shared" si="34"/>
        <v>0.19508670520231214</v>
      </c>
      <c r="CZ35" s="179">
        <f t="shared" si="34"/>
        <v>0.19333333333333333</v>
      </c>
      <c r="DA35" s="179">
        <f t="shared" si="34"/>
        <v>0.11655874190564293</v>
      </c>
      <c r="DB35" s="680">
        <f t="shared" si="34"/>
        <v>0.16620241411327763</v>
      </c>
      <c r="DC35" s="179">
        <f t="shared" si="34"/>
        <v>0.11755725190839694</v>
      </c>
      <c r="DD35" s="179">
        <f t="shared" si="34"/>
        <v>8.5593220338983048E-2</v>
      </c>
      <c r="DE35" s="179">
        <f t="shared" si="34"/>
        <v>7.3327222731439046E-2</v>
      </c>
      <c r="DF35" s="179">
        <f t="shared" si="34"/>
        <v>3.4090909090909088E-2</v>
      </c>
      <c r="DG35" s="680">
        <f>DG34/DG32</f>
        <v>8.82278159166031E-2</v>
      </c>
      <c r="DH35" s="179">
        <f t="shared" si="34"/>
        <v>0.10975609756097561</v>
      </c>
      <c r="DI35" s="179">
        <f t="shared" si="34"/>
        <v>0.12234910277324633</v>
      </c>
      <c r="DJ35" s="179">
        <f t="shared" si="34"/>
        <v>8.9119170984455959E-2</v>
      </c>
      <c r="DK35" s="179">
        <f t="shared" si="34"/>
        <v>7.2124756335282647E-2</v>
      </c>
      <c r="DL35" s="680">
        <f>DL34/DL32</f>
        <v>9.2899800928998008E-2</v>
      </c>
      <c r="DM35" s="179">
        <f t="shared" si="34"/>
        <v>9.494949494949495E-2</v>
      </c>
      <c r="DN35" s="179">
        <f t="shared" si="34"/>
        <v>0.10063463281958296</v>
      </c>
      <c r="DO35" s="179">
        <f t="shared" si="34"/>
        <v>7.2843450479233227E-2</v>
      </c>
      <c r="DP35" s="179">
        <f t="shared" si="34"/>
        <v>5.3472649047326369E-2</v>
      </c>
      <c r="DQ35" s="680">
        <f t="shared" si="34"/>
        <v>7.6821192052980131E-2</v>
      </c>
      <c r="DR35" s="684">
        <f t="shared" si="34"/>
        <v>9.5535285645703308E-2</v>
      </c>
      <c r="DS35" s="684">
        <f t="shared" si="34"/>
        <v>0.15604223699648026</v>
      </c>
      <c r="DT35" s="684">
        <f t="shared" si="34"/>
        <v>0.13009009009009009</v>
      </c>
      <c r="DU35" s="684">
        <f t="shared" si="34"/>
        <v>8.9459986987638254E-2</v>
      </c>
      <c r="DV35" s="680">
        <f t="shared" si="34"/>
        <v>0.11764705882352941</v>
      </c>
      <c r="DW35" s="684">
        <f t="shared" ref="DW35:EN35" si="35">DW34/(DW32+DW42)</f>
        <v>0.11943734015345268</v>
      </c>
      <c r="DX35" s="684">
        <f t="shared" si="35"/>
        <v>1.2232415902140673E-2</v>
      </c>
      <c r="DY35" s="684">
        <f t="shared" si="35"/>
        <v>6.6666666666666666E-2</v>
      </c>
      <c r="DZ35" s="684">
        <f t="shared" si="35"/>
        <v>4.102337891486546E-2</v>
      </c>
      <c r="EA35" s="680">
        <f t="shared" si="35"/>
        <v>7.5179657269209513E-2</v>
      </c>
      <c r="EB35" s="684">
        <f t="shared" si="35"/>
        <v>0.13488520408163265</v>
      </c>
      <c r="EC35" s="684">
        <f t="shared" si="35"/>
        <v>0.146403242147923</v>
      </c>
      <c r="ED35" s="684">
        <f t="shared" si="35"/>
        <v>0.1459256733719741</v>
      </c>
      <c r="EE35" s="684">
        <f t="shared" si="35"/>
        <v>0.14298110940524664</v>
      </c>
      <c r="EF35" s="680">
        <f t="shared" si="35"/>
        <v>0.14393959464829778</v>
      </c>
      <c r="EG35" s="684">
        <f t="shared" si="35"/>
        <v>0.17008877512118076</v>
      </c>
      <c r="EH35" s="684">
        <f t="shared" si="35"/>
        <v>0.16562484618792145</v>
      </c>
      <c r="EI35" s="684">
        <f t="shared" si="35"/>
        <v>0.15523282813357539</v>
      </c>
      <c r="EJ35" s="684">
        <f t="shared" si="35"/>
        <v>0.15042544180495129</v>
      </c>
      <c r="EK35" s="680">
        <f t="shared" si="35"/>
        <v>0.15929724467386627</v>
      </c>
      <c r="EL35" s="684">
        <f t="shared" si="35"/>
        <v>0.16140454411330776</v>
      </c>
      <c r="EM35" s="684">
        <f t="shared" si="35"/>
        <v>0.15975232198142414</v>
      </c>
      <c r="EN35" s="684">
        <f t="shared" si="35"/>
        <v>0.17111545988258317</v>
      </c>
      <c r="EO35" s="684">
        <f>EO34/(EO32+EO42)</f>
        <v>0.15355147987245063</v>
      </c>
      <c r="EP35" s="680">
        <f>EP34/(EP32+EP42)</f>
        <v>0.16107844543238203</v>
      </c>
      <c r="EQ35" s="684">
        <f>EQ34/(EQ32+EQ42)</f>
        <v>0.15475003560746334</v>
      </c>
      <c r="ER35" s="180">
        <v>0.17</v>
      </c>
      <c r="ES35" s="180">
        <f>ER35</f>
        <v>0.17</v>
      </c>
      <c r="ET35" s="180">
        <f>ES35</f>
        <v>0.17</v>
      </c>
      <c r="EU35" s="680">
        <f>EU34/(EU32)</f>
        <v>0.16808697162269809</v>
      </c>
      <c r="EV35" s="180">
        <v>0.17</v>
      </c>
      <c r="EW35" s="180">
        <f>EV35</f>
        <v>0.17</v>
      </c>
      <c r="EX35" s="180">
        <f>EW35</f>
        <v>0.17</v>
      </c>
      <c r="EY35" s="180">
        <f>EX35</f>
        <v>0.17</v>
      </c>
      <c r="EZ35" s="680">
        <f>EZ34/(EZ32)</f>
        <v>0.16999999999999998</v>
      </c>
      <c r="FA35" s="180">
        <v>0.17</v>
      </c>
      <c r="FB35" s="180">
        <f>FA35</f>
        <v>0.17</v>
      </c>
      <c r="FC35" s="180">
        <f>FB35</f>
        <v>0.17</v>
      </c>
      <c r="FD35" s="180">
        <f>FC35</f>
        <v>0.17</v>
      </c>
      <c r="FE35" s="680">
        <f>FE34/(FE32)</f>
        <v>0.16999999999999998</v>
      </c>
      <c r="FF35" s="180">
        <v>0.17</v>
      </c>
      <c r="FG35" s="180">
        <f>FF35</f>
        <v>0.17</v>
      </c>
      <c r="FH35" s="180">
        <f>FG35</f>
        <v>0.17</v>
      </c>
      <c r="FI35" s="180">
        <f>FH35</f>
        <v>0.17</v>
      </c>
      <c r="FJ35" s="680">
        <f>FJ34/(FJ32)</f>
        <v>0.17</v>
      </c>
      <c r="FK35" s="180">
        <v>0.17</v>
      </c>
      <c r="FL35" s="180">
        <f>FK35</f>
        <v>0.17</v>
      </c>
      <c r="FM35" s="180">
        <f>FL35</f>
        <v>0.17</v>
      </c>
      <c r="FN35" s="180">
        <f>FM35</f>
        <v>0.17</v>
      </c>
      <c r="FO35" s="680">
        <f>FO34/(FO32)</f>
        <v>0.17</v>
      </c>
      <c r="FP35" s="680"/>
    </row>
    <row r="36" spans="1:173">
      <c r="B36" s="693"/>
      <c r="C36" s="693"/>
      <c r="D36" s="693"/>
      <c r="E36" s="693"/>
      <c r="G36" s="693"/>
      <c r="H36" s="693"/>
      <c r="I36" s="693"/>
      <c r="J36" s="693"/>
      <c r="L36" s="693"/>
      <c r="M36" s="693"/>
      <c r="N36" s="693"/>
      <c r="O36" s="693"/>
      <c r="Q36" s="693"/>
      <c r="R36" s="693"/>
      <c r="S36" s="693"/>
      <c r="T36" s="693"/>
      <c r="V36" s="693"/>
      <c r="W36" s="693"/>
      <c r="X36" s="693"/>
      <c r="Y36" s="693"/>
      <c r="AA36" s="693"/>
      <c r="AB36" s="693"/>
      <c r="AC36" s="693"/>
      <c r="AD36" s="693"/>
      <c r="AE36" s="148"/>
      <c r="AF36" s="693"/>
      <c r="AG36" s="693"/>
      <c r="AH36" s="693"/>
      <c r="AI36" s="693"/>
      <c r="AJ36" s="148"/>
      <c r="AK36" s="693"/>
      <c r="AL36" s="693"/>
      <c r="AM36" s="693"/>
      <c r="AN36" s="693"/>
      <c r="AO36" s="148"/>
      <c r="AP36" s="693"/>
      <c r="AQ36" s="693"/>
      <c r="AR36" s="693"/>
      <c r="AS36" s="693"/>
      <c r="AT36" s="148"/>
      <c r="AU36" s="693"/>
      <c r="AV36" s="693"/>
      <c r="AW36" s="693"/>
      <c r="AX36" s="693"/>
      <c r="AY36" s="148"/>
      <c r="AZ36" s="693"/>
      <c r="BA36" s="693"/>
      <c r="BB36" s="693"/>
      <c r="BC36" s="693"/>
      <c r="BD36" s="148"/>
      <c r="BE36" s="693"/>
      <c r="BF36" s="693"/>
      <c r="BG36" s="693"/>
      <c r="BH36" s="693"/>
      <c r="BI36" s="148"/>
      <c r="BJ36" s="693"/>
      <c r="BK36" s="693"/>
      <c r="BL36" s="693"/>
      <c r="BM36" s="693"/>
      <c r="BN36" s="148"/>
      <c r="BO36" s="693"/>
      <c r="BP36" s="693"/>
      <c r="BQ36" s="693"/>
      <c r="BR36" s="693"/>
      <c r="BS36" s="148"/>
      <c r="BT36" s="693"/>
      <c r="BU36" s="693"/>
      <c r="BV36" s="693"/>
      <c r="BW36" s="693"/>
      <c r="BX36" s="148"/>
      <c r="BY36" s="693"/>
      <c r="BZ36" s="693"/>
      <c r="CA36" s="693"/>
      <c r="CB36" s="693"/>
      <c r="CC36" s="148"/>
      <c r="CD36" s="693"/>
      <c r="CE36" s="693"/>
      <c r="CF36" s="693"/>
      <c r="CG36" s="693"/>
      <c r="CH36" s="148"/>
      <c r="CI36" s="693"/>
      <c r="CJ36" s="693"/>
      <c r="CK36" s="693"/>
      <c r="CL36" s="693"/>
      <c r="CM36" s="148"/>
      <c r="CN36" s="693"/>
      <c r="CO36" s="693"/>
      <c r="CP36" s="693"/>
      <c r="CQ36" s="693"/>
      <c r="CR36" s="148"/>
      <c r="CS36" s="693"/>
      <c r="CT36" s="693"/>
      <c r="CU36" s="693"/>
      <c r="CV36" s="693"/>
      <c r="CW36" s="148"/>
      <c r="CX36" s="181"/>
      <c r="CY36" s="181"/>
      <c r="CZ36" s="694"/>
      <c r="DA36" s="693"/>
      <c r="DC36" s="693"/>
      <c r="DD36" s="693"/>
      <c r="DE36" s="693"/>
      <c r="DF36" s="693"/>
      <c r="DG36" s="148"/>
      <c r="DH36" s="693"/>
      <c r="DI36" s="693"/>
      <c r="DJ36" s="693"/>
      <c r="DK36" s="693"/>
      <c r="DL36" s="148"/>
      <c r="DM36" s="693"/>
      <c r="DN36" s="693"/>
      <c r="DO36" s="693"/>
      <c r="DP36" s="693"/>
      <c r="DQ36" s="148"/>
      <c r="DR36" s="693"/>
      <c r="DS36" s="693"/>
      <c r="DT36" s="693"/>
      <c r="DU36" s="693"/>
      <c r="DV36" s="148"/>
      <c r="DW36" s="693"/>
      <c r="DX36" s="693"/>
      <c r="DY36" s="693"/>
      <c r="DZ36" s="693"/>
      <c r="EA36" s="148"/>
      <c r="EB36" s="693"/>
      <c r="EC36" s="693"/>
      <c r="ED36" s="693"/>
      <c r="EE36" s="693"/>
      <c r="EF36" s="148"/>
      <c r="EG36" s="693"/>
      <c r="EH36" s="693"/>
      <c r="EI36" s="693"/>
      <c r="EJ36" s="693"/>
      <c r="EK36" s="148"/>
      <c r="EL36" s="693"/>
      <c r="EM36" s="693"/>
      <c r="EN36" s="693"/>
      <c r="EO36" s="693"/>
      <c r="EP36" s="148"/>
      <c r="EQ36" s="693"/>
      <c r="ER36" s="693"/>
      <c r="ES36" s="693"/>
      <c r="ET36" s="693"/>
      <c r="EU36" s="148"/>
      <c r="EV36" s="693"/>
      <c r="EW36" s="693"/>
      <c r="EX36" s="693"/>
      <c r="EY36" s="693"/>
      <c r="EZ36" s="148"/>
      <c r="FA36" s="693"/>
      <c r="FB36" s="693"/>
      <c r="FC36" s="693"/>
      <c r="FD36" s="693"/>
      <c r="FE36" s="148"/>
      <c r="FF36" s="693"/>
      <c r="FG36" s="693"/>
      <c r="FH36" s="693"/>
      <c r="FI36" s="693"/>
      <c r="FJ36" s="148"/>
      <c r="FK36" s="693"/>
      <c r="FL36" s="693"/>
      <c r="FM36" s="693"/>
      <c r="FN36" s="693"/>
      <c r="FO36" s="148"/>
      <c r="FP36" s="148"/>
    </row>
    <row r="37" spans="1:173" s="169" customFormat="1">
      <c r="A37" s="147" t="s">
        <v>404</v>
      </c>
      <c r="B37" s="681">
        <f t="shared" ref="B37:BM37" si="36">B32-B34</f>
        <v>-1.1760000000000002</v>
      </c>
      <c r="C37" s="681">
        <f t="shared" si="36"/>
        <v>-1.2650000000000001</v>
      </c>
      <c r="D37" s="681">
        <f t="shared" si="36"/>
        <v>-2.5719999999999996</v>
      </c>
      <c r="E37" s="681">
        <f t="shared" si="36"/>
        <v>1.4240000000000017</v>
      </c>
      <c r="F37" s="682">
        <f>SUM(B37:E37)</f>
        <v>-3.5889999999999982</v>
      </c>
      <c r="G37" s="681">
        <f t="shared" si="36"/>
        <v>-1.0209999999999979</v>
      </c>
      <c r="H37" s="681">
        <f t="shared" si="36"/>
        <v>-9.652000000000001</v>
      </c>
      <c r="I37" s="681">
        <f t="shared" si="36"/>
        <v>7.140999999999992</v>
      </c>
      <c r="J37" s="681">
        <f t="shared" si="36"/>
        <v>7.662000000000007</v>
      </c>
      <c r="K37" s="682">
        <f>SUM(G37:J37)</f>
        <v>4.1300000000000008</v>
      </c>
      <c r="L37" s="681">
        <f t="shared" si="36"/>
        <v>6.2610000000000046</v>
      </c>
      <c r="M37" s="681">
        <f t="shared" si="36"/>
        <v>7.0769999999999973</v>
      </c>
      <c r="N37" s="681">
        <f t="shared" si="36"/>
        <v>13.029</v>
      </c>
      <c r="O37" s="681">
        <f t="shared" si="36"/>
        <v>14.592000000000011</v>
      </c>
      <c r="P37" s="682">
        <f>SUM(L37:O37)</f>
        <v>40.95900000000001</v>
      </c>
      <c r="Q37" s="681">
        <f t="shared" si="36"/>
        <v>14.695</v>
      </c>
      <c r="R37" s="681">
        <f t="shared" si="36"/>
        <v>23.637000000000018</v>
      </c>
      <c r="S37" s="681">
        <f t="shared" si="36"/>
        <v>28.319999999999997</v>
      </c>
      <c r="T37" s="681">
        <f t="shared" si="36"/>
        <v>31.81699999999995</v>
      </c>
      <c r="U37" s="682">
        <f>SUM(Q37:T37)</f>
        <v>98.468999999999966</v>
      </c>
      <c r="V37" s="681">
        <f t="shared" si="36"/>
        <v>33.726099999999995</v>
      </c>
      <c r="W37" s="681">
        <f t="shared" si="36"/>
        <v>36.619000000000014</v>
      </c>
      <c r="X37" s="681">
        <f t="shared" si="36"/>
        <v>48.239000000000004</v>
      </c>
      <c r="Y37" s="681">
        <f t="shared" si="36"/>
        <v>76.82059999999997</v>
      </c>
      <c r="Z37" s="682">
        <f>SUM(V37:Y37)</f>
        <v>195.40469999999999</v>
      </c>
      <c r="AA37" s="681">
        <f t="shared" si="36"/>
        <v>83.244999999999948</v>
      </c>
      <c r="AB37" s="681">
        <f t="shared" si="36"/>
        <v>19.954000000000036</v>
      </c>
      <c r="AC37" s="681">
        <f t="shared" si="36"/>
        <v>9.2371999999999854</v>
      </c>
      <c r="AD37" s="681">
        <f t="shared" si="36"/>
        <v>22.680499999999977</v>
      </c>
      <c r="AE37" s="682">
        <f>SUM(AA37:AD37)</f>
        <v>135.11669999999995</v>
      </c>
      <c r="AF37" s="681">
        <f t="shared" si="36"/>
        <v>19.747000000000014</v>
      </c>
      <c r="AG37" s="681">
        <f t="shared" si="36"/>
        <v>24.149999999999977</v>
      </c>
      <c r="AH37" s="681">
        <f t="shared" si="36"/>
        <v>17.696800000000017</v>
      </c>
      <c r="AI37" s="681">
        <f t="shared" si="36"/>
        <v>24.166000000000047</v>
      </c>
      <c r="AJ37" s="682">
        <f>SUM(AF37:AI37)</f>
        <v>85.759800000000055</v>
      </c>
      <c r="AK37" s="681">
        <f t="shared" si="36"/>
        <v>21.348999999999922</v>
      </c>
      <c r="AL37" s="681">
        <f t="shared" si="36"/>
        <v>5.1189999999999634</v>
      </c>
      <c r="AM37" s="681">
        <f t="shared" si="36"/>
        <v>25.879000000000026</v>
      </c>
      <c r="AN37" s="681">
        <f t="shared" si="36"/>
        <v>48.009000000000007</v>
      </c>
      <c r="AO37" s="682">
        <f>SUM(AK37:AN37)</f>
        <v>100.35599999999991</v>
      </c>
      <c r="AP37" s="681">
        <f t="shared" si="36"/>
        <v>64.444000000000059</v>
      </c>
      <c r="AQ37" s="681">
        <f t="shared" si="36"/>
        <v>74.837000000000003</v>
      </c>
      <c r="AR37" s="681">
        <f t="shared" si="36"/>
        <v>77.14571999999994</v>
      </c>
      <c r="AS37" s="681">
        <f t="shared" si="36"/>
        <v>98.052000000000035</v>
      </c>
      <c r="AT37" s="682">
        <f>SUM(AP37:AS37)</f>
        <v>314.47872000000001</v>
      </c>
      <c r="AU37" s="681">
        <f t="shared" si="36"/>
        <v>91.360000000000014</v>
      </c>
      <c r="AV37" s="681">
        <f t="shared" si="36"/>
        <v>86.753000000000043</v>
      </c>
      <c r="AW37" s="681">
        <f t="shared" si="36"/>
        <v>121.22520000000003</v>
      </c>
      <c r="AX37" s="681">
        <f t="shared" si="36"/>
        <v>150.11269000000001</v>
      </c>
      <c r="AY37" s="682">
        <f>SUM(AU37:AX37)</f>
        <v>449.45089000000007</v>
      </c>
      <c r="AZ37" s="681">
        <f t="shared" si="36"/>
        <v>132.25900000000001</v>
      </c>
      <c r="BA37" s="681">
        <f t="shared" si="36"/>
        <v>172.732</v>
      </c>
      <c r="BB37" s="681">
        <f t="shared" si="36"/>
        <v>235.66099999999997</v>
      </c>
      <c r="BC37" s="681">
        <f>BC32-BC34</f>
        <v>260.99299999999994</v>
      </c>
      <c r="BD37" s="682">
        <f>SUM(AZ37:BC37)</f>
        <v>801.64499999999987</v>
      </c>
      <c r="BE37" s="681">
        <f t="shared" si="36"/>
        <v>176.80499999999995</v>
      </c>
      <c r="BF37" s="681">
        <f t="shared" si="36"/>
        <v>41.712819999999979</v>
      </c>
      <c r="BG37" s="681">
        <f t="shared" si="36"/>
        <v>25.285999999999948</v>
      </c>
      <c r="BH37" s="681">
        <f>BH32-BH34</f>
        <v>-129.13499999999999</v>
      </c>
      <c r="BI37" s="682">
        <f>SUM(BE37:BH37)</f>
        <v>114.66881999999987</v>
      </c>
      <c r="BJ37" s="681">
        <f t="shared" si="36"/>
        <v>-77.238999999999976</v>
      </c>
      <c r="BK37" s="681">
        <f t="shared" si="36"/>
        <v>12.353999999999974</v>
      </c>
      <c r="BL37" s="681">
        <f t="shared" si="36"/>
        <v>87.329999999999984</v>
      </c>
      <c r="BM37" s="681">
        <f t="shared" si="36"/>
        <v>131.07600000000002</v>
      </c>
      <c r="BN37" s="682">
        <f>SUM(BJ37:BM37)</f>
        <v>153.52100000000002</v>
      </c>
      <c r="BO37" s="681">
        <f t="shared" ref="BO37:BW37" si="37">BO32-BO34</f>
        <v>137.59399999999994</v>
      </c>
      <c r="BP37" s="681">
        <f t="shared" si="37"/>
        <v>20.108999999999913</v>
      </c>
      <c r="BQ37" s="681">
        <f t="shared" si="37"/>
        <v>84.862000000000023</v>
      </c>
      <c r="BR37" s="681">
        <f t="shared" si="37"/>
        <v>114.65100000000001</v>
      </c>
      <c r="BS37" s="682">
        <f>SUM(BO37:BR37)</f>
        <v>357.21599999999989</v>
      </c>
      <c r="BT37" s="681">
        <f t="shared" si="37"/>
        <v>135.21900000000002</v>
      </c>
      <c r="BU37" s="681">
        <f t="shared" si="37"/>
        <v>159.13499999999999</v>
      </c>
      <c r="BV37" s="681">
        <f t="shared" si="37"/>
        <v>184.68599999999998</v>
      </c>
      <c r="BW37" s="681">
        <f t="shared" si="37"/>
        <v>128.37699999999992</v>
      </c>
      <c r="BX37" s="682">
        <f>SUM(BT37:BW37)</f>
        <v>607.41699999999992</v>
      </c>
      <c r="BY37" s="681">
        <f t="shared" ref="BY37:CG37" si="38">BY32-BY34</f>
        <v>72.603650000000059</v>
      </c>
      <c r="BZ37" s="681">
        <f t="shared" si="38"/>
        <v>143.99899999999994</v>
      </c>
      <c r="CA37" s="681">
        <f t="shared" si="38"/>
        <v>217.59199999999993</v>
      </c>
      <c r="CB37" s="681">
        <f t="shared" si="38"/>
        <v>182.67100000000008</v>
      </c>
      <c r="CC37" s="682">
        <f>SUM(BY37:CB37)</f>
        <v>616.86564999999996</v>
      </c>
      <c r="CD37" s="681">
        <f t="shared" si="38"/>
        <v>83.911000000000001</v>
      </c>
      <c r="CE37" s="681">
        <f t="shared" si="38"/>
        <v>106.11800000000007</v>
      </c>
      <c r="CF37" s="681">
        <f t="shared" si="38"/>
        <v>119.49100000000013</v>
      </c>
      <c r="CG37" s="681">
        <f t="shared" si="38"/>
        <v>149.98400000000007</v>
      </c>
      <c r="CH37" s="682">
        <f>SUM(CD37:CG37)</f>
        <v>459.50400000000025</v>
      </c>
      <c r="CI37" s="681">
        <f>CI32-CI34</f>
        <v>135.53400000000013</v>
      </c>
      <c r="CJ37" s="681">
        <f>CJ32-CJ34</f>
        <v>140.01600000000005</v>
      </c>
      <c r="CK37" s="681">
        <f>CK32-CK34</f>
        <v>186.00000000000011</v>
      </c>
      <c r="CL37" s="681">
        <f>CL32-CL34</f>
        <v>205.59699999999995</v>
      </c>
      <c r="CM37" s="682">
        <f>SUM(CI37:CL37)</f>
        <v>667.14700000000028</v>
      </c>
      <c r="CN37" s="681">
        <f>CN32-CN34</f>
        <v>149</v>
      </c>
      <c r="CO37" s="681">
        <f>CO32-CO34</f>
        <v>152</v>
      </c>
      <c r="CP37" s="681">
        <f>CP32-CP34</f>
        <v>208</v>
      </c>
      <c r="CQ37" s="681">
        <f>CQ32-CQ34</f>
        <v>236</v>
      </c>
      <c r="CR37" s="682">
        <f>SUM(CN37:CQ37)</f>
        <v>745</v>
      </c>
      <c r="CS37" s="681">
        <f>CS32-CS34</f>
        <v>213</v>
      </c>
      <c r="CT37" s="681">
        <f>CT32-CT34</f>
        <v>255</v>
      </c>
      <c r="CU37" s="681">
        <f>CU32-CU34</f>
        <v>505</v>
      </c>
      <c r="CV37" s="681">
        <f>CV32-CV34</f>
        <v>634</v>
      </c>
      <c r="CW37" s="682">
        <f>SUM(CS37:CV37)</f>
        <v>1607</v>
      </c>
      <c r="CX37" s="681">
        <f>CX32-CX34</f>
        <v>456</v>
      </c>
      <c r="CY37" s="681">
        <f>CY32-CY34</f>
        <v>557</v>
      </c>
      <c r="CZ37" s="681">
        <f>CZ32-CZ34</f>
        <v>726</v>
      </c>
      <c r="DA37" s="681">
        <f>DA32-DA34</f>
        <v>955</v>
      </c>
      <c r="DB37" s="682">
        <f>SUM(CX37:DA37)</f>
        <v>2694</v>
      </c>
      <c r="DC37" s="681">
        <f>DC32-DC34</f>
        <v>1156</v>
      </c>
      <c r="DD37" s="681">
        <f>DD32-DD34</f>
        <v>1079</v>
      </c>
      <c r="DE37" s="681">
        <f>DE32-DE34</f>
        <v>1011</v>
      </c>
      <c r="DF37" s="681">
        <f>DF32-DF34</f>
        <v>340</v>
      </c>
      <c r="DG37" s="682">
        <f>SUM(DC37:DF37)</f>
        <v>3586</v>
      </c>
      <c r="DH37" s="681">
        <f>DH32-DH34</f>
        <v>365</v>
      </c>
      <c r="DI37" s="681">
        <f>DI32-DI34</f>
        <v>538</v>
      </c>
      <c r="DJ37" s="681">
        <f>DJ32-DJ34</f>
        <v>879</v>
      </c>
      <c r="DK37" s="681">
        <f>DK32-DK34</f>
        <v>952</v>
      </c>
      <c r="DL37" s="682">
        <f>SUM(DH37:DK37)</f>
        <v>2734</v>
      </c>
      <c r="DM37" s="681">
        <f>DM32-DM34</f>
        <v>896</v>
      </c>
      <c r="DN37" s="681">
        <f>DN32-DN34</f>
        <v>992</v>
      </c>
      <c r="DO37" s="681">
        <f>DO32-DO34</f>
        <v>1451</v>
      </c>
      <c r="DP37" s="681">
        <f>DP32-DP34</f>
        <v>1540</v>
      </c>
      <c r="DQ37" s="682">
        <f>SUM(DM37:DP37)</f>
        <v>4879</v>
      </c>
      <c r="DR37" s="681">
        <f>DR32-DR34</f>
        <v>1884</v>
      </c>
      <c r="DS37" s="681">
        <f>DS32-DS34</f>
        <v>2158</v>
      </c>
      <c r="DT37" s="681">
        <f>DT32-DT34</f>
        <v>2414</v>
      </c>
      <c r="DU37" s="681">
        <f>DU32-DU34</f>
        <v>2799</v>
      </c>
      <c r="DV37" s="682">
        <f>SUM(DR37:DU37)</f>
        <v>9255</v>
      </c>
      <c r="DW37" s="681">
        <f>DW32-DW34</f>
        <v>2865</v>
      </c>
      <c r="DX37" s="681">
        <f>DX32-DX34</f>
        <v>643</v>
      </c>
      <c r="DY37" s="681">
        <f>DY32-DY34</f>
        <v>711</v>
      </c>
      <c r="DZ37" s="681">
        <f>DZ32-DZ34</f>
        <v>1435</v>
      </c>
      <c r="EA37" s="682">
        <f>SUM(DW37:DZ37)</f>
        <v>5654</v>
      </c>
      <c r="EB37" s="681">
        <f>EB32-EB34</f>
        <v>1978</v>
      </c>
      <c r="EC37" s="681">
        <f>EC32-EC34</f>
        <v>5898</v>
      </c>
      <c r="ED37" s="681">
        <f>ED32-ED34</f>
        <v>9041</v>
      </c>
      <c r="EE37" s="681">
        <f>EE32-EE34</f>
        <v>11846</v>
      </c>
      <c r="EF37" s="682">
        <f>SUM(EB37:EE37)</f>
        <v>28763</v>
      </c>
      <c r="EG37" s="681">
        <f>EG32-EG34</f>
        <v>14227</v>
      </c>
      <c r="EH37" s="681">
        <f>EH32-EH34</f>
        <v>15798</v>
      </c>
      <c r="EI37" s="681">
        <f>EI32-EI34</f>
        <v>18758</v>
      </c>
      <c r="EJ37" s="681">
        <f>EJ32-EJ34</f>
        <v>20745</v>
      </c>
      <c r="EK37" s="682">
        <f>SUM(EG37:EJ37)</f>
        <v>69528</v>
      </c>
      <c r="EL37" s="681">
        <f>EL32-EL34</f>
        <v>18420</v>
      </c>
      <c r="EM37" s="681">
        <f>EM32-EM34</f>
        <v>24159</v>
      </c>
      <c r="EN37" s="681">
        <f>EN32-EN34</f>
        <v>30112</v>
      </c>
      <c r="EO37" s="681">
        <f>EO32-EO34</f>
        <v>37919</v>
      </c>
      <c r="EP37" s="682">
        <f>SUM(EL37:EO37)</f>
        <v>110610</v>
      </c>
      <c r="EQ37" s="681">
        <f>EQ32-EQ34</f>
        <v>45548</v>
      </c>
      <c r="ER37" s="681">
        <f>ER32-ER34</f>
        <v>51388.627490539075</v>
      </c>
      <c r="ES37" s="681">
        <f>ES32-ES34</f>
        <v>61978.441687699684</v>
      </c>
      <c r="ET37" s="681">
        <f>ET32-ET34</f>
        <v>71042.632769895368</v>
      </c>
      <c r="EU37" s="682">
        <f>SUM(EQ37:ET37)</f>
        <v>229957.70194813411</v>
      </c>
      <c r="EV37" s="681">
        <f>EV32-EV34</f>
        <v>77776.52569982034</v>
      </c>
      <c r="EW37" s="681">
        <f>EW32-EW34</f>
        <v>85512.12208678358</v>
      </c>
      <c r="EX37" s="681">
        <f>EX32-EX34</f>
        <v>96058.174134900546</v>
      </c>
      <c r="EY37" s="681">
        <f>EY32-EY34</f>
        <v>102588.02354027715</v>
      </c>
      <c r="EZ37" s="682">
        <f>SUM(EV37:EY37)</f>
        <v>361934.8454617816</v>
      </c>
      <c r="FA37" s="681">
        <f>FA32-FA34</f>
        <v>105218.765789406</v>
      </c>
      <c r="FB37" s="681">
        <f>FB32-FB34</f>
        <v>108397.27008872332</v>
      </c>
      <c r="FC37" s="681">
        <f>FC32-FC34</f>
        <v>116426.05981745888</v>
      </c>
      <c r="FD37" s="681">
        <f>FD32-FD34</f>
        <v>122483.50216037114</v>
      </c>
      <c r="FE37" s="682">
        <f>SUM(FA37:FD37)</f>
        <v>452525.59785595932</v>
      </c>
      <c r="FF37" s="681">
        <f>FF32-FF34</f>
        <v>123305.26683832712</v>
      </c>
      <c r="FG37" s="681">
        <f>FG32-FG34</f>
        <v>124599.71706679455</v>
      </c>
      <c r="FH37" s="681">
        <f>FH32-FH34</f>
        <v>128745.23635879796</v>
      </c>
      <c r="FI37" s="681">
        <f>FI32-FI34</f>
        <v>131487.05848269194</v>
      </c>
      <c r="FJ37" s="682">
        <f>SUM(FF37:FI37)</f>
        <v>508137.27874661161</v>
      </c>
      <c r="FK37" s="681">
        <f>FK32-FK34</f>
        <v>133746.66943842464</v>
      </c>
      <c r="FL37" s="681">
        <f>FL32-FL34</f>
        <v>137870.8262044788</v>
      </c>
      <c r="FM37" s="681">
        <f>FM32-FM34</f>
        <v>146565.67073616665</v>
      </c>
      <c r="FN37" s="681">
        <f>FN32-FN34</f>
        <v>152632.57142481903</v>
      </c>
      <c r="FO37" s="682">
        <f>SUM(FK37:FN37)</f>
        <v>570815.73780388909</v>
      </c>
      <c r="FP37" s="682"/>
      <c r="FQ37" s="692"/>
    </row>
    <row r="38" spans="1:173">
      <c r="B38" s="182"/>
      <c r="C38" s="182"/>
      <c r="D38" s="182"/>
      <c r="E38" s="182"/>
      <c r="F38" s="681"/>
      <c r="G38" s="182"/>
      <c r="H38" s="182"/>
      <c r="I38" s="182"/>
      <c r="J38" s="182"/>
      <c r="K38" s="681"/>
      <c r="L38" s="182"/>
      <c r="M38" s="182"/>
      <c r="N38" s="182"/>
      <c r="O38" s="182"/>
      <c r="P38" s="681"/>
      <c r="Q38" s="182"/>
      <c r="R38" s="182"/>
      <c r="S38" s="182"/>
      <c r="T38" s="182"/>
      <c r="U38" s="681"/>
      <c r="V38" s="182"/>
      <c r="W38" s="182"/>
      <c r="X38" s="182"/>
      <c r="Y38" s="182"/>
      <c r="Z38" s="681"/>
      <c r="AA38" s="182"/>
      <c r="AB38" s="182"/>
      <c r="AC38" s="182"/>
      <c r="AD38" s="182"/>
      <c r="AE38" s="681"/>
      <c r="AF38" s="182"/>
      <c r="AG38" s="182"/>
      <c r="AH38" s="182"/>
      <c r="AI38" s="182"/>
      <c r="AJ38" s="681"/>
      <c r="AK38" s="182"/>
      <c r="AL38" s="182"/>
      <c r="AM38" s="182"/>
      <c r="AN38" s="182"/>
      <c r="AO38" s="681"/>
      <c r="AP38" s="182"/>
      <c r="AQ38" s="182"/>
      <c r="AR38" s="182"/>
      <c r="AS38" s="182"/>
      <c r="AT38" s="681"/>
      <c r="AU38" s="182"/>
      <c r="AV38" s="182"/>
      <c r="AW38" s="182"/>
      <c r="AX38" s="182"/>
      <c r="AY38" s="681"/>
      <c r="AZ38" s="182"/>
      <c r="BA38" s="182"/>
      <c r="BB38" s="182"/>
      <c r="BC38" s="182"/>
      <c r="BD38" s="681"/>
      <c r="BE38" s="182"/>
      <c r="BF38" s="182"/>
      <c r="BG38" s="182"/>
      <c r="BH38" s="182"/>
      <c r="BI38" s="681"/>
      <c r="BJ38" s="182"/>
      <c r="BK38" s="182"/>
      <c r="BL38" s="182"/>
      <c r="BM38" s="182"/>
      <c r="BN38" s="681"/>
      <c r="BO38" s="182"/>
      <c r="BP38" s="182"/>
      <c r="BQ38" s="182"/>
      <c r="BR38" s="182"/>
      <c r="BS38" s="681"/>
      <c r="BT38" s="182"/>
      <c r="BU38" s="182"/>
      <c r="BV38" s="182"/>
      <c r="BW38" s="182"/>
      <c r="BX38" s="681"/>
      <c r="BY38" s="182"/>
      <c r="BZ38" s="182"/>
      <c r="CA38" s="182"/>
      <c r="CB38" s="182"/>
      <c r="CC38" s="681"/>
      <c r="CD38" s="182"/>
      <c r="CE38" s="182"/>
      <c r="CF38" s="182"/>
      <c r="CG38" s="182"/>
      <c r="CH38" s="681"/>
      <c r="CI38" s="182"/>
      <c r="CJ38" s="182"/>
      <c r="CK38" s="182"/>
      <c r="CL38" s="182"/>
      <c r="CM38" s="183"/>
      <c r="CN38" s="182"/>
      <c r="CO38" s="182"/>
      <c r="CP38" s="182"/>
      <c r="CQ38" s="182"/>
      <c r="CR38" s="183"/>
      <c r="CS38" s="182"/>
      <c r="CT38" s="182"/>
      <c r="CU38" s="182"/>
      <c r="CV38" s="182"/>
      <c r="CW38" s="183"/>
      <c r="CX38" s="176"/>
      <c r="CY38" s="176"/>
      <c r="CZ38" s="182"/>
      <c r="DA38" s="182"/>
      <c r="DB38" s="183"/>
      <c r="DC38" s="182"/>
      <c r="DD38" s="182"/>
      <c r="DE38" s="182"/>
      <c r="DF38" s="182"/>
      <c r="DG38" s="183"/>
      <c r="DH38" s="182"/>
      <c r="DI38" s="182"/>
      <c r="DJ38" s="182"/>
      <c r="DK38" s="182"/>
      <c r="DL38" s="183"/>
      <c r="DM38" s="182"/>
      <c r="DN38" s="182"/>
      <c r="DO38" s="182"/>
      <c r="DP38" s="182"/>
      <c r="DQ38" s="183"/>
      <c r="DR38" s="182"/>
      <c r="DS38" s="182"/>
      <c r="DT38" s="182"/>
      <c r="DU38" s="182"/>
      <c r="DV38" s="183"/>
      <c r="DW38" s="182"/>
      <c r="DX38" s="182"/>
      <c r="DY38" s="182"/>
      <c r="DZ38" s="182"/>
      <c r="EA38" s="183"/>
      <c r="EB38" s="182"/>
      <c r="EC38" s="182"/>
      <c r="ED38" s="182"/>
      <c r="EE38" s="182"/>
      <c r="EF38" s="183"/>
      <c r="EG38" s="182"/>
      <c r="EH38" s="182"/>
      <c r="EI38" s="182"/>
      <c r="EJ38" s="182"/>
      <c r="EK38" s="183"/>
      <c r="EL38" s="182"/>
      <c r="EM38" s="182"/>
      <c r="EN38" s="182"/>
      <c r="EO38" s="182"/>
      <c r="EP38" s="183"/>
      <c r="EQ38" s="182"/>
      <c r="ER38" s="182"/>
      <c r="ES38" s="182"/>
      <c r="ET38" s="182"/>
      <c r="EU38" s="183"/>
      <c r="EV38" s="182"/>
      <c r="EW38" s="182"/>
      <c r="EX38" s="182"/>
      <c r="EY38" s="182"/>
      <c r="EZ38" s="183"/>
      <c r="FA38" s="182"/>
      <c r="FB38" s="182"/>
      <c r="FC38" s="182"/>
      <c r="FD38" s="182"/>
      <c r="FE38" s="183"/>
      <c r="FF38" s="182"/>
      <c r="FG38" s="182"/>
      <c r="FH38" s="182"/>
      <c r="FI38" s="182"/>
      <c r="FJ38" s="183"/>
      <c r="FK38" s="182"/>
      <c r="FL38" s="182"/>
      <c r="FM38" s="182"/>
      <c r="FN38" s="182"/>
      <c r="FO38" s="183"/>
      <c r="FP38" s="183"/>
    </row>
    <row r="39" spans="1:173">
      <c r="A39" s="171" t="s">
        <v>405</v>
      </c>
      <c r="B39" s="681">
        <v>0</v>
      </c>
      <c r="C39" s="681">
        <v>0</v>
      </c>
      <c r="D39" s="681">
        <v>0</v>
      </c>
      <c r="E39" s="681">
        <v>0</v>
      </c>
      <c r="F39" s="682">
        <f>SUM(B39:E39)</f>
        <v>0</v>
      </c>
      <c r="G39" s="681">
        <v>0</v>
      </c>
      <c r="H39" s="681">
        <v>0</v>
      </c>
      <c r="I39" s="681">
        <v>0</v>
      </c>
      <c r="J39" s="681">
        <v>0</v>
      </c>
      <c r="K39" s="682">
        <f>SUM(G39:J39)</f>
        <v>0</v>
      </c>
      <c r="L39" s="681">
        <v>0</v>
      </c>
      <c r="M39" s="681">
        <v>0</v>
      </c>
      <c r="N39" s="681">
        <v>0</v>
      </c>
      <c r="O39" s="681">
        <v>0</v>
      </c>
      <c r="P39" s="682">
        <f>SUM(L39:O39)</f>
        <v>0</v>
      </c>
      <c r="Q39" s="681">
        <v>0</v>
      </c>
      <c r="R39" s="681">
        <v>0</v>
      </c>
      <c r="S39" s="681">
        <v>0</v>
      </c>
      <c r="T39" s="681">
        <v>0</v>
      </c>
      <c r="U39" s="682">
        <f>SUM(Q39:T39)</f>
        <v>0</v>
      </c>
      <c r="V39" s="681">
        <f>-0.7*9.573</f>
        <v>-6.7011000000000003</v>
      </c>
      <c r="W39" s="681">
        <f>-0.457</f>
        <v>-0.45700000000000002</v>
      </c>
      <c r="X39" s="681">
        <v>-3.6869999999999998</v>
      </c>
      <c r="Y39" s="681">
        <v>1.2432000000000016</v>
      </c>
      <c r="Z39" s="682">
        <f>SUM(V39:Y39)</f>
        <v>-9.6018999999999988</v>
      </c>
      <c r="AA39" s="681">
        <v>0</v>
      </c>
      <c r="AB39" s="681">
        <f>-0.7*21</f>
        <v>-14.7</v>
      </c>
      <c r="AC39" s="681">
        <f>-61.832+AC34</f>
        <v>-57.873200000000004</v>
      </c>
      <c r="AD39" s="681">
        <f>0.7*40.365</f>
        <v>28.255499999999998</v>
      </c>
      <c r="AE39" s="682">
        <f>SUM(AA39:AD39)</f>
        <v>-44.317700000000002</v>
      </c>
      <c r="AF39" s="681">
        <v>0</v>
      </c>
      <c r="AG39" s="681">
        <v>0</v>
      </c>
      <c r="AH39" s="681">
        <f>-3.5-13.068*0.6</f>
        <v>-11.3408</v>
      </c>
      <c r="AI39" s="681">
        <v>0</v>
      </c>
      <c r="AJ39" s="682">
        <f>SUM(AF39:AI39)</f>
        <v>-11.3408</v>
      </c>
      <c r="AK39" s="681">
        <v>0</v>
      </c>
      <c r="AL39" s="681">
        <v>0</v>
      </c>
      <c r="AM39" s="681">
        <v>0</v>
      </c>
      <c r="AN39" s="681">
        <v>0</v>
      </c>
      <c r="AO39" s="682">
        <f>SUM(AK39:AN39)</f>
        <v>0</v>
      </c>
      <c r="AP39" s="681">
        <v>0</v>
      </c>
      <c r="AQ39" s="681">
        <v>0</v>
      </c>
      <c r="AR39" s="681">
        <f>-14.158*(1-0.16)</f>
        <v>-11.892719999999999</v>
      </c>
      <c r="AS39" s="681">
        <v>0</v>
      </c>
      <c r="AT39" s="682">
        <f>SUM(AP39:AS39)</f>
        <v>-11.892719999999999</v>
      </c>
      <c r="AU39" s="681">
        <v>0.70399999999999996</v>
      </c>
      <c r="AV39" s="681">
        <v>0</v>
      </c>
      <c r="AW39" s="681">
        <f>-(17.5-(6.594-(AW41-AW42)))</f>
        <v>-14.714199999999998</v>
      </c>
      <c r="AX39" s="681">
        <f>-13.4+(11.947+AX34)</f>
        <v>13.393309999999998</v>
      </c>
      <c r="AY39" s="682">
        <f>SUM(AU39:AX39)</f>
        <v>-0.61688999999999972</v>
      </c>
      <c r="AZ39" s="681">
        <v>0</v>
      </c>
      <c r="BA39" s="681">
        <v>0</v>
      </c>
      <c r="BB39" s="681">
        <v>0</v>
      </c>
      <c r="BC39" s="681">
        <v>-4</v>
      </c>
      <c r="BD39" s="682">
        <f>SUM(AZ39:BC39)</f>
        <v>-4</v>
      </c>
      <c r="BE39" s="681">
        <v>0</v>
      </c>
      <c r="BF39" s="681">
        <f>-0.83*195.954</f>
        <v>-162.64182</v>
      </c>
      <c r="BG39" s="681">
        <f>-8.338-4.5</f>
        <v>-12.837999999999999</v>
      </c>
      <c r="BH39" s="681">
        <v>-18.53</v>
      </c>
      <c r="BI39" s="682">
        <f>SUM(BE39:BH39)</f>
        <v>-194.00981999999999</v>
      </c>
      <c r="BJ39" s="681">
        <f>-(11.412+128.829)+16.142</f>
        <v>-124.09900000000002</v>
      </c>
      <c r="BK39" s="681">
        <f>-119.993+0.939+1.398</f>
        <v>-117.65600000000001</v>
      </c>
      <c r="BL39" s="681">
        <f>25.105-4.876+0.018</f>
        <v>20.247</v>
      </c>
      <c r="BM39" s="681">
        <v>0</v>
      </c>
      <c r="BN39" s="682">
        <f>SUM(BJ39:BM39)</f>
        <v>-221.50800000000004</v>
      </c>
      <c r="BO39" s="681">
        <v>0</v>
      </c>
      <c r="BP39" s="681">
        <f>-193.3+32.23</f>
        <v>-161.07000000000002</v>
      </c>
      <c r="BQ39" s="681">
        <v>0</v>
      </c>
      <c r="BR39" s="681">
        <v>57</v>
      </c>
      <c r="BS39" s="682">
        <f>SUM(BO39:BR39)</f>
        <v>-104.07000000000002</v>
      </c>
      <c r="BT39" s="681">
        <v>0</v>
      </c>
      <c r="BU39" s="681">
        <v>-7.5620000000000003</v>
      </c>
      <c r="BV39" s="681">
        <v>-6.4130000000000003</v>
      </c>
      <c r="BW39" s="681">
        <f>-7.3-5.052</f>
        <v>-12.352</v>
      </c>
      <c r="BX39" s="682">
        <f>SUM(BT39:BW39)</f>
        <v>-26.327000000000002</v>
      </c>
      <c r="BY39" s="681">
        <f>-4.342-5.171-7.989+(BY41-BY42)</f>
        <v>-12.166649999999997</v>
      </c>
      <c r="BZ39" s="681">
        <f>-4.065-4.794-20.127+9.839-5.806</f>
        <v>-24.952999999999999</v>
      </c>
      <c r="CA39" s="681">
        <f>-4.402-4.666+0.556</f>
        <v>-8.5120000000000005</v>
      </c>
      <c r="CB39" s="681">
        <f>-4.373-4.325</f>
        <v>-8.6980000000000004</v>
      </c>
      <c r="CC39" s="682">
        <f>SUM(BY39:CB39)</f>
        <v>-54.329649999999994</v>
      </c>
      <c r="CD39" s="681">
        <f>-3.915-4.946+6.348-3.507</f>
        <v>-6.0200000000000014</v>
      </c>
      <c r="CE39" s="681">
        <f>-2.29-3.98-4.984+6.767-5.183</f>
        <v>-9.6699999999999982</v>
      </c>
      <c r="CF39" s="681">
        <f>-4.906+0.329-2.235+6.055</f>
        <v>-0.75699999999999967</v>
      </c>
      <c r="CG39" s="681">
        <v>-3.0670000000000002</v>
      </c>
      <c r="CH39" s="682">
        <f>SUM(CD39:CG39)</f>
        <v>-19.513999999999999</v>
      </c>
      <c r="CI39" s="681">
        <f>-9.441+16.982-6.901+5.342-5</f>
        <v>0.98199999999999843</v>
      </c>
      <c r="CJ39" s="681">
        <f>-9.173-2.5-6.973+11.606-5</f>
        <v>-12.040000000000001</v>
      </c>
      <c r="CK39" s="681">
        <f>-9.572+10.549-7.01-7</f>
        <v>-13.032999999999999</v>
      </c>
      <c r="CL39" s="681">
        <f>-9.169-7.083+3.783</f>
        <v>-12.469000000000003</v>
      </c>
      <c r="CM39" s="682">
        <f>SUM(CI39:CL39)</f>
        <v>-36.56</v>
      </c>
      <c r="CN39" s="681">
        <f>-9-7+1</f>
        <v>-15</v>
      </c>
      <c r="CO39" s="681">
        <f>-15-4-89-7-2-9</f>
        <v>-126</v>
      </c>
      <c r="CP39" s="681">
        <f>-4-8-7+57</f>
        <v>38</v>
      </c>
      <c r="CQ39" s="681">
        <f>-5-4-34-7+21</f>
        <v>-29</v>
      </c>
      <c r="CR39" s="682">
        <f>SUM(CN39:CQ39)</f>
        <v>-132</v>
      </c>
      <c r="CS39" s="681">
        <f>-10-6-4-3-1-7+14</f>
        <v>-17</v>
      </c>
      <c r="CT39" s="681">
        <f>-4-1-2-7+12</f>
        <v>-2</v>
      </c>
      <c r="CU39" s="681">
        <f>-4-6-15+62</f>
        <v>37</v>
      </c>
      <c r="CV39" s="681">
        <f>-4-4-6-1+36</f>
        <v>21</v>
      </c>
      <c r="CW39" s="682">
        <f>SUM(CS39:CV39)</f>
        <v>39</v>
      </c>
      <c r="CX39" s="681">
        <f>-4-2-2-14+73</f>
        <v>51</v>
      </c>
      <c r="CY39" s="681">
        <f>-4-1-3+34</f>
        <v>26</v>
      </c>
      <c r="CZ39" s="681">
        <f>-3-1+116</f>
        <v>112</v>
      </c>
      <c r="DA39" s="681">
        <f>+-1-2-2+2+33+133</f>
        <v>163</v>
      </c>
      <c r="DB39" s="682">
        <f>SUM(CX39:DA39)</f>
        <v>352</v>
      </c>
      <c r="DC39" s="681">
        <f>+-2-2+6-1+87</f>
        <v>88</v>
      </c>
      <c r="DD39" s="681">
        <f>-2+2+22</f>
        <v>22</v>
      </c>
      <c r="DE39" s="681">
        <f>-14-1-1+4+2+91+138</f>
        <v>219</v>
      </c>
      <c r="DF39" s="681">
        <f>-21-1-7+1+25+230</f>
        <v>227</v>
      </c>
      <c r="DG39" s="682">
        <f>SUM(DC39:DF39)</f>
        <v>556</v>
      </c>
      <c r="DH39" s="681">
        <f>-10-10-1+50</f>
        <v>29</v>
      </c>
      <c r="DI39" s="681">
        <f>-2-5+21</f>
        <v>14</v>
      </c>
      <c r="DJ39" s="681">
        <f>-7+1+26</f>
        <v>20</v>
      </c>
      <c r="DK39" s="681">
        <f>-3-7+8</f>
        <v>-2</v>
      </c>
      <c r="DL39" s="682">
        <f>SUM(DH39:DK39)</f>
        <v>61</v>
      </c>
      <c r="DM39" s="681">
        <f>-1-4-3-1+30</f>
        <v>21</v>
      </c>
      <c r="DN39" s="681">
        <f>-245-17-229-2-1+124</f>
        <v>-370</v>
      </c>
      <c r="DO39" s="681">
        <f>-86-21-106-4-1+102+1</f>
        <v>-115</v>
      </c>
      <c r="DP39" s="681">
        <f>-92-1-72+9-1+74</f>
        <v>-83</v>
      </c>
      <c r="DQ39" s="682">
        <f>SUM(DM39:DP39)</f>
        <v>-547</v>
      </c>
      <c r="DR39" s="681">
        <f>-87-5-80+134-1+67</f>
        <v>28</v>
      </c>
      <c r="DS39" s="681">
        <f>-86-4-72-1+127+252</f>
        <v>216</v>
      </c>
      <c r="DT39" s="681">
        <f>-86-70-1+187+20</f>
        <v>50</v>
      </c>
      <c r="DU39" s="681">
        <f>-86-70-53+330-7+90</f>
        <v>204</v>
      </c>
      <c r="DV39" s="682">
        <f>SUM(DR39:DU39)</f>
        <v>498</v>
      </c>
      <c r="DW39" s="681">
        <f>-94-1353-55-7-17-1+280</f>
        <v>-1247</v>
      </c>
      <c r="DX39" s="681">
        <f>-121-54-2-7-1+197+1</f>
        <v>13</v>
      </c>
      <c r="DY39" s="681">
        <f>-120-54-16-11-1+171</f>
        <v>-31</v>
      </c>
      <c r="DZ39" s="681">
        <f>-120-54-38-10-1+218-16</f>
        <v>-21</v>
      </c>
      <c r="EA39" s="682">
        <f>SUM(DW39:DZ39)</f>
        <v>-1286</v>
      </c>
      <c r="EB39" s="681">
        <f>-119-54+4-14-1+257-8</f>
        <v>65</v>
      </c>
      <c r="EC39" s="681">
        <f>-119-18+5+62-1+363-2</f>
        <v>290</v>
      </c>
      <c r="ED39" s="681">
        <f>-119-26-16-69-1+433</f>
        <v>202</v>
      </c>
      <c r="EE39" s="681">
        <f>-119-4-18+260-1+321</f>
        <v>439</v>
      </c>
      <c r="EF39" s="682">
        <f>SUM(EB39:EE39)</f>
        <v>996</v>
      </c>
      <c r="EG39" s="681">
        <f>-119+1-21+69-1+725</f>
        <v>654</v>
      </c>
      <c r="EH39" s="681">
        <f>-118+3-26+193-1+750</f>
        <v>801</v>
      </c>
      <c r="EI39" s="681">
        <f>-116-39+37-1+670</f>
        <v>551</v>
      </c>
      <c r="EJ39" s="681">
        <f>+-118-0-43+727-1+781</f>
        <v>1346</v>
      </c>
      <c r="EK39" s="682">
        <f>SUM(EG39:EJ39)</f>
        <v>3352</v>
      </c>
      <c r="EL39" s="681">
        <f>-123-3-37-175-1+694</f>
        <v>355</v>
      </c>
      <c r="EM39" s="681">
        <f>-49-37-15+2247-1+166-48</f>
        <v>2263</v>
      </c>
      <c r="EN39" s="681">
        <f>-48-39+1354-1+532</f>
        <v>1798</v>
      </c>
      <c r="EO39" s="681">
        <f>-48+1-90-38+5491-13-262</f>
        <v>5041</v>
      </c>
      <c r="EP39" s="682">
        <f>SUM(EL39:EO39)</f>
        <v>9457</v>
      </c>
      <c r="EQ39" s="681">
        <f>-47-28-172+15936-26-2890</f>
        <v>12773</v>
      </c>
      <c r="ER39" s="683">
        <v>0</v>
      </c>
      <c r="ES39" s="683">
        <v>0</v>
      </c>
      <c r="ET39" s="683">
        <v>0</v>
      </c>
      <c r="EU39" s="682">
        <f>SUM(EQ39:ET39)</f>
        <v>12773</v>
      </c>
      <c r="EV39" s="683">
        <v>0</v>
      </c>
      <c r="EW39" s="683">
        <v>0</v>
      </c>
      <c r="EX39" s="683">
        <v>0</v>
      </c>
      <c r="EY39" s="683">
        <v>0</v>
      </c>
      <c r="EZ39" s="682">
        <f>SUM(EV39:EY39)</f>
        <v>0</v>
      </c>
      <c r="FA39" s="683">
        <v>0</v>
      </c>
      <c r="FB39" s="683">
        <v>0</v>
      </c>
      <c r="FC39" s="683">
        <v>0</v>
      </c>
      <c r="FD39" s="683">
        <v>0</v>
      </c>
      <c r="FE39" s="682">
        <f>SUM(FA39:FD39)</f>
        <v>0</v>
      </c>
      <c r="FF39" s="683">
        <v>0</v>
      </c>
      <c r="FG39" s="683">
        <v>0</v>
      </c>
      <c r="FH39" s="683">
        <v>0</v>
      </c>
      <c r="FI39" s="683">
        <v>0</v>
      </c>
      <c r="FJ39" s="682">
        <f>SUM(FF39:FI39)</f>
        <v>0</v>
      </c>
      <c r="FK39" s="683">
        <v>0</v>
      </c>
      <c r="FL39" s="683">
        <v>0</v>
      </c>
      <c r="FM39" s="683">
        <v>0</v>
      </c>
      <c r="FN39" s="683">
        <v>0</v>
      </c>
      <c r="FO39" s="682">
        <f>SUM(FK39:FN39)</f>
        <v>0</v>
      </c>
      <c r="FP39" s="682"/>
      <c r="FQ39" s="692"/>
    </row>
    <row r="40" spans="1:173">
      <c r="A40" s="171" t="s">
        <v>406</v>
      </c>
      <c r="B40" s="681">
        <v>0</v>
      </c>
      <c r="C40" s="681">
        <v>0</v>
      </c>
      <c r="D40" s="681">
        <v>0</v>
      </c>
      <c r="E40" s="681">
        <v>0</v>
      </c>
      <c r="F40" s="682">
        <f>SUM(B40:E40)</f>
        <v>0</v>
      </c>
      <c r="G40" s="681">
        <v>0</v>
      </c>
      <c r="H40" s="681">
        <v>0</v>
      </c>
      <c r="I40" s="681">
        <v>0</v>
      </c>
      <c r="J40" s="681">
        <v>0</v>
      </c>
      <c r="K40" s="682">
        <f>SUM(G40:J40)</f>
        <v>0</v>
      </c>
      <c r="L40" s="681">
        <v>0</v>
      </c>
      <c r="M40" s="681">
        <v>0</v>
      </c>
      <c r="N40" s="681">
        <v>0</v>
      </c>
      <c r="O40" s="681">
        <v>0</v>
      </c>
      <c r="P40" s="682">
        <f>SUM(L40:O40)</f>
        <v>0</v>
      </c>
      <c r="Q40" s="681">
        <v>0</v>
      </c>
      <c r="R40" s="681">
        <v>0</v>
      </c>
      <c r="S40" s="681">
        <v>0</v>
      </c>
      <c r="T40" s="681">
        <v>0</v>
      </c>
      <c r="U40" s="682">
        <f>SUM(Q40:T40)</f>
        <v>0</v>
      </c>
      <c r="V40" s="681">
        <f>-0.375</f>
        <v>-0.375</v>
      </c>
      <c r="W40" s="681">
        <f>-3.236</f>
        <v>-3.2360000000000002</v>
      </c>
      <c r="X40" s="681">
        <f>-3.237</f>
        <v>-3.2370000000000001</v>
      </c>
      <c r="Y40" s="681">
        <v>-0.21709999999999852</v>
      </c>
      <c r="Z40" s="682">
        <f>SUM(V40:Y40)</f>
        <v>-7.0650999999999993</v>
      </c>
      <c r="AA40" s="681">
        <v>0</v>
      </c>
      <c r="AB40" s="681">
        <v>0</v>
      </c>
      <c r="AC40" s="681">
        <v>0</v>
      </c>
      <c r="AD40" s="681">
        <v>0</v>
      </c>
      <c r="AE40" s="682">
        <f>SUM(AA40:AD40)</f>
        <v>0</v>
      </c>
      <c r="AF40" s="681">
        <v>0</v>
      </c>
      <c r="AG40" s="681">
        <v>0</v>
      </c>
      <c r="AH40" s="681">
        <v>0</v>
      </c>
      <c r="AI40" s="681">
        <v>0</v>
      </c>
      <c r="AJ40" s="682">
        <f>SUM(AF40:AI40)</f>
        <v>0</v>
      </c>
      <c r="AK40" s="681">
        <v>0</v>
      </c>
      <c r="AL40" s="681">
        <v>0</v>
      </c>
      <c r="AM40" s="681">
        <v>0</v>
      </c>
      <c r="AN40" s="681">
        <v>0</v>
      </c>
      <c r="AO40" s="682">
        <f>SUM(AK40:AN40)</f>
        <v>0</v>
      </c>
      <c r="AP40" s="681">
        <v>0</v>
      </c>
      <c r="AQ40" s="681">
        <v>0</v>
      </c>
      <c r="AR40" s="681">
        <v>0</v>
      </c>
      <c r="AS40" s="681">
        <v>0</v>
      </c>
      <c r="AT40" s="682">
        <f>SUM(AP40:AS40)</f>
        <v>0</v>
      </c>
      <c r="AU40" s="681">
        <v>0</v>
      </c>
      <c r="AV40" s="681">
        <v>0</v>
      </c>
      <c r="AW40" s="681">
        <v>0</v>
      </c>
      <c r="AX40" s="681">
        <v>0</v>
      </c>
      <c r="AY40" s="682">
        <f>SUM(AU40:AX40)</f>
        <v>0</v>
      </c>
      <c r="AZ40" s="681">
        <v>0</v>
      </c>
      <c r="BA40" s="681">
        <v>0</v>
      </c>
      <c r="BB40" s="681">
        <v>0</v>
      </c>
      <c r="BC40" s="681">
        <v>0</v>
      </c>
      <c r="BD40" s="682">
        <f>SUM(AZ40:BC40)</f>
        <v>0</v>
      </c>
      <c r="BE40" s="681">
        <v>0</v>
      </c>
      <c r="BF40" s="681">
        <v>0</v>
      </c>
      <c r="BG40" s="681">
        <v>0</v>
      </c>
      <c r="BH40" s="681">
        <v>0</v>
      </c>
      <c r="BI40" s="682">
        <f>SUM(BE40:BH40)</f>
        <v>0</v>
      </c>
      <c r="BJ40" s="681">
        <v>0</v>
      </c>
      <c r="BK40" s="681">
        <v>0</v>
      </c>
      <c r="BL40" s="681">
        <v>0</v>
      </c>
      <c r="BM40" s="681">
        <v>0</v>
      </c>
      <c r="BN40" s="682">
        <f>SUM(BJ40:BM40)</f>
        <v>0</v>
      </c>
      <c r="BO40" s="681">
        <v>0</v>
      </c>
      <c r="BP40" s="681">
        <v>0</v>
      </c>
      <c r="BQ40" s="681">
        <v>0</v>
      </c>
      <c r="BR40" s="681">
        <v>0</v>
      </c>
      <c r="BS40" s="682">
        <f>SUM(BO40:BR40)</f>
        <v>0</v>
      </c>
      <c r="BT40" s="681">
        <v>0</v>
      </c>
      <c r="BU40" s="681">
        <v>0</v>
      </c>
      <c r="BV40" s="681">
        <v>0</v>
      </c>
      <c r="BW40" s="681">
        <v>0</v>
      </c>
      <c r="BX40" s="682">
        <f>SUM(BT40:BW40)</f>
        <v>0</v>
      </c>
      <c r="BY40" s="681">
        <v>0</v>
      </c>
      <c r="BZ40" s="681">
        <v>0</v>
      </c>
      <c r="CA40" s="681">
        <v>0</v>
      </c>
      <c r="CB40" s="681">
        <v>0</v>
      </c>
      <c r="CC40" s="682">
        <f>SUM(BY40:CB40)</f>
        <v>0</v>
      </c>
      <c r="CD40" s="681">
        <v>0</v>
      </c>
      <c r="CE40" s="681">
        <v>0</v>
      </c>
      <c r="CF40" s="681">
        <v>0</v>
      </c>
      <c r="CG40" s="681">
        <v>0</v>
      </c>
      <c r="CH40" s="682">
        <f>SUM(CD40:CG40)</f>
        <v>0</v>
      </c>
      <c r="CI40" s="681">
        <v>0</v>
      </c>
      <c r="CJ40" s="681">
        <v>0</v>
      </c>
      <c r="CK40" s="681">
        <v>0</v>
      </c>
      <c r="CL40" s="681">
        <v>0</v>
      </c>
      <c r="CM40" s="682">
        <f>SUM(CI40:CL40)</f>
        <v>0</v>
      </c>
      <c r="CN40" s="681">
        <v>0</v>
      </c>
      <c r="CO40" s="681">
        <v>0</v>
      </c>
      <c r="CP40" s="681">
        <v>0</v>
      </c>
      <c r="CQ40" s="681">
        <v>0</v>
      </c>
      <c r="CR40" s="682">
        <f>SUM(CN40:CQ40)</f>
        <v>0</v>
      </c>
      <c r="CS40" s="681">
        <v>0</v>
      </c>
      <c r="CT40" s="681">
        <v>0</v>
      </c>
      <c r="CU40" s="681">
        <v>0</v>
      </c>
      <c r="CV40" s="681">
        <v>0</v>
      </c>
      <c r="CW40" s="682">
        <f>SUM(CS40:CV40)</f>
        <v>0</v>
      </c>
      <c r="CX40" s="681">
        <v>0</v>
      </c>
      <c r="CY40" s="681">
        <v>0</v>
      </c>
      <c r="CZ40" s="681">
        <v>0</v>
      </c>
      <c r="DA40" s="681">
        <v>0</v>
      </c>
      <c r="DB40" s="682">
        <f>SUM(CX40:DA40)</f>
        <v>0</v>
      </c>
      <c r="DC40" s="681">
        <v>0</v>
      </c>
      <c r="DD40" s="681">
        <v>0</v>
      </c>
      <c r="DE40" s="681">
        <v>0</v>
      </c>
      <c r="DF40" s="681">
        <v>0</v>
      </c>
      <c r="DG40" s="682">
        <f>SUM(DC40:DF40)</f>
        <v>0</v>
      </c>
      <c r="DH40" s="681">
        <v>0</v>
      </c>
      <c r="DI40" s="681">
        <v>0</v>
      </c>
      <c r="DJ40" s="681">
        <v>0</v>
      </c>
      <c r="DK40" s="681">
        <v>0</v>
      </c>
      <c r="DL40" s="682">
        <f>SUM(DH40:DK40)</f>
        <v>0</v>
      </c>
      <c r="DM40" s="681">
        <v>0</v>
      </c>
      <c r="DN40" s="681">
        <v>0</v>
      </c>
      <c r="DO40" s="681">
        <v>0</v>
      </c>
      <c r="DP40" s="681">
        <v>0</v>
      </c>
      <c r="DQ40" s="682">
        <f>SUM(DM40:DP40)</f>
        <v>0</v>
      </c>
      <c r="DR40" s="681">
        <v>0</v>
      </c>
      <c r="DS40" s="681">
        <v>0</v>
      </c>
      <c r="DT40" s="681">
        <v>0</v>
      </c>
      <c r="DU40" s="681">
        <v>0</v>
      </c>
      <c r="DV40" s="682">
        <f>SUM(DR40:DU40)</f>
        <v>0</v>
      </c>
      <c r="DW40" s="681">
        <v>0</v>
      </c>
      <c r="DX40" s="681">
        <v>0</v>
      </c>
      <c r="DY40" s="681">
        <v>0</v>
      </c>
      <c r="DZ40" s="681">
        <v>0</v>
      </c>
      <c r="EA40" s="682">
        <f>SUM(DW40:DZ40)</f>
        <v>0</v>
      </c>
      <c r="EB40" s="681">
        <v>0</v>
      </c>
      <c r="EC40" s="681">
        <v>0</v>
      </c>
      <c r="ED40" s="681">
        <v>0</v>
      </c>
      <c r="EE40" s="681">
        <v>0</v>
      </c>
      <c r="EF40" s="682">
        <f>SUM(EB40:EE40)</f>
        <v>0</v>
      </c>
      <c r="EG40" s="681">
        <v>0</v>
      </c>
      <c r="EH40" s="681">
        <v>0</v>
      </c>
      <c r="EI40" s="681">
        <v>0</v>
      </c>
      <c r="EJ40" s="681">
        <v>0</v>
      </c>
      <c r="EK40" s="682">
        <f>SUM(EG40:EJ40)</f>
        <v>0</v>
      </c>
      <c r="EL40" s="681">
        <v>0</v>
      </c>
      <c r="EM40" s="681">
        <v>0</v>
      </c>
      <c r="EN40" s="681">
        <v>0</v>
      </c>
      <c r="EO40" s="681">
        <v>0</v>
      </c>
      <c r="EP40" s="682">
        <f>SUM(EL40:EO40)</f>
        <v>0</v>
      </c>
      <c r="EQ40" s="681">
        <v>0</v>
      </c>
      <c r="ER40" s="683">
        <v>0</v>
      </c>
      <c r="ES40" s="683">
        <v>0</v>
      </c>
      <c r="ET40" s="683">
        <v>0</v>
      </c>
      <c r="EU40" s="682">
        <f>SUM(EQ40:ET40)</f>
        <v>0</v>
      </c>
      <c r="EV40" s="683">
        <v>0</v>
      </c>
      <c r="EW40" s="683">
        <v>0</v>
      </c>
      <c r="EX40" s="683">
        <v>0</v>
      </c>
      <c r="EY40" s="683">
        <v>0</v>
      </c>
      <c r="EZ40" s="682">
        <f>SUM(EV40:EY40)</f>
        <v>0</v>
      </c>
      <c r="FA40" s="683">
        <v>0</v>
      </c>
      <c r="FB40" s="683">
        <v>0</v>
      </c>
      <c r="FC40" s="683">
        <v>0</v>
      </c>
      <c r="FD40" s="683">
        <v>0</v>
      </c>
      <c r="FE40" s="682">
        <f>SUM(FA40:FD40)</f>
        <v>0</v>
      </c>
      <c r="FF40" s="683">
        <v>0</v>
      </c>
      <c r="FG40" s="683">
        <v>0</v>
      </c>
      <c r="FH40" s="683">
        <v>0</v>
      </c>
      <c r="FI40" s="683">
        <v>0</v>
      </c>
      <c r="FJ40" s="682">
        <f>SUM(FF40:FI40)</f>
        <v>0</v>
      </c>
      <c r="FK40" s="683">
        <v>0</v>
      </c>
      <c r="FL40" s="683">
        <v>0</v>
      </c>
      <c r="FM40" s="683">
        <v>0</v>
      </c>
      <c r="FN40" s="683">
        <v>0</v>
      </c>
      <c r="FO40" s="682">
        <f>SUM(FK40:FN40)</f>
        <v>0</v>
      </c>
      <c r="FP40" s="682"/>
      <c r="FQ40" s="692"/>
    </row>
    <row r="41" spans="1:173" hidden="1" outlineLevel="1">
      <c r="A41" s="171" t="s">
        <v>407</v>
      </c>
      <c r="B41" s="681"/>
      <c r="C41" s="681"/>
      <c r="D41" s="681"/>
      <c r="E41" s="681"/>
      <c r="F41" s="682">
        <f>SUM(B41:E41)</f>
        <v>0</v>
      </c>
      <c r="G41" s="681"/>
      <c r="H41" s="681"/>
      <c r="I41" s="681"/>
      <c r="J41" s="681"/>
      <c r="K41" s="682">
        <f>SUM(G41:J41)</f>
        <v>0</v>
      </c>
      <c r="L41" s="681"/>
      <c r="M41" s="681"/>
      <c r="N41" s="681"/>
      <c r="O41" s="681"/>
      <c r="P41" s="682">
        <f>SUM(L41:O41)</f>
        <v>0</v>
      </c>
      <c r="Q41" s="681"/>
      <c r="R41" s="681"/>
      <c r="S41" s="681"/>
      <c r="T41" s="681"/>
      <c r="U41" s="682">
        <f>SUM(Q41:T41)</f>
        <v>0</v>
      </c>
      <c r="V41" s="681"/>
      <c r="W41" s="681"/>
      <c r="X41" s="681"/>
      <c r="Y41" s="681"/>
      <c r="Z41" s="682">
        <f>SUM(V41:Y41)</f>
        <v>0</v>
      </c>
      <c r="AA41" s="681"/>
      <c r="AB41" s="681"/>
      <c r="AC41" s="681"/>
      <c r="AD41" s="681"/>
      <c r="AE41" s="682">
        <f>SUM(AA41:AD41)</f>
        <v>0</v>
      </c>
      <c r="AF41" s="681">
        <f t="shared" ref="AF41:AS41" si="39">AF42/(1-AF35)</f>
        <v>23.061428571428568</v>
      </c>
      <c r="AG41" s="681">
        <f t="shared" si="39"/>
        <v>22.42394335403727</v>
      </c>
      <c r="AH41" s="681">
        <f t="shared" si="39"/>
        <v>24.804999999999993</v>
      </c>
      <c r="AI41" s="681">
        <f t="shared" si="39"/>
        <v>19.200677522138548</v>
      </c>
      <c r="AJ41" s="682">
        <f>SUM(AF41:AI41)</f>
        <v>89.491049447604382</v>
      </c>
      <c r="AK41" s="681">
        <f t="shared" si="39"/>
        <v>25.51821715302826</v>
      </c>
      <c r="AL41" s="681">
        <f t="shared" si="39"/>
        <v>26.761045516702524</v>
      </c>
      <c r="AM41" s="681">
        <f t="shared" si="39"/>
        <v>31.113990455581742</v>
      </c>
      <c r="AN41" s="681">
        <f t="shared" si="39"/>
        <v>24.109497802495344</v>
      </c>
      <c r="AO41" s="682">
        <f>SUM(AK41:AN41)</f>
        <v>107.50275092780787</v>
      </c>
      <c r="AP41" s="681">
        <f t="shared" si="39"/>
        <v>20.772499999999994</v>
      </c>
      <c r="AQ41" s="681">
        <f t="shared" si="39"/>
        <v>24.82365995430068</v>
      </c>
      <c r="AR41" s="681">
        <f t="shared" si="39"/>
        <v>22.829726393116818</v>
      </c>
      <c r="AS41" s="681">
        <f t="shared" si="39"/>
        <v>25.424875535430168</v>
      </c>
      <c r="AT41" s="682">
        <f>SUM(AP41:AS41)</f>
        <v>93.85076188284765</v>
      </c>
      <c r="AU41" s="681">
        <v>22.225000000000001</v>
      </c>
      <c r="AV41" s="681">
        <f>28.81</f>
        <v>28.81</v>
      </c>
      <c r="AW41" s="681">
        <v>31.734999999999999</v>
      </c>
      <c r="AX41" s="681">
        <v>33.908999999999999</v>
      </c>
      <c r="AY41" s="682">
        <f>SUM(AU41:AX41)</f>
        <v>116.679</v>
      </c>
      <c r="AZ41" s="681">
        <v>37.405000000000001</v>
      </c>
      <c r="BA41" s="681">
        <v>29.46</v>
      </c>
      <c r="BB41" s="681">
        <f>2.566+18.65+10.787</f>
        <v>32.003</v>
      </c>
      <c r="BC41" s="681">
        <f>2.809+19.146+12.542</f>
        <v>34.497</v>
      </c>
      <c r="BD41" s="682">
        <f>SUM(AZ41:BC41)</f>
        <v>133.36500000000001</v>
      </c>
      <c r="BE41" s="681">
        <f>3.136+24.534+14.454</f>
        <v>42.123999999999995</v>
      </c>
      <c r="BF41" s="681">
        <f>3.333+24.226+12.806</f>
        <v>40.364999999999995</v>
      </c>
      <c r="BG41" s="681">
        <f>3.558+22.74+12.086</f>
        <v>38.384</v>
      </c>
      <c r="BH41" s="681">
        <v>41.832999999999998</v>
      </c>
      <c r="BI41" s="682">
        <f>SUM(BE41:BH41)</f>
        <v>162.70599999999999</v>
      </c>
      <c r="BJ41" s="681">
        <f>2.23+31.883</f>
        <v>34.113</v>
      </c>
      <c r="BK41" s="681">
        <f>4.828+13.268+7.28</f>
        <v>25.376000000000001</v>
      </c>
      <c r="BL41" s="681">
        <f>2.65+12.853+7.479</f>
        <v>22.981999999999999</v>
      </c>
      <c r="BM41" s="681">
        <f>2.65+12.853+7.479</f>
        <v>22.981999999999999</v>
      </c>
      <c r="BN41" s="682">
        <f>SUM(BJ41:BM41)</f>
        <v>105.453</v>
      </c>
      <c r="BO41" s="681">
        <f>BO42/(1-BO35)</f>
        <v>28.481256450135909</v>
      </c>
      <c r="BP41" s="681">
        <f>2.289+14.5322+7.81</f>
        <v>24.6312</v>
      </c>
      <c r="BQ41" s="681">
        <f>2.49+14.104+8.585</f>
        <v>25.179000000000002</v>
      </c>
      <c r="BR41" s="681">
        <f>100.353-BQ41-BP41-BO41</f>
        <v>22.061543549864084</v>
      </c>
      <c r="BS41" s="682">
        <f>SUM(BO41:BR41)</f>
        <v>100.35299999999999</v>
      </c>
      <c r="BT41" s="681">
        <v>31.739000000000001</v>
      </c>
      <c r="BU41" s="681">
        <f>2.748+21.697+11.505</f>
        <v>35.950000000000003</v>
      </c>
      <c r="BV41" s="681">
        <f>3.049+19.308+10.872</f>
        <v>33.228999999999999</v>
      </c>
      <c r="BW41" s="681">
        <f>3.048+20.908+11.48</f>
        <v>35.436000000000007</v>
      </c>
      <c r="BX41" s="682">
        <f>SUM(BT41:BW41)</f>
        <v>136.35400000000001</v>
      </c>
      <c r="BY41" s="681">
        <f>2.526+21.207+11.836</f>
        <v>35.569000000000003</v>
      </c>
      <c r="BZ41" s="681">
        <f>2.649+18.885+10.721</f>
        <v>32.255000000000003</v>
      </c>
      <c r="CA41" s="681">
        <v>30.58</v>
      </c>
      <c r="CB41" s="681">
        <f>2.826+22.009+10.934</f>
        <v>35.768999999999998</v>
      </c>
      <c r="CC41" s="682">
        <f>SUM(BY41:CB41)</f>
        <v>134.173</v>
      </c>
      <c r="CD41" s="681">
        <f>2.653+21.935+8.809</f>
        <v>33.396999999999998</v>
      </c>
      <c r="CE41" s="681">
        <f>30.227+2.168</f>
        <v>32.395000000000003</v>
      </c>
      <c r="CF41" s="681">
        <f>3.09+20.902+10.307</f>
        <v>34.298999999999999</v>
      </c>
      <c r="CG41" s="681">
        <f>2.777+33.427</f>
        <v>36.204000000000001</v>
      </c>
      <c r="CH41" s="682">
        <f>SUM(CD41:CG41)</f>
        <v>136.29500000000002</v>
      </c>
      <c r="CI41" s="681">
        <f>32.602+2.919</f>
        <v>35.520999999999994</v>
      </c>
      <c r="CJ41" s="681">
        <f>2.656+21.462+14.297</f>
        <v>38.414999999999999</v>
      </c>
      <c r="CK41" s="681">
        <f>3.021+22.68+15.734</f>
        <v>41.435000000000002</v>
      </c>
      <c r="CL41" s="681">
        <f>3.426+23.719+15.325</f>
        <v>42.47</v>
      </c>
      <c r="CM41" s="682">
        <f>SUM(CI41:CL41)</f>
        <v>157.84100000000001</v>
      </c>
      <c r="CN41" s="681">
        <f>2+27+16</f>
        <v>45</v>
      </c>
      <c r="CO41" s="681">
        <f>3+27+17</f>
        <v>47</v>
      </c>
      <c r="CP41" s="681">
        <f>4+28+19</f>
        <v>51</v>
      </c>
      <c r="CQ41" s="681">
        <f>5+56</f>
        <v>61</v>
      </c>
      <c r="CR41" s="682">
        <f>SUM(CN41:CQ41)</f>
        <v>204</v>
      </c>
      <c r="CS41" s="681">
        <f>4+49</f>
        <v>53</v>
      </c>
      <c r="CT41" s="681">
        <f>4+30+24</f>
        <v>58</v>
      </c>
      <c r="CU41" s="681">
        <f>3+35+27</f>
        <v>65</v>
      </c>
      <c r="CV41" s="681">
        <f>4+40+27</f>
        <v>71</v>
      </c>
      <c r="CW41" s="682">
        <f>SUM(CS41:CV41)</f>
        <v>247</v>
      </c>
      <c r="CX41" s="681">
        <f>4+41+31</f>
        <v>76</v>
      </c>
      <c r="CY41" s="681">
        <f>4+44+33</f>
        <v>81</v>
      </c>
      <c r="CZ41" s="681">
        <f>6+61+40</f>
        <v>107</v>
      </c>
      <c r="DA41" s="681">
        <f>7+73+46</f>
        <v>126</v>
      </c>
      <c r="DB41" s="682">
        <f>SUM(CX41:DA41)</f>
        <v>390</v>
      </c>
      <c r="DC41" s="681">
        <f>8+74+47</f>
        <v>129</v>
      </c>
      <c r="DD41" s="681">
        <f>8+76+48-1</f>
        <v>131</v>
      </c>
      <c r="DE41" s="681">
        <f>DE42/(1-DE35)</f>
        <v>151.07814045499504</v>
      </c>
      <c r="DF41" s="681">
        <f>DF42/(1-DF35)</f>
        <v>161.50588235294117</v>
      </c>
      <c r="DG41" s="682">
        <f>SUM(DC41:DF41)</f>
        <v>572.58402280793621</v>
      </c>
      <c r="DH41" s="681">
        <f>DH42/(1-DH35)</f>
        <v>199.94520547945206</v>
      </c>
      <c r="DI41" s="681">
        <f>DI42/(1-DI35)</f>
        <v>255.2267657992565</v>
      </c>
      <c r="DJ41" s="681">
        <f>DJ42/(1-DJ35)</f>
        <v>244.81797497155858</v>
      </c>
      <c r="DK41" s="681">
        <f>DK42/(1-DK35)</f>
        <v>237.10084033613447</v>
      </c>
      <c r="DL41" s="682">
        <f>SUM(DH41:DK41)</f>
        <v>937.09078658640169</v>
      </c>
      <c r="DM41" s="681">
        <f>DM42/(1-DM35)</f>
        <v>247.49999999999997</v>
      </c>
      <c r="DN41" s="681">
        <f>DN42/(1-DN35)</f>
        <v>415.84879032258067</v>
      </c>
      <c r="DO41" s="681">
        <f>DO42/(1-DO35)</f>
        <v>413.09097174362512</v>
      </c>
      <c r="DP41" s="681">
        <f>DP42/(1-DP35)</f>
        <v>440.5577922077922</v>
      </c>
      <c r="DQ41" s="682">
        <f>SUM(DM41:DP41)</f>
        <v>1516.997554273998</v>
      </c>
      <c r="DR41" s="681">
        <f>DR42/(1-DR35)</f>
        <v>474.31369426751593</v>
      </c>
      <c r="DS41" s="681">
        <f>DS42/(1-DS35)</f>
        <v>550.97544022242812</v>
      </c>
      <c r="DT41" s="681">
        <f>DT42/(1-DT35)</f>
        <v>642.59527754763883</v>
      </c>
      <c r="DU41" s="681">
        <f>DU42/(1-DU35)</f>
        <v>605.13540550196501</v>
      </c>
      <c r="DV41" s="682">
        <f>SUM(DR41:DU41)</f>
        <v>2273.0198175395481</v>
      </c>
      <c r="DW41" s="681">
        <f>DW42/(1-DW35)</f>
        <v>656.39848968922445</v>
      </c>
      <c r="DX41" s="681">
        <f>DX42/(1-DX35)</f>
        <v>657.03715170278633</v>
      </c>
      <c r="DY41" s="681">
        <f>DY42/(1-DY35)</f>
        <v>798.21428571428567</v>
      </c>
      <c r="DZ41" s="681">
        <f>DZ42/(1-DZ35)</f>
        <v>770.61315547378115</v>
      </c>
      <c r="EA41" s="682">
        <f>SUM(DW41:DZ41)</f>
        <v>2882.2630825800779</v>
      </c>
      <c r="EB41" s="681">
        <f>EB42/(1-EB35)</f>
        <v>849.59823074087728</v>
      </c>
      <c r="EC41" s="681">
        <f>EC42/(1-EC35)</f>
        <v>986.41424332344218</v>
      </c>
      <c r="ED41" s="681">
        <f>ED42/(1-ED35)</f>
        <v>1146.2702594810378</v>
      </c>
      <c r="EE41" s="681">
        <f>EE42/(1-EE35)</f>
        <v>1158.6675753563361</v>
      </c>
      <c r="EF41" s="682">
        <f>SUM(EB41:EE41)</f>
        <v>4140.9503089016935</v>
      </c>
      <c r="EG41" s="681">
        <f>EG42/(1-EG35)</f>
        <v>1218.2025856411603</v>
      </c>
      <c r="EH41" s="681">
        <f>EH42/(1-EH35)</f>
        <v>1383.0709060877773</v>
      </c>
      <c r="EI41" s="681">
        <f>EI42/(1-EI35)</f>
        <v>1482.0651674162918</v>
      </c>
      <c r="EJ41" s="681">
        <f>EJ42/(1-EJ35)</f>
        <v>1554.8959031994925</v>
      </c>
      <c r="EK41" s="682">
        <f>SUM(EG41:EJ41)</f>
        <v>5638.2345623447218</v>
      </c>
      <c r="EL41" s="681">
        <f>EL42/(1-EL35)</f>
        <v>1757.7009148486979</v>
      </c>
      <c r="EM41" s="681">
        <f>EM42/(1-EM35)</f>
        <v>1932.7634487840824</v>
      </c>
      <c r="EN41" s="681">
        <f>EN42/(1-EN35)</f>
        <v>1996.6592690527905</v>
      </c>
      <c r="EO41" s="681">
        <f>EO42/(1-EO35)</f>
        <v>1929.237231998382</v>
      </c>
      <c r="EP41" s="682">
        <f>SUM(EL41:EO41)</f>
        <v>7616.360864683953</v>
      </c>
      <c r="EQ41" s="681">
        <f>EQ42/(1-EQ35)</f>
        <v>2280.982054090488</v>
      </c>
      <c r="ER41" s="681">
        <f>ER42/(1-ER35)</f>
        <v>2006.3614457831327</v>
      </c>
      <c r="ES41" s="681">
        <f>ES42/(1-ES35)</f>
        <v>2046.0067469879518</v>
      </c>
      <c r="ET41" s="681">
        <f>ET42/(1-ET35)</f>
        <v>2086.4208578313255</v>
      </c>
      <c r="EU41" s="682">
        <f>SUM(EQ41:ET41)</f>
        <v>8419.7711046928998</v>
      </c>
      <c r="EV41" s="681">
        <f>EV42/(1-EV35)</f>
        <v>2127.6191545060246</v>
      </c>
      <c r="EW41" s="681">
        <f>EW42/(1-EW35)</f>
        <v>2169.6173207286752</v>
      </c>
      <c r="EX41" s="681">
        <f>EX42/(1-EX35)</f>
        <v>2212.4313538902366</v>
      </c>
      <c r="EY41" s="681">
        <f>EY42/(1-EY35)</f>
        <v>2256.077571329487</v>
      </c>
      <c r="EZ41" s="682">
        <f>SUM(EV41:EY41)</f>
        <v>8765.7454004544234</v>
      </c>
      <c r="FA41" s="681">
        <f>FA42/(1-FA35)</f>
        <v>2300.5726167319804</v>
      </c>
      <c r="FB41" s="681">
        <f>FB42/(1-FB35)</f>
        <v>2345.9334666569812</v>
      </c>
      <c r="FC41" s="681">
        <f>FC42/(1-FC35)</f>
        <v>2392.17743719494</v>
      </c>
      <c r="FD41" s="681">
        <f>FD42/(1-FD35)</f>
        <v>2439.3221907581164</v>
      </c>
      <c r="FE41" s="682">
        <f>SUM(FA41:FD41)</f>
        <v>9478.0057113420189</v>
      </c>
      <c r="FF41" s="681">
        <f>FF42/(1-FF35)</f>
        <v>2487.3857430070138</v>
      </c>
      <c r="FG41" s="681">
        <f>FG42/(1-FG35)</f>
        <v>2536.3864699153469</v>
      </c>
      <c r="FH41" s="681">
        <f>FH42/(1-FH35)</f>
        <v>2586.3431149763042</v>
      </c>
      <c r="FI41" s="681">
        <f>FI42/(1-FI35)</f>
        <v>2637.2747965529388</v>
      </c>
      <c r="FJ41" s="682">
        <f>SUM(FF41:FI41)</f>
        <v>10247.390124451602</v>
      </c>
      <c r="FK41" s="681">
        <f>FK42/(1-FK35)</f>
        <v>2689.2010153755641</v>
      </c>
      <c r="FL41" s="681">
        <f>FL42/(1-FL35)</f>
        <v>2742.1416621890994</v>
      </c>
      <c r="FM41" s="681">
        <f>FM42/(1-FM35)</f>
        <v>2796.1170255533634</v>
      </c>
      <c r="FN41" s="681">
        <f>FN42/(1-FN35)</f>
        <v>2851.1477997993702</v>
      </c>
      <c r="FO41" s="682">
        <f>SUM(FK41:FN41)</f>
        <v>11078.607502917397</v>
      </c>
      <c r="FP41" s="682"/>
      <c r="FQ41" s="692"/>
    </row>
    <row r="42" spans="1:173" hidden="1" outlineLevel="1">
      <c r="A42" s="171" t="s">
        <v>408</v>
      </c>
      <c r="B42" s="681"/>
      <c r="C42" s="681"/>
      <c r="D42" s="681"/>
      <c r="E42" s="681"/>
      <c r="F42" s="682">
        <f>SUM(B42:E42)</f>
        <v>0</v>
      </c>
      <c r="G42" s="681"/>
      <c r="H42" s="681"/>
      <c r="I42" s="681"/>
      <c r="J42" s="681"/>
      <c r="K42" s="682">
        <f>SUM(G42:J42)</f>
        <v>0</v>
      </c>
      <c r="L42" s="681"/>
      <c r="M42" s="681"/>
      <c r="N42" s="681"/>
      <c r="O42" s="681"/>
      <c r="P42" s="682">
        <f>SUM(L42:O42)</f>
        <v>0</v>
      </c>
      <c r="Q42" s="681"/>
      <c r="R42" s="681"/>
      <c r="S42" s="681"/>
      <c r="T42" s="681"/>
      <c r="U42" s="682">
        <f>SUM(Q42:T42)</f>
        <v>0</v>
      </c>
      <c r="V42" s="681"/>
      <c r="W42" s="681"/>
      <c r="X42" s="681"/>
      <c r="Y42" s="681"/>
      <c r="Z42" s="682">
        <f>SUM(V42:Y42)</f>
        <v>0</v>
      </c>
      <c r="AA42" s="681"/>
      <c r="AB42" s="681"/>
      <c r="AC42" s="681"/>
      <c r="AD42" s="681"/>
      <c r="AE42" s="682">
        <f>SUM(AA42:AD42)</f>
        <v>0</v>
      </c>
      <c r="AF42" s="681">
        <v>16.143000000000001</v>
      </c>
      <c r="AG42" s="681">
        <v>20.312000000000001</v>
      </c>
      <c r="AH42" s="681">
        <f>20.075-0.231</f>
        <v>19.843999999999998</v>
      </c>
      <c r="AI42" s="681">
        <v>17.677000000000007</v>
      </c>
      <c r="AJ42" s="682">
        <f>SUM(AF42:AI42)</f>
        <v>73.975999999999999</v>
      </c>
      <c r="AK42" s="681">
        <f>20.72-0.306</f>
        <v>20.413999999999998</v>
      </c>
      <c r="AL42" s="681">
        <f>21.699-0.291</f>
        <v>21.408000000000001</v>
      </c>
      <c r="AM42" s="681">
        <f>25.135-0.244</f>
        <v>24.891000000000002</v>
      </c>
      <c r="AN42" s="681">
        <v>19.287999999999982</v>
      </c>
      <c r="AO42" s="682">
        <f>SUM(AK42:AN42)</f>
        <v>86.000999999999991</v>
      </c>
      <c r="AP42" s="681">
        <f>16.846-0.228</f>
        <v>16.617999999999999</v>
      </c>
      <c r="AQ42" s="681">
        <f>22.034-0.244</f>
        <v>21.79</v>
      </c>
      <c r="AR42" s="681">
        <f>19.402-0.225</f>
        <v>19.177</v>
      </c>
      <c r="AS42" s="681">
        <f>79.862-0.92-SUM(AP42:AR42)</f>
        <v>21.356999999999992</v>
      </c>
      <c r="AT42" s="682">
        <f>SUM(AP42:AS42)</f>
        <v>78.941999999999993</v>
      </c>
      <c r="AU42" s="681">
        <f>AU41-2.736</f>
        <v>19.489000000000001</v>
      </c>
      <c r="AV42" s="681">
        <v>25.856999999999999</v>
      </c>
      <c r="AW42" s="681">
        <f>0.88*AW41</f>
        <v>27.9268</v>
      </c>
      <c r="AX42" s="681">
        <f>0.88*AX41</f>
        <v>29.839919999999999</v>
      </c>
      <c r="AY42" s="682">
        <f>SUM(AU42:AX42)</f>
        <v>103.11272</v>
      </c>
      <c r="AZ42" s="681">
        <f>AZ41-5.237</f>
        <v>32.167999999999999</v>
      </c>
      <c r="BA42" s="681">
        <f>BA41-4.125</f>
        <v>25.335000000000001</v>
      </c>
      <c r="BB42" s="681">
        <f>BB41-3.491</f>
        <v>28.512</v>
      </c>
      <c r="BC42" s="681">
        <f>BC41-2.902</f>
        <v>31.594999999999999</v>
      </c>
      <c r="BD42" s="682">
        <f>SUM(AZ42:BC42)</f>
        <v>117.61</v>
      </c>
      <c r="BE42" s="681">
        <f>BE41-7.161</f>
        <v>34.962999999999994</v>
      </c>
      <c r="BF42" s="681">
        <f>BF41-0.17*BF41</f>
        <v>33.502949999999998</v>
      </c>
      <c r="BG42" s="681">
        <f>BG41-1.54</f>
        <v>36.844000000000001</v>
      </c>
      <c r="BH42" s="681">
        <v>34.799999999999997</v>
      </c>
      <c r="BI42" s="682">
        <f>SUM(BE42:BH42)</f>
        <v>140.10994999999997</v>
      </c>
      <c r="BJ42" s="681">
        <f>(1-0.104)*BJ41</f>
        <v>30.565248</v>
      </c>
      <c r="BK42" s="681">
        <f>BK41</f>
        <v>25.376000000000001</v>
      </c>
      <c r="BL42" s="681">
        <v>23</v>
      </c>
      <c r="BM42" s="681">
        <v>23</v>
      </c>
      <c r="BN42" s="682">
        <f>SUM(BJ42:BM42)</f>
        <v>101.941248</v>
      </c>
      <c r="BO42" s="681">
        <v>26</v>
      </c>
      <c r="BP42" s="681">
        <f t="shared" ref="BP42:BW42" si="40">BP41*(1-BP35)</f>
        <v>19.931141636151441</v>
      </c>
      <c r="BQ42" s="681">
        <f t="shared" si="40"/>
        <v>20.627893015397984</v>
      </c>
      <c r="BR42" s="681">
        <f t="shared" si="40"/>
        <v>19.621879738223722</v>
      </c>
      <c r="BS42" s="682">
        <f>SUM(BO42:BR42)</f>
        <v>86.18091438977315</v>
      </c>
      <c r="BT42" s="681">
        <f t="shared" si="40"/>
        <v>27.425733079847912</v>
      </c>
      <c r="BU42" s="681">
        <f t="shared" si="40"/>
        <v>30.905592110594302</v>
      </c>
      <c r="BV42" s="681">
        <f t="shared" si="40"/>
        <v>29.057438892045454</v>
      </c>
      <c r="BW42" s="681">
        <f t="shared" si="40"/>
        <v>33.222818920754555</v>
      </c>
      <c r="BX42" s="682">
        <f>SUM(BT42:BW42)</f>
        <v>120.61158300324223</v>
      </c>
      <c r="BY42" s="681">
        <f>BY41*(1-0.15)</f>
        <v>30.233650000000001</v>
      </c>
      <c r="BZ42" s="681">
        <f>BZ41*(1-0.18)</f>
        <v>26.449100000000005</v>
      </c>
      <c r="CA42" s="681">
        <f>CA41*(1-0.17)</f>
        <v>25.381399999999996</v>
      </c>
      <c r="CB42" s="681">
        <f>CB41*(1-0.062)</f>
        <v>33.551321999999999</v>
      </c>
      <c r="CC42" s="682">
        <f>SUM(BY42:CB42)</f>
        <v>115.615472</v>
      </c>
      <c r="CD42" s="681">
        <f>CD41*(1-0.105)</f>
        <v>29.890314999999998</v>
      </c>
      <c r="CE42" s="681">
        <f>CE41*(1-0.16)</f>
        <v>27.2118</v>
      </c>
      <c r="CF42" s="681">
        <v>30.8</v>
      </c>
      <c r="CG42" s="681">
        <f>CG41*(1-0.105)</f>
        <v>32.40258</v>
      </c>
      <c r="CH42" s="682">
        <f>SUM(CD42:CG42)</f>
        <v>120.304695</v>
      </c>
      <c r="CI42" s="681">
        <f>+CI41-5</f>
        <v>30.520999999999994</v>
      </c>
      <c r="CJ42" s="681">
        <f>+CJ41-5</f>
        <v>33.414999999999999</v>
      </c>
      <c r="CK42" s="681">
        <f>+CK41-7</f>
        <v>34.435000000000002</v>
      </c>
      <c r="CL42" s="681">
        <f>+CL41-7</f>
        <v>35.47</v>
      </c>
      <c r="CM42" s="682">
        <f>SUM(CI42:CL42)</f>
        <v>133.84100000000001</v>
      </c>
      <c r="CN42" s="681">
        <f>+CN41-9</f>
        <v>36</v>
      </c>
      <c r="CO42" s="681">
        <f>+CO41-9</f>
        <v>38</v>
      </c>
      <c r="CP42" s="681">
        <f>+CP41-1</f>
        <v>50</v>
      </c>
      <c r="CQ42" s="681">
        <f>+CQ41-4</f>
        <v>57</v>
      </c>
      <c r="CR42" s="682">
        <f>SUM(CN42:CQ42)</f>
        <v>181</v>
      </c>
      <c r="CS42" s="681">
        <f>+CS41-5</f>
        <v>48</v>
      </c>
      <c r="CT42" s="681">
        <f>+CT41-1</f>
        <v>57</v>
      </c>
      <c r="CU42" s="681">
        <f>+CU41</f>
        <v>65</v>
      </c>
      <c r="CV42" s="681">
        <f>+CV41</f>
        <v>71</v>
      </c>
      <c r="CW42" s="682">
        <f>SUM(CS42:CV42)</f>
        <v>241</v>
      </c>
      <c r="CX42" s="681">
        <f>+CX41</f>
        <v>76</v>
      </c>
      <c r="CY42" s="681">
        <f>+CY41</f>
        <v>81</v>
      </c>
      <c r="CZ42" s="681">
        <f>+CZ41</f>
        <v>107</v>
      </c>
      <c r="DA42" s="681">
        <f>+DA41</f>
        <v>126</v>
      </c>
      <c r="DB42" s="682">
        <f>SUM(CX42:DA42)</f>
        <v>390</v>
      </c>
      <c r="DC42" s="681">
        <f>+DC41</f>
        <v>129</v>
      </c>
      <c r="DD42" s="681">
        <f>+DD41</f>
        <v>131</v>
      </c>
      <c r="DE42" s="681">
        <f>5+88+47</f>
        <v>140</v>
      </c>
      <c r="DF42" s="681">
        <f>6+99+51</f>
        <v>156</v>
      </c>
      <c r="DG42" s="682">
        <f>SUM(DC42:DF42)</f>
        <v>556</v>
      </c>
      <c r="DH42" s="681">
        <f>4+114+60</f>
        <v>178</v>
      </c>
      <c r="DI42" s="681">
        <f>8+145+71</f>
        <v>224</v>
      </c>
      <c r="DJ42" s="681">
        <f>15+141+67</f>
        <v>223</v>
      </c>
      <c r="DK42" s="681">
        <f>12+140+68</f>
        <v>220</v>
      </c>
      <c r="DL42" s="682">
        <f>SUM(DH42:DK42)</f>
        <v>845</v>
      </c>
      <c r="DM42" s="681">
        <f>21+134+69</f>
        <v>224</v>
      </c>
      <c r="DN42" s="681">
        <f>14+228+132</f>
        <v>374</v>
      </c>
      <c r="DO42" s="681">
        <f>28+232+123</f>
        <v>383</v>
      </c>
      <c r="DP42" s="681">
        <f>26+266+125</f>
        <v>417</v>
      </c>
      <c r="DQ42" s="682">
        <f>SUM(DM42:DP42)</f>
        <v>1398</v>
      </c>
      <c r="DR42" s="681">
        <f>25+276+128</f>
        <v>429</v>
      </c>
      <c r="DS42" s="681">
        <f>32+297+136</f>
        <v>465</v>
      </c>
      <c r="DT42" s="681">
        <f>44+363+152</f>
        <v>559</v>
      </c>
      <c r="DU42" s="681">
        <f>39+362+150</f>
        <v>551</v>
      </c>
      <c r="DV42" s="682">
        <f>SUM(DR42:DU42)</f>
        <v>2004</v>
      </c>
      <c r="DW42" s="681">
        <v>578</v>
      </c>
      <c r="DX42" s="681">
        <f>38+452+159</f>
        <v>649</v>
      </c>
      <c r="DY42" s="681">
        <f>32+530+183</f>
        <v>745</v>
      </c>
      <c r="DZ42" s="681">
        <f>30+527+182</f>
        <v>739</v>
      </c>
      <c r="EA42" s="682">
        <f>SUM(DW42:DZ42)</f>
        <v>2711</v>
      </c>
      <c r="EB42" s="681">
        <f>27+524+184</f>
        <v>735</v>
      </c>
      <c r="EC42" s="681">
        <f>31+600+211</f>
        <v>842</v>
      </c>
      <c r="ED42" s="681">
        <f>38+701+240</f>
        <v>979</v>
      </c>
      <c r="EE42" s="681">
        <f>45+706+242</f>
        <v>993</v>
      </c>
      <c r="EF42" s="682">
        <f>SUM(EB42:EE42)</f>
        <v>3549</v>
      </c>
      <c r="EG42" s="681">
        <f>36+727+248</f>
        <v>1011</v>
      </c>
      <c r="EH42" s="681">
        <f>40+832+282</f>
        <v>1154</v>
      </c>
      <c r="EI42" s="681">
        <f>50+910+292</f>
        <v>1252</v>
      </c>
      <c r="EJ42" s="681">
        <f>53+955+313</f>
        <v>1321</v>
      </c>
      <c r="EK42" s="682">
        <f>SUM(EG42:EJ42)</f>
        <v>4738</v>
      </c>
      <c r="EL42" s="681">
        <v>1474</v>
      </c>
      <c r="EM42" s="681">
        <f>1566+58</f>
        <v>1624</v>
      </c>
      <c r="EN42" s="681">
        <f>70+1585</f>
        <v>1655</v>
      </c>
      <c r="EO42" s="681">
        <f>69+1564</f>
        <v>1633</v>
      </c>
      <c r="EP42" s="682">
        <f>SUM(EL42:EO42)</f>
        <v>6386</v>
      </c>
      <c r="EQ42" s="681">
        <v>1928</v>
      </c>
      <c r="ER42" s="683">
        <f>+Worksheet!CY20+Worksheet!CY29</f>
        <v>1665.28</v>
      </c>
      <c r="ES42" s="683">
        <f>+Worksheet!CZ20+Worksheet!CZ29</f>
        <v>1698.1856</v>
      </c>
      <c r="ET42" s="683">
        <f>+Worksheet!DA20+Worksheet!DA29</f>
        <v>1731.7293120000002</v>
      </c>
      <c r="EU42" s="682">
        <f>SUM(EQ42:ET42)</f>
        <v>7023.1949119999999</v>
      </c>
      <c r="EV42" s="683">
        <f>+Worksheet!DB20+Worksheet!DB29</f>
        <v>1765.9238982400002</v>
      </c>
      <c r="EW42" s="683">
        <f>+Worksheet!DC20+Worksheet!DC29</f>
        <v>1800.7823762048001</v>
      </c>
      <c r="EX42" s="683">
        <f>+Worksheet!DD20+Worksheet!DD29</f>
        <v>1836.3180237288962</v>
      </c>
      <c r="EY42" s="683">
        <f>+Worksheet!DE20+Worksheet!DE29</f>
        <v>1872.544384203474</v>
      </c>
      <c r="EZ42" s="682">
        <f>SUM(EV42:EY42)</f>
        <v>7275.5686823771703</v>
      </c>
      <c r="FA42" s="683">
        <f>+Worksheet!DF20+Worksheet!DF29</f>
        <v>1909.4752718875436</v>
      </c>
      <c r="FB42" s="683">
        <f>+Worksheet!DG20+Worksheet!DG29</f>
        <v>1947.1247773252944</v>
      </c>
      <c r="FC42" s="683">
        <f>+Worksheet!DH20+Worksheet!DH29</f>
        <v>1985.5072728718003</v>
      </c>
      <c r="FD42" s="683">
        <f>+Worksheet!DI20+Worksheet!DI29</f>
        <v>2024.6374183292364</v>
      </c>
      <c r="FE42" s="682">
        <f>SUM(FA42:FD42)</f>
        <v>7866.7447404138748</v>
      </c>
      <c r="FF42" s="683">
        <f>+Worksheet!DJ20+Worksheet!DJ29</f>
        <v>2064.5301666958212</v>
      </c>
      <c r="FG42" s="683">
        <f>+Worksheet!DK20+Worksheet!DK29</f>
        <v>2105.2007700297377</v>
      </c>
      <c r="FH42" s="683">
        <f>+Worksheet!DL20+Worksheet!DL29</f>
        <v>2146.6647854303324</v>
      </c>
      <c r="FI42" s="683">
        <f>+Worksheet!DM20+Worksheet!DM29</f>
        <v>2188.9380811389392</v>
      </c>
      <c r="FJ42" s="682">
        <f>SUM(FF42:FI42)</f>
        <v>8505.3338032948304</v>
      </c>
      <c r="FK42" s="683">
        <f>+Worksheet!DN20+Worksheet!DN29</f>
        <v>2232.0368427617182</v>
      </c>
      <c r="FL42" s="683">
        <f>+Worksheet!DO20+Worksheet!DO29</f>
        <v>2275.9775796169524</v>
      </c>
      <c r="FM42" s="683">
        <f>+Worksheet!DP20+Worksheet!DP29</f>
        <v>2320.7771312092914</v>
      </c>
      <c r="FN42" s="683">
        <f>+Worksheet!DQ20+Worksheet!DQ29</f>
        <v>2366.4526738334771</v>
      </c>
      <c r="FO42" s="682">
        <f>SUM(FK42:FN42)</f>
        <v>9195.2442274214391</v>
      </c>
      <c r="FP42" s="682"/>
      <c r="FQ42" s="692"/>
    </row>
    <row r="43" spans="1:173" collapsed="1">
      <c r="B43" s="172"/>
      <c r="C43" s="172"/>
      <c r="D43" s="172"/>
      <c r="E43" s="172"/>
      <c r="F43" s="681"/>
      <c r="G43" s="172"/>
      <c r="H43" s="172"/>
      <c r="I43" s="172"/>
      <c r="J43" s="172"/>
      <c r="K43" s="681"/>
      <c r="L43" s="172"/>
      <c r="M43" s="172"/>
      <c r="N43" s="172"/>
      <c r="O43" s="172"/>
      <c r="P43" s="681"/>
      <c r="Q43" s="172"/>
      <c r="R43" s="172"/>
      <c r="S43" s="172"/>
      <c r="T43" s="172"/>
      <c r="U43" s="681"/>
      <c r="V43" s="172"/>
      <c r="W43" s="172"/>
      <c r="X43" s="172"/>
      <c r="Y43" s="172"/>
      <c r="Z43" s="681"/>
      <c r="AA43" s="172"/>
      <c r="AB43" s="172"/>
      <c r="AC43" s="172"/>
      <c r="AD43" s="172"/>
      <c r="AE43" s="681"/>
      <c r="AF43" s="172"/>
      <c r="AG43" s="172"/>
      <c r="AH43" s="172"/>
      <c r="AI43" s="172"/>
      <c r="AJ43" s="681"/>
      <c r="AK43" s="172"/>
      <c r="AL43" s="172"/>
      <c r="AM43" s="172"/>
      <c r="AN43" s="172"/>
      <c r="AO43" s="681"/>
      <c r="AP43" s="172"/>
      <c r="AQ43" s="172"/>
      <c r="AR43" s="172"/>
      <c r="AS43" s="172"/>
      <c r="AT43" s="681"/>
      <c r="AU43" s="172"/>
      <c r="AV43" s="172"/>
      <c r="AW43" s="172"/>
      <c r="AX43" s="172"/>
      <c r="AY43" s="681"/>
      <c r="AZ43" s="172"/>
      <c r="BA43" s="172"/>
      <c r="BB43" s="172"/>
      <c r="BC43" s="172"/>
      <c r="BD43" s="681"/>
      <c r="BE43" s="172"/>
      <c r="BF43" s="172"/>
      <c r="BG43" s="172"/>
      <c r="BH43" s="172"/>
      <c r="BI43" s="681"/>
      <c r="BJ43" s="172"/>
      <c r="BK43" s="172"/>
      <c r="BL43" s="172"/>
      <c r="BM43" s="172"/>
      <c r="BN43" s="681"/>
      <c r="BO43" s="172"/>
      <c r="BP43" s="172"/>
      <c r="BQ43" s="172"/>
      <c r="BR43" s="172"/>
      <c r="BS43" s="681"/>
      <c r="BT43" s="172"/>
      <c r="BU43" s="172"/>
      <c r="BV43" s="172"/>
      <c r="BW43" s="172"/>
      <c r="BX43" s="681"/>
      <c r="BY43" s="172"/>
      <c r="BZ43" s="172"/>
      <c r="CA43" s="172"/>
      <c r="CB43" s="172"/>
      <c r="CC43" s="681"/>
      <c r="CD43" s="172"/>
      <c r="CE43" s="172"/>
      <c r="CF43" s="172"/>
      <c r="CG43" s="172"/>
      <c r="CH43" s="681"/>
      <c r="CI43" s="172"/>
      <c r="CJ43" s="172"/>
      <c r="CK43" s="172"/>
      <c r="CL43" s="172"/>
      <c r="CM43" s="183"/>
      <c r="CN43" s="172"/>
      <c r="CO43" s="172"/>
      <c r="CP43" s="172"/>
      <c r="CQ43" s="172"/>
      <c r="CR43" s="183"/>
      <c r="CS43" s="184"/>
      <c r="CT43" s="184"/>
      <c r="CU43" s="184"/>
      <c r="CV43" s="184"/>
      <c r="CW43" s="183"/>
      <c r="CX43" s="184"/>
      <c r="CY43" s="184"/>
      <c r="CZ43" s="184"/>
      <c r="DA43" s="184"/>
      <c r="DB43" s="183"/>
      <c r="DC43" s="184"/>
      <c r="DD43" s="184"/>
      <c r="DE43" s="184"/>
      <c r="DF43" s="184"/>
      <c r="DG43" s="183"/>
      <c r="DH43" s="184"/>
      <c r="DI43" s="184"/>
      <c r="DJ43" s="184"/>
      <c r="DK43" s="184"/>
      <c r="DL43" s="183"/>
      <c r="DM43" s="184"/>
      <c r="DN43" s="184"/>
      <c r="DO43" s="184"/>
      <c r="DP43" s="184"/>
      <c r="DQ43" s="183"/>
      <c r="DR43" s="184"/>
      <c r="DS43" s="184"/>
      <c r="DT43" s="184"/>
      <c r="DU43" s="184"/>
      <c r="DV43" s="183"/>
      <c r="DW43" s="184"/>
      <c r="DX43" s="185"/>
      <c r="DY43" s="185"/>
      <c r="DZ43" s="185"/>
      <c r="EA43" s="183"/>
      <c r="EB43" s="185"/>
      <c r="EC43" s="185"/>
      <c r="ED43" s="185"/>
      <c r="EE43" s="185"/>
      <c r="EF43" s="183"/>
      <c r="EG43" s="185"/>
      <c r="EH43" s="185"/>
      <c r="EI43" s="185"/>
      <c r="EJ43" s="185"/>
      <c r="EK43" s="183"/>
      <c r="EL43" s="185"/>
      <c r="EM43" s="185"/>
      <c r="EN43" s="185"/>
      <c r="EO43" s="185"/>
      <c r="EP43" s="183"/>
      <c r="EQ43" s="185"/>
      <c r="ER43" s="184"/>
      <c r="ES43" s="184"/>
      <c r="ET43" s="184"/>
      <c r="EU43" s="183"/>
      <c r="EV43" s="184"/>
      <c r="EW43" s="184"/>
      <c r="EX43" s="184"/>
      <c r="EY43" s="184"/>
      <c r="EZ43" s="183"/>
      <c r="FA43" s="184"/>
      <c r="FB43" s="184"/>
      <c r="FC43" s="184"/>
      <c r="FD43" s="184"/>
      <c r="FE43" s="183"/>
      <c r="FF43" s="184"/>
      <c r="FG43" s="184"/>
      <c r="FH43" s="184"/>
      <c r="FI43" s="184"/>
      <c r="FJ43" s="183"/>
      <c r="FK43" s="184"/>
      <c r="FL43" s="184"/>
      <c r="FM43" s="184"/>
      <c r="FN43" s="184"/>
      <c r="FO43" s="183"/>
      <c r="FP43" s="183"/>
    </row>
    <row r="44" spans="1:173">
      <c r="A44" s="171" t="s">
        <v>409</v>
      </c>
      <c r="B44" s="681">
        <f>B37+B39+B40</f>
        <v>-1.1760000000000002</v>
      </c>
      <c r="C44" s="681">
        <f>C37+C39</f>
        <v>-1.2650000000000001</v>
      </c>
      <c r="D44" s="681">
        <f t="shared" ref="D44:AI44" si="41">D37+D39+D40</f>
        <v>-2.5719999999999996</v>
      </c>
      <c r="E44" s="681">
        <f t="shared" si="41"/>
        <v>1.4240000000000017</v>
      </c>
      <c r="F44" s="682">
        <f>SUM(B44:E44)</f>
        <v>-3.5889999999999982</v>
      </c>
      <c r="G44" s="681">
        <f t="shared" si="41"/>
        <v>-1.0209999999999979</v>
      </c>
      <c r="H44" s="681">
        <f t="shared" si="41"/>
        <v>-9.652000000000001</v>
      </c>
      <c r="I44" s="681">
        <f t="shared" si="41"/>
        <v>7.140999999999992</v>
      </c>
      <c r="J44" s="681">
        <f t="shared" si="41"/>
        <v>7.662000000000007</v>
      </c>
      <c r="K44" s="682">
        <f>SUM(G44:J44)</f>
        <v>4.1300000000000008</v>
      </c>
      <c r="L44" s="681">
        <f t="shared" si="41"/>
        <v>6.2610000000000046</v>
      </c>
      <c r="M44" s="681">
        <f t="shared" si="41"/>
        <v>7.0769999999999973</v>
      </c>
      <c r="N44" s="681">
        <f t="shared" si="41"/>
        <v>13.029</v>
      </c>
      <c r="O44" s="681">
        <f t="shared" si="41"/>
        <v>14.592000000000011</v>
      </c>
      <c r="P44" s="682">
        <f>SUM(L44:O44)</f>
        <v>40.95900000000001</v>
      </c>
      <c r="Q44" s="681">
        <f t="shared" si="41"/>
        <v>14.695</v>
      </c>
      <c r="R44" s="681">
        <f t="shared" si="41"/>
        <v>23.637000000000018</v>
      </c>
      <c r="S44" s="681">
        <f t="shared" si="41"/>
        <v>28.319999999999997</v>
      </c>
      <c r="T44" s="681">
        <f t="shared" si="41"/>
        <v>31.81699999999995</v>
      </c>
      <c r="U44" s="682">
        <f>SUM(Q44:T44)</f>
        <v>98.468999999999966</v>
      </c>
      <c r="V44" s="681">
        <f t="shared" si="41"/>
        <v>26.649999999999995</v>
      </c>
      <c r="W44" s="681">
        <f t="shared" si="41"/>
        <v>32.926000000000016</v>
      </c>
      <c r="X44" s="681">
        <f t="shared" si="41"/>
        <v>41.315000000000005</v>
      </c>
      <c r="Y44" s="681">
        <f t="shared" si="41"/>
        <v>77.84669999999997</v>
      </c>
      <c r="Z44" s="682">
        <f>SUM(V44:Y44)</f>
        <v>178.73769999999999</v>
      </c>
      <c r="AA44" s="681">
        <f t="shared" si="41"/>
        <v>83.244999999999948</v>
      </c>
      <c r="AB44" s="681">
        <f t="shared" si="41"/>
        <v>5.2540000000000369</v>
      </c>
      <c r="AC44" s="681">
        <f t="shared" si="41"/>
        <v>-48.636000000000017</v>
      </c>
      <c r="AD44" s="681">
        <f t="shared" si="41"/>
        <v>50.935999999999979</v>
      </c>
      <c r="AE44" s="682">
        <f>SUM(AA44:AD44)</f>
        <v>90.79899999999995</v>
      </c>
      <c r="AF44" s="681">
        <f t="shared" si="41"/>
        <v>19.747000000000014</v>
      </c>
      <c r="AG44" s="681">
        <f t="shared" si="41"/>
        <v>24.149999999999977</v>
      </c>
      <c r="AH44" s="681">
        <f t="shared" si="41"/>
        <v>6.3560000000000176</v>
      </c>
      <c r="AI44" s="681">
        <f t="shared" si="41"/>
        <v>24.166000000000047</v>
      </c>
      <c r="AJ44" s="682">
        <f>SUM(AF44:AI44)</f>
        <v>74.419000000000054</v>
      </c>
      <c r="AK44" s="681">
        <f t="shared" ref="AK44:BM44" si="42">AK37+AK39</f>
        <v>21.348999999999922</v>
      </c>
      <c r="AL44" s="681">
        <f t="shared" si="42"/>
        <v>5.1189999999999634</v>
      </c>
      <c r="AM44" s="681">
        <f t="shared" si="42"/>
        <v>25.879000000000026</v>
      </c>
      <c r="AN44" s="681">
        <f t="shared" si="42"/>
        <v>48.009000000000007</v>
      </c>
      <c r="AO44" s="682">
        <f>SUM(AK44:AN44)</f>
        <v>100.35599999999991</v>
      </c>
      <c r="AP44" s="681">
        <f t="shared" si="42"/>
        <v>64.444000000000059</v>
      </c>
      <c r="AQ44" s="681">
        <f t="shared" si="42"/>
        <v>74.837000000000003</v>
      </c>
      <c r="AR44" s="681">
        <f t="shared" si="42"/>
        <v>65.252999999999943</v>
      </c>
      <c r="AS44" s="681">
        <f t="shared" si="42"/>
        <v>98.052000000000035</v>
      </c>
      <c r="AT44" s="682">
        <f>SUM(AP44:AS44)</f>
        <v>302.58600000000001</v>
      </c>
      <c r="AU44" s="681">
        <f t="shared" si="42"/>
        <v>92.064000000000007</v>
      </c>
      <c r="AV44" s="681">
        <f t="shared" si="42"/>
        <v>86.753000000000043</v>
      </c>
      <c r="AW44" s="681">
        <f t="shared" si="42"/>
        <v>106.51100000000002</v>
      </c>
      <c r="AX44" s="681">
        <f t="shared" si="42"/>
        <v>163.506</v>
      </c>
      <c r="AY44" s="682">
        <f>SUM(AU44:AX44)</f>
        <v>448.83400000000006</v>
      </c>
      <c r="AZ44" s="681">
        <f t="shared" si="42"/>
        <v>132.25900000000001</v>
      </c>
      <c r="BA44" s="681">
        <f t="shared" si="42"/>
        <v>172.732</v>
      </c>
      <c r="BB44" s="681">
        <f t="shared" si="42"/>
        <v>235.66099999999997</v>
      </c>
      <c r="BC44" s="681">
        <f>BC37+BC39</f>
        <v>256.99299999999994</v>
      </c>
      <c r="BD44" s="682">
        <f>SUM(AZ44:BC44)</f>
        <v>797.64499999999987</v>
      </c>
      <c r="BE44" s="681">
        <f t="shared" si="42"/>
        <v>176.80499999999995</v>
      </c>
      <c r="BF44" s="681">
        <f t="shared" si="42"/>
        <v>-120.92900000000002</v>
      </c>
      <c r="BG44" s="681">
        <f t="shared" si="42"/>
        <v>12.447999999999949</v>
      </c>
      <c r="BH44" s="681">
        <f t="shared" si="42"/>
        <v>-147.66499999999999</v>
      </c>
      <c r="BI44" s="682">
        <f>SUM(BE44:BH44)</f>
        <v>-79.341000000000108</v>
      </c>
      <c r="BJ44" s="681">
        <f>BJ37+BJ39</f>
        <v>-201.33799999999999</v>
      </c>
      <c r="BK44" s="681">
        <f t="shared" si="42"/>
        <v>-105.30200000000004</v>
      </c>
      <c r="BL44" s="681">
        <f t="shared" si="42"/>
        <v>107.57699999999998</v>
      </c>
      <c r="BM44" s="681">
        <f t="shared" si="42"/>
        <v>131.07600000000002</v>
      </c>
      <c r="BN44" s="682">
        <f>SUM(BJ44:BM44)</f>
        <v>-67.987000000000023</v>
      </c>
      <c r="BO44" s="681">
        <f t="shared" ref="BO44:BW44" si="43">BO37+BO39</f>
        <v>137.59399999999994</v>
      </c>
      <c r="BP44" s="681">
        <f t="shared" si="43"/>
        <v>-140.9610000000001</v>
      </c>
      <c r="BQ44" s="681">
        <f t="shared" si="43"/>
        <v>84.862000000000023</v>
      </c>
      <c r="BR44" s="681">
        <f t="shared" si="43"/>
        <v>171.65100000000001</v>
      </c>
      <c r="BS44" s="682">
        <f>SUM(BO44:BR44)</f>
        <v>253.14599999999987</v>
      </c>
      <c r="BT44" s="681">
        <f t="shared" si="43"/>
        <v>135.21900000000002</v>
      </c>
      <c r="BU44" s="681">
        <f t="shared" si="43"/>
        <v>151.57299999999998</v>
      </c>
      <c r="BV44" s="681">
        <f t="shared" si="43"/>
        <v>178.27299999999997</v>
      </c>
      <c r="BW44" s="681">
        <f t="shared" si="43"/>
        <v>116.02499999999992</v>
      </c>
      <c r="BX44" s="682">
        <f>SUM(BT44:BW44)</f>
        <v>581.08999999999992</v>
      </c>
      <c r="BY44" s="681">
        <f t="shared" ref="BY44:CG44" si="44">BY37+BY39</f>
        <v>60.437000000000062</v>
      </c>
      <c r="BZ44" s="681">
        <f t="shared" si="44"/>
        <v>119.04599999999994</v>
      </c>
      <c r="CA44" s="681">
        <f t="shared" si="44"/>
        <v>209.07999999999993</v>
      </c>
      <c r="CB44" s="681">
        <f t="shared" si="44"/>
        <v>173.97300000000007</v>
      </c>
      <c r="CC44" s="682">
        <f t="shared" si="44"/>
        <v>562.53599999999994</v>
      </c>
      <c r="CD44" s="681">
        <f t="shared" si="44"/>
        <v>77.891000000000005</v>
      </c>
      <c r="CE44" s="681">
        <f t="shared" si="44"/>
        <v>96.448000000000064</v>
      </c>
      <c r="CF44" s="681">
        <f t="shared" si="44"/>
        <v>118.73400000000012</v>
      </c>
      <c r="CG44" s="681">
        <f t="shared" si="44"/>
        <v>146.91700000000006</v>
      </c>
      <c r="CH44" s="682">
        <f>SUM(CD44:CG44)</f>
        <v>439.99000000000024</v>
      </c>
      <c r="CI44" s="681">
        <f>CI37+CI39</f>
        <v>136.51600000000013</v>
      </c>
      <c r="CJ44" s="681">
        <f>CJ37+CJ39</f>
        <v>127.97600000000004</v>
      </c>
      <c r="CK44" s="681">
        <f>CK37+CK39</f>
        <v>172.96700000000013</v>
      </c>
      <c r="CL44" s="681">
        <f>CL37+CL39</f>
        <v>193.12799999999996</v>
      </c>
      <c r="CM44" s="682">
        <f>SUM(CI44:CL44)</f>
        <v>630.58700000000022</v>
      </c>
      <c r="CN44" s="681">
        <f>CN37+CN39</f>
        <v>134</v>
      </c>
      <c r="CO44" s="681">
        <f>CO37+CO39</f>
        <v>26</v>
      </c>
      <c r="CP44" s="681">
        <f>CP37+CP39</f>
        <v>246</v>
      </c>
      <c r="CQ44" s="681">
        <f>CQ37+CQ39</f>
        <v>207</v>
      </c>
      <c r="CR44" s="682">
        <f>SUM(CN44:CQ44)</f>
        <v>613</v>
      </c>
      <c r="CS44" s="681">
        <f>CS37+CS39</f>
        <v>196</v>
      </c>
      <c r="CT44" s="681">
        <f>CT37+CT39</f>
        <v>253</v>
      </c>
      <c r="CU44" s="681">
        <f>CU37+CU39</f>
        <v>542</v>
      </c>
      <c r="CV44" s="681">
        <f>CV37+CV39</f>
        <v>655</v>
      </c>
      <c r="CW44" s="682">
        <f>SUM(CS44:CV44)</f>
        <v>1646</v>
      </c>
      <c r="CX44" s="681">
        <f>CX37+CX39</f>
        <v>507</v>
      </c>
      <c r="CY44" s="681">
        <f>CY37+CY39</f>
        <v>583</v>
      </c>
      <c r="CZ44" s="681">
        <f>CZ37+CZ39</f>
        <v>838</v>
      </c>
      <c r="DA44" s="681">
        <f>DA37+DA39</f>
        <v>1118</v>
      </c>
      <c r="DB44" s="682">
        <f>SUM(CX44:DA44)</f>
        <v>3046</v>
      </c>
      <c r="DC44" s="681">
        <f>DC37+DC39</f>
        <v>1244</v>
      </c>
      <c r="DD44" s="681">
        <f>DD37+DD39</f>
        <v>1101</v>
      </c>
      <c r="DE44" s="681">
        <f>DE37+DE39</f>
        <v>1230</v>
      </c>
      <c r="DF44" s="681">
        <f>DF37+DF39</f>
        <v>567</v>
      </c>
      <c r="DG44" s="682">
        <f>SUM(DC44:DF44)</f>
        <v>4142</v>
      </c>
      <c r="DH44" s="681">
        <f>DH37+DH39</f>
        <v>394</v>
      </c>
      <c r="DI44" s="681">
        <f>DI37+DI39</f>
        <v>552</v>
      </c>
      <c r="DJ44" s="681">
        <f>DJ37+DJ39</f>
        <v>899</v>
      </c>
      <c r="DK44" s="681">
        <f>DK37+DK39</f>
        <v>950</v>
      </c>
      <c r="DL44" s="682">
        <f>SUM(DH44:DK44)</f>
        <v>2795</v>
      </c>
      <c r="DM44" s="681">
        <f>DM37+DM39</f>
        <v>917</v>
      </c>
      <c r="DN44" s="681">
        <f>DN37+DN39</f>
        <v>622</v>
      </c>
      <c r="DO44" s="681">
        <f>DO37+DO39</f>
        <v>1336</v>
      </c>
      <c r="DP44" s="681">
        <f>DP37+DP39</f>
        <v>1457</v>
      </c>
      <c r="DQ44" s="682">
        <f>SUM(DM44:DP44)</f>
        <v>4332</v>
      </c>
      <c r="DR44" s="681">
        <f>DR37+DR39</f>
        <v>1912</v>
      </c>
      <c r="DS44" s="681">
        <f>DS37+DS39</f>
        <v>2374</v>
      </c>
      <c r="DT44" s="681">
        <f>DT37+DT39</f>
        <v>2464</v>
      </c>
      <c r="DU44" s="681">
        <f>DU37+DU39</f>
        <v>3003</v>
      </c>
      <c r="DV44" s="682">
        <f>SUM(DR44:DU44)</f>
        <v>9753</v>
      </c>
      <c r="DW44" s="681">
        <f>DW37+DW39</f>
        <v>1618</v>
      </c>
      <c r="DX44" s="681">
        <f>DX37+DX39</f>
        <v>656</v>
      </c>
      <c r="DY44" s="681">
        <f>DY37+DY39</f>
        <v>680</v>
      </c>
      <c r="DZ44" s="681">
        <f>DZ37+DZ39</f>
        <v>1414</v>
      </c>
      <c r="EA44" s="682">
        <f>SUM(DW44:DZ44)</f>
        <v>4368</v>
      </c>
      <c r="EB44" s="681">
        <f>EB37+EB39</f>
        <v>2043</v>
      </c>
      <c r="EC44" s="681">
        <f>EC37+EC39</f>
        <v>6188</v>
      </c>
      <c r="ED44" s="681">
        <f>ED37+ED39</f>
        <v>9243</v>
      </c>
      <c r="EE44" s="681">
        <f>EE37+EE39</f>
        <v>12285</v>
      </c>
      <c r="EF44" s="682">
        <f>SUM(EB44:EE44)</f>
        <v>29759</v>
      </c>
      <c r="EG44" s="681">
        <f>EG37+EG39</f>
        <v>14881</v>
      </c>
      <c r="EH44" s="681">
        <f>EH37+EH39</f>
        <v>16599</v>
      </c>
      <c r="EI44" s="681">
        <f>EI37+EI39</f>
        <v>19309</v>
      </c>
      <c r="EJ44" s="681">
        <f>EJ37+EJ39</f>
        <v>22091</v>
      </c>
      <c r="EK44" s="682">
        <f>SUM(EG44:EJ44)</f>
        <v>72880</v>
      </c>
      <c r="EL44" s="681">
        <f>EL37+EL39</f>
        <v>18775</v>
      </c>
      <c r="EM44" s="681">
        <f>EM37+EM39</f>
        <v>26422</v>
      </c>
      <c r="EN44" s="681">
        <f>EN37+EN39</f>
        <v>31910</v>
      </c>
      <c r="EO44" s="681">
        <f>EO37+EO39</f>
        <v>42960</v>
      </c>
      <c r="EP44" s="682">
        <f>SUM(EL44:EO44)</f>
        <v>120067</v>
      </c>
      <c r="EQ44" s="681">
        <f>EQ37+EQ39</f>
        <v>58321</v>
      </c>
      <c r="ER44" s="681">
        <f>ER37+ER39</f>
        <v>51388.627490539075</v>
      </c>
      <c r="ES44" s="681">
        <f>ES37+ES39</f>
        <v>61978.441687699684</v>
      </c>
      <c r="ET44" s="681">
        <f>ET37+ET39</f>
        <v>71042.632769895368</v>
      </c>
      <c r="EU44" s="682">
        <f>SUM(EQ44:ET44)</f>
        <v>242730.70194813411</v>
      </c>
      <c r="EV44" s="681">
        <f>EV37+EV39</f>
        <v>77776.52569982034</v>
      </c>
      <c r="EW44" s="681">
        <f>EW37+EW39</f>
        <v>85512.12208678358</v>
      </c>
      <c r="EX44" s="681">
        <f>EX37+EX39</f>
        <v>96058.174134900546</v>
      </c>
      <c r="EY44" s="681">
        <f>EY37+EY39</f>
        <v>102588.02354027715</v>
      </c>
      <c r="EZ44" s="682">
        <f>SUM(EV44:EY44)</f>
        <v>361934.8454617816</v>
      </c>
      <c r="FA44" s="681">
        <f>FA37+FA39</f>
        <v>105218.765789406</v>
      </c>
      <c r="FB44" s="681">
        <f>FB37+FB39</f>
        <v>108397.27008872332</v>
      </c>
      <c r="FC44" s="681">
        <f>FC37+FC39</f>
        <v>116426.05981745888</v>
      </c>
      <c r="FD44" s="681">
        <f>FD37+FD39</f>
        <v>122483.50216037114</v>
      </c>
      <c r="FE44" s="682">
        <f>SUM(FA44:FD44)</f>
        <v>452525.59785595932</v>
      </c>
      <c r="FF44" s="681">
        <f>FF37+FF39</f>
        <v>123305.26683832712</v>
      </c>
      <c r="FG44" s="681">
        <f>FG37+FG39</f>
        <v>124599.71706679455</v>
      </c>
      <c r="FH44" s="681">
        <f>FH37+FH39</f>
        <v>128745.23635879796</v>
      </c>
      <c r="FI44" s="681">
        <f>FI37+FI39</f>
        <v>131487.05848269194</v>
      </c>
      <c r="FJ44" s="682">
        <f>SUM(FF44:FI44)</f>
        <v>508137.27874661161</v>
      </c>
      <c r="FK44" s="681">
        <f>FK37+FK39</f>
        <v>133746.66943842464</v>
      </c>
      <c r="FL44" s="681">
        <f>FL37+FL39</f>
        <v>137870.8262044788</v>
      </c>
      <c r="FM44" s="681">
        <f>FM37+FM39</f>
        <v>146565.67073616665</v>
      </c>
      <c r="FN44" s="681">
        <f>FN37+FN39</f>
        <v>152632.57142481903</v>
      </c>
      <c r="FO44" s="682">
        <f>SUM(FK44:FN44)</f>
        <v>570815.73780388909</v>
      </c>
      <c r="FP44" s="682"/>
      <c r="FQ44" s="692"/>
    </row>
    <row r="45" spans="1:173">
      <c r="B45" s="681">
        <v>10</v>
      </c>
      <c r="C45" s="681"/>
      <c r="D45" s="681"/>
      <c r="E45" s="681"/>
      <c r="F45" s="682"/>
      <c r="G45" s="681"/>
      <c r="H45" s="681"/>
      <c r="I45" s="681"/>
      <c r="J45" s="681"/>
      <c r="K45" s="682"/>
      <c r="L45" s="681"/>
      <c r="M45" s="681"/>
      <c r="N45" s="681"/>
      <c r="O45" s="681"/>
      <c r="P45" s="682"/>
      <c r="Q45" s="681"/>
      <c r="R45" s="681"/>
      <c r="S45" s="681"/>
      <c r="T45" s="681"/>
      <c r="U45" s="682"/>
      <c r="V45" s="681"/>
      <c r="W45" s="681"/>
      <c r="X45" s="681"/>
      <c r="Y45" s="681"/>
      <c r="Z45" s="682"/>
      <c r="AA45" s="681"/>
      <c r="AB45" s="681"/>
      <c r="AC45" s="681"/>
      <c r="AD45" s="681"/>
      <c r="AE45" s="682"/>
      <c r="AF45" s="681"/>
      <c r="AG45" s="681"/>
      <c r="AH45" s="681"/>
      <c r="AI45" s="681"/>
      <c r="AJ45" s="682"/>
      <c r="AK45" s="681"/>
      <c r="AL45" s="681"/>
      <c r="AM45" s="681"/>
      <c r="AN45" s="681"/>
      <c r="AO45" s="682"/>
      <c r="AP45" s="681"/>
      <c r="AQ45" s="681"/>
      <c r="AR45" s="681"/>
      <c r="AS45" s="681"/>
      <c r="AT45" s="682"/>
      <c r="AU45" s="681"/>
      <c r="AV45" s="681"/>
      <c r="AW45" s="681"/>
      <c r="AX45" s="681"/>
      <c r="AY45" s="682"/>
      <c r="AZ45" s="681"/>
      <c r="BA45" s="681"/>
      <c r="BB45" s="681"/>
      <c r="BC45" s="681"/>
      <c r="BD45" s="682"/>
      <c r="BE45" s="681"/>
      <c r="BF45" s="681"/>
      <c r="BG45" s="681"/>
      <c r="BH45" s="681"/>
      <c r="BI45" s="682"/>
      <c r="BJ45" s="681"/>
      <c r="BK45" s="681"/>
      <c r="BL45" s="681"/>
      <c r="BM45" s="681"/>
      <c r="BN45" s="682"/>
      <c r="BO45" s="681"/>
      <c r="BP45" s="681"/>
      <c r="BQ45" s="681"/>
      <c r="BR45" s="681"/>
      <c r="BS45" s="682"/>
      <c r="BT45" s="681"/>
      <c r="BU45" s="681"/>
      <c r="BV45" s="681"/>
      <c r="BW45" s="681"/>
      <c r="BX45" s="682"/>
      <c r="BY45" s="681"/>
      <c r="BZ45" s="681"/>
      <c r="CA45" s="681"/>
      <c r="CB45" s="681"/>
      <c r="CC45" s="682"/>
      <c r="CD45" s="681"/>
      <c r="CE45" s="681"/>
      <c r="CF45" s="681"/>
      <c r="CG45" s="681"/>
      <c r="CH45" s="682"/>
      <c r="CI45" s="681"/>
      <c r="CJ45" s="681"/>
      <c r="CK45" s="681"/>
      <c r="CL45" s="681"/>
      <c r="CM45" s="682"/>
      <c r="CN45" s="681"/>
      <c r="CO45" s="681"/>
      <c r="CP45" s="681"/>
      <c r="CQ45" s="681"/>
      <c r="CR45" s="682"/>
      <c r="CS45" s="681"/>
      <c r="CT45" s="681"/>
      <c r="CU45" s="681"/>
      <c r="CV45" s="681"/>
      <c r="CW45" s="682"/>
      <c r="CX45" s="681"/>
      <c r="CY45" s="681"/>
      <c r="CZ45" s="681"/>
      <c r="DA45" s="681"/>
      <c r="DB45" s="682"/>
      <c r="DC45" s="681"/>
      <c r="DD45" s="681"/>
      <c r="DE45" s="681"/>
      <c r="DF45" s="681"/>
      <c r="DG45" s="682"/>
      <c r="DH45" s="681"/>
      <c r="DI45" s="681"/>
      <c r="DJ45" s="681"/>
      <c r="DK45" s="681"/>
      <c r="DL45" s="682"/>
      <c r="DM45" s="681"/>
      <c r="DN45" s="681"/>
      <c r="DO45" s="681"/>
      <c r="DP45" s="681"/>
      <c r="DQ45" s="682"/>
      <c r="DR45" s="681"/>
      <c r="DS45" s="681"/>
      <c r="DT45" s="681"/>
      <c r="DU45" s="681"/>
      <c r="DV45" s="682"/>
      <c r="DW45" s="681"/>
      <c r="DX45" s="681"/>
      <c r="DY45" s="681"/>
      <c r="DZ45" s="681"/>
      <c r="EA45" s="682"/>
      <c r="EB45" s="681"/>
      <c r="EC45" s="681"/>
      <c r="ED45" s="681"/>
      <c r="EE45" s="681"/>
      <c r="EF45" s="681"/>
      <c r="EG45" s="681"/>
      <c r="EH45" s="681"/>
      <c r="EI45" s="681"/>
      <c r="EJ45" s="681"/>
      <c r="EK45" s="681"/>
      <c r="EL45" s="681"/>
      <c r="EM45" s="681"/>
      <c r="EN45" s="681"/>
      <c r="EO45" s="681"/>
      <c r="EP45" s="681"/>
      <c r="EQ45" s="681"/>
      <c r="ER45" s="681"/>
      <c r="ES45" s="681"/>
      <c r="ET45" s="681"/>
      <c r="EU45" s="681"/>
      <c r="EV45" s="681"/>
      <c r="EW45" s="681"/>
      <c r="EX45" s="681"/>
      <c r="EY45" s="681"/>
      <c r="EZ45" s="681"/>
      <c r="FA45" s="681"/>
      <c r="FB45" s="681"/>
      <c r="FC45" s="681"/>
      <c r="FD45" s="681"/>
      <c r="FE45" s="681"/>
      <c r="FF45" s="681"/>
      <c r="FG45" s="681"/>
      <c r="FH45" s="681"/>
      <c r="FI45" s="681"/>
      <c r="FJ45" s="681"/>
      <c r="FK45" s="681"/>
      <c r="FL45" s="681"/>
      <c r="FM45" s="681"/>
      <c r="FN45" s="681"/>
      <c r="FO45" s="681"/>
      <c r="FP45" s="681"/>
    </row>
    <row r="46" spans="1:173">
      <c r="A46" s="171" t="s">
        <v>410</v>
      </c>
      <c r="B46" s="681">
        <v>6084.96</v>
      </c>
      <c r="C46" s="681">
        <v>6084.96</v>
      </c>
      <c r="D46" s="681">
        <v>6084.96</v>
      </c>
      <c r="E46" s="681">
        <v>6084.96</v>
      </c>
      <c r="F46" s="682">
        <f>(AVERAGE(B46:E46))</f>
        <v>6084.96</v>
      </c>
      <c r="G46" s="681">
        <v>6787.68</v>
      </c>
      <c r="H46" s="681">
        <v>6791.0400000000009</v>
      </c>
      <c r="I46" s="681">
        <v>13331.52</v>
      </c>
      <c r="J46" s="681">
        <v>13844.16</v>
      </c>
      <c r="K46" s="682">
        <f>(AVERAGE(G46:J46))</f>
        <v>10188.6</v>
      </c>
      <c r="L46" s="681">
        <v>14052.960000000001</v>
      </c>
      <c r="M46" s="681">
        <v>14085.120000000003</v>
      </c>
      <c r="N46" s="681">
        <v>14407.2</v>
      </c>
      <c r="O46" s="681">
        <v>14928</v>
      </c>
      <c r="P46" s="682">
        <f>(AVERAGE(L46:O46))</f>
        <v>14368.32</v>
      </c>
      <c r="Q46" s="681">
        <v>15206.279999999999</v>
      </c>
      <c r="R46" s="681">
        <v>15508.08</v>
      </c>
      <c r="S46" s="681">
        <v>15840.720000000001</v>
      </c>
      <c r="T46" s="681">
        <v>16323.84</v>
      </c>
      <c r="U46" s="682">
        <f>(AVERAGE(Q46:T46))</f>
        <v>15719.73</v>
      </c>
      <c r="V46" s="681">
        <v>16637.16</v>
      </c>
      <c r="W46" s="681">
        <v>17025.120000000003</v>
      </c>
      <c r="X46" s="681">
        <v>17282.04</v>
      </c>
      <c r="Y46" s="681">
        <v>17704.079999999998</v>
      </c>
      <c r="Z46" s="682">
        <f>(AVERAGE(V46:Y46))</f>
        <v>17162.099999999999</v>
      </c>
      <c r="AA46" s="681">
        <v>18082.080000000002</v>
      </c>
      <c r="AB46" s="681">
        <v>18275.52</v>
      </c>
      <c r="AC46" s="681">
        <v>18408.96</v>
      </c>
      <c r="AD46" s="681">
        <v>18921.96</v>
      </c>
      <c r="AE46" s="682">
        <f>(AVERAGE(AA46:AD46))</f>
        <v>18422.13</v>
      </c>
      <c r="AF46" s="681">
        <v>19034.640000000003</v>
      </c>
      <c r="AG46" s="681">
        <v>19209.239999999998</v>
      </c>
      <c r="AH46" s="681">
        <v>19389.84</v>
      </c>
      <c r="AI46" s="681">
        <v>19614.719999999998</v>
      </c>
      <c r="AJ46" s="682">
        <f>(AVERAGE(AF46:AI46))</f>
        <v>19312.11</v>
      </c>
      <c r="AK46" s="681">
        <v>19820.52</v>
      </c>
      <c r="AL46" s="681">
        <v>19950.240000000002</v>
      </c>
      <c r="AM46" s="681">
        <v>19934.640000000003</v>
      </c>
      <c r="AN46" s="681">
        <v>19999.079999999998</v>
      </c>
      <c r="AO46" s="682">
        <v>19926.120000000003</v>
      </c>
      <c r="AP46" s="681">
        <v>20237.64</v>
      </c>
      <c r="AQ46" s="681">
        <v>20273.160000000003</v>
      </c>
      <c r="AR46" s="681">
        <v>20415.240000000002</v>
      </c>
      <c r="AS46" s="681">
        <v>20525.04</v>
      </c>
      <c r="AT46" s="682">
        <v>20362.77</v>
      </c>
      <c r="AU46" s="681">
        <v>20876.22</v>
      </c>
      <c r="AV46" s="681">
        <v>21014.639999999999</v>
      </c>
      <c r="AW46" s="681">
        <v>21159.42</v>
      </c>
      <c r="AX46" s="681">
        <v>21526.86</v>
      </c>
      <c r="AY46" s="682">
        <v>21144.285</v>
      </c>
      <c r="AZ46" s="681">
        <v>21649.86</v>
      </c>
      <c r="BA46" s="681">
        <v>21892.199999999997</v>
      </c>
      <c r="BB46" s="681">
        <v>22198.639999999999</v>
      </c>
      <c r="BC46" s="681">
        <v>22285.72</v>
      </c>
      <c r="BD46" s="682">
        <v>22006.605</v>
      </c>
      <c r="BE46" s="681">
        <v>22226.92</v>
      </c>
      <c r="BF46" s="681">
        <v>22216.68</v>
      </c>
      <c r="BG46" s="681">
        <v>21752.28</v>
      </c>
      <c r="BH46" s="681">
        <v>21503.800000000003</v>
      </c>
      <c r="BI46" s="682">
        <v>21924.920000000002</v>
      </c>
      <c r="BJ46" s="681">
        <v>21692.28</v>
      </c>
      <c r="BK46" s="681">
        <v>21865.56</v>
      </c>
      <c r="BL46" s="681">
        <v>22051.32</v>
      </c>
      <c r="BM46" s="681">
        <v>22299.160000000003</v>
      </c>
      <c r="BN46" s="682">
        <v>21977.079999999994</v>
      </c>
      <c r="BO46" s="681">
        <v>22687.32</v>
      </c>
      <c r="BP46" s="681">
        <v>22910.560000000001</v>
      </c>
      <c r="BQ46" s="681">
        <v>23092.92</v>
      </c>
      <c r="BR46" s="681">
        <v>23337.559999999998</v>
      </c>
      <c r="BS46" s="682">
        <v>23007.089999999997</v>
      </c>
      <c r="BT46" s="681">
        <v>23792.080000000002</v>
      </c>
      <c r="BU46" s="681">
        <v>24053.600000000002</v>
      </c>
      <c r="BV46" s="681">
        <v>24282.52</v>
      </c>
      <c r="BW46" s="681">
        <v>24457.279999999999</v>
      </c>
      <c r="BX46" s="682">
        <v>24146.369999999995</v>
      </c>
      <c r="BY46" s="681">
        <v>24631.199999999997</v>
      </c>
      <c r="BZ46" s="681">
        <v>24759.84</v>
      </c>
      <c r="CA46" s="681">
        <v>24894.079999999998</v>
      </c>
      <c r="CB46" s="681">
        <v>24806.76</v>
      </c>
      <c r="CC46" s="682">
        <v>24772.969999999994</v>
      </c>
      <c r="CD46" s="681">
        <v>24674.879999999997</v>
      </c>
      <c r="CE46" s="681">
        <v>23413.800000000003</v>
      </c>
      <c r="CF46" s="681">
        <v>23234.799999999999</v>
      </c>
      <c r="CG46" s="681">
        <v>22739.32</v>
      </c>
      <c r="CH46" s="682">
        <v>23515.699999999997</v>
      </c>
      <c r="CI46" s="681">
        <v>22363.68</v>
      </c>
      <c r="CJ46" s="681">
        <v>22328.92</v>
      </c>
      <c r="CK46" s="681">
        <v>21911.559999999998</v>
      </c>
      <c r="CL46" s="681">
        <v>21766.799999999999</v>
      </c>
      <c r="CM46" s="682">
        <v>22092.739999999998</v>
      </c>
      <c r="CN46" s="681">
        <v>21960</v>
      </c>
      <c r="CO46" s="681">
        <v>21640</v>
      </c>
      <c r="CP46" s="681">
        <v>21680</v>
      </c>
      <c r="CQ46" s="681">
        <v>21560</v>
      </c>
      <c r="CR46" s="682">
        <v>21710</v>
      </c>
      <c r="CS46" s="681">
        <v>21480</v>
      </c>
      <c r="CT46" s="681">
        <v>21360</v>
      </c>
      <c r="CU46" s="681">
        <v>21520</v>
      </c>
      <c r="CV46" s="681">
        <v>22120</v>
      </c>
      <c r="CW46" s="682">
        <v>21620</v>
      </c>
      <c r="CX46" s="681">
        <v>23680</v>
      </c>
      <c r="CY46" s="681">
        <v>23880</v>
      </c>
      <c r="CZ46" s="681">
        <v>24120</v>
      </c>
      <c r="DA46" s="681">
        <v>24240</v>
      </c>
      <c r="DB46" s="682">
        <v>23980</v>
      </c>
      <c r="DC46" s="681">
        <v>24240</v>
      </c>
      <c r="DD46" s="681">
        <v>24280</v>
      </c>
      <c r="DE46" s="681">
        <v>24360</v>
      </c>
      <c r="DF46" s="681">
        <v>24360</v>
      </c>
      <c r="DG46" s="682">
        <v>24310</v>
      </c>
      <c r="DH46" s="681">
        <v>24280</v>
      </c>
      <c r="DI46" s="681">
        <v>24360</v>
      </c>
      <c r="DJ46" s="681">
        <v>24400</v>
      </c>
      <c r="DK46" s="681">
        <v>24480</v>
      </c>
      <c r="DL46" s="682">
        <v>24380</v>
      </c>
      <c r="DM46" s="681">
        <v>24560</v>
      </c>
      <c r="DN46" s="681">
        <v>24640</v>
      </c>
      <c r="DO46" s="681">
        <v>24720</v>
      </c>
      <c r="DP46" s="681">
        <v>24760</v>
      </c>
      <c r="DQ46" s="682">
        <v>24670</v>
      </c>
      <c r="DR46" s="681">
        <v>24840</v>
      </c>
      <c r="DS46" s="681">
        <v>24930</v>
      </c>
      <c r="DT46" s="681">
        <v>24990</v>
      </c>
      <c r="DU46" s="681">
        <v>25040</v>
      </c>
      <c r="DV46" s="682">
        <f>(AVERAGE(DR46:DU46))</f>
        <v>24950</v>
      </c>
      <c r="DW46" s="681">
        <v>25060</v>
      </c>
      <c r="DX46" s="681">
        <v>24950</v>
      </c>
      <c r="DY46" s="681">
        <v>24830</v>
      </c>
      <c r="DZ46" s="681">
        <v>24640</v>
      </c>
      <c r="EA46" s="682">
        <f>(AVERAGE(DW46:DZ46))</f>
        <v>24870</v>
      </c>
      <c r="EB46" s="681">
        <v>24700</v>
      </c>
      <c r="EC46" s="681">
        <v>24730</v>
      </c>
      <c r="ED46" s="681">
        <v>24680</v>
      </c>
      <c r="EE46" s="681">
        <v>24660</v>
      </c>
      <c r="EF46" s="682">
        <f>(AVERAGE(EB46:EE46))</f>
        <v>24692.5</v>
      </c>
      <c r="EG46" s="681">
        <v>24620</v>
      </c>
      <c r="EH46" s="681">
        <v>24578</v>
      </c>
      <c r="EI46" s="681">
        <v>24533</v>
      </c>
      <c r="EJ46" s="681">
        <v>24489</v>
      </c>
      <c r="EK46" s="682">
        <f>AVERAGE(EG46:EJ46)</f>
        <v>24555</v>
      </c>
      <c r="EL46" s="681">
        <v>24441</v>
      </c>
      <c r="EM46" s="681">
        <v>24366</v>
      </c>
      <c r="EN46" s="681">
        <v>24327</v>
      </c>
      <c r="EO46" s="681">
        <v>24304</v>
      </c>
      <c r="EP46" s="682">
        <f>AVERAGE(EL46:EO46)</f>
        <v>24359.5</v>
      </c>
      <c r="EQ46" s="681">
        <v>24286</v>
      </c>
      <c r="ER46" s="683">
        <f>EQ46+(ER48-EQ48)</f>
        <v>24178.148705882355</v>
      </c>
      <c r="ES46" s="683">
        <f>ER46+(ES48-ER48)</f>
        <v>24070.490974117649</v>
      </c>
      <c r="ET46" s="683">
        <f>ES46+(ET48-ES48)</f>
        <v>23963.030558305887</v>
      </c>
      <c r="EU46" s="682">
        <f>AVERAGE(EQ46:ET46)</f>
        <v>24124.417559576475</v>
      </c>
      <c r="EV46" s="683">
        <f>ET46+(EV48-ET48)</f>
        <v>23841.065404766119</v>
      </c>
      <c r="EW46" s="683">
        <f>EV46+(EW48-EV48)</f>
        <v>23719.305301096734</v>
      </c>
      <c r="EX46" s="683">
        <f>EW46+(EX48-EW48)</f>
        <v>23583.048348295139</v>
      </c>
      <c r="EY46" s="683">
        <f>EX46+(EY48-EX48)</f>
        <v>23447.00449173163</v>
      </c>
      <c r="EZ46" s="682">
        <f>AVERAGE(EV46:EY46)</f>
        <v>23647.605886472404</v>
      </c>
      <c r="FA46" s="683">
        <f>EY46+(FA48-EY48)</f>
        <v>23311.177875683908</v>
      </c>
      <c r="FB46" s="683">
        <f>FA46+(FB48-FA48)</f>
        <v>23175.572727315233</v>
      </c>
      <c r="FC46" s="683">
        <f>FB46+(FC48-FB48)</f>
        <v>23040.193358332126</v>
      </c>
      <c r="FD46" s="683">
        <f>FC46+(FD48-FC48)</f>
        <v>22905.044166675238</v>
      </c>
      <c r="FE46" s="682">
        <f>AVERAGE(FA46:FD46)</f>
        <v>23107.997032001629</v>
      </c>
      <c r="FF46" s="683">
        <f>FD46+(FF48-FD48)</f>
        <v>22755.423755891094</v>
      </c>
      <c r="FG46" s="683">
        <f>FF46+(FG48-FF48)</f>
        <v>22606.042583950093</v>
      </c>
      <c r="FH46" s="683">
        <f>FG46+(FH48-FG48)</f>
        <v>22456.905317982037</v>
      </c>
      <c r="FI46" s="683">
        <f>FH46+(FI48-FH48)</f>
        <v>22308.016718459323</v>
      </c>
      <c r="FJ46" s="682">
        <f>AVERAGE(FF46:FI46)</f>
        <v>22531.597094070639</v>
      </c>
      <c r="FK46" s="683">
        <f>FI46+(FK48-FI48)</f>
        <v>22144.675758710862</v>
      </c>
      <c r="FL46" s="683">
        <f>FK46+(FL48-FK48)</f>
        <v>21981.593273885079</v>
      </c>
      <c r="FM46" s="683">
        <f>FL46+(FM48-FL48)</f>
        <v>21818.774315833369</v>
      </c>
      <c r="FN46" s="683">
        <f>FM46+(FN48-FM48)</f>
        <v>21656.224037444154</v>
      </c>
      <c r="FO46" s="682">
        <f>AVERAGE(FK46:FN46)</f>
        <v>21900.316846468369</v>
      </c>
      <c r="FP46" s="682"/>
      <c r="FQ46" s="186"/>
    </row>
    <row r="47" spans="1:173" ht="13.5" thickBot="1">
      <c r="A47" s="171" t="s">
        <v>411</v>
      </c>
      <c r="B47" s="682"/>
      <c r="C47" s="682"/>
      <c r="D47" s="682"/>
      <c r="E47" s="682"/>
      <c r="F47" s="682"/>
      <c r="G47" s="682"/>
      <c r="H47" s="682"/>
      <c r="I47" s="682"/>
      <c r="J47" s="682"/>
      <c r="K47" s="682"/>
      <c r="L47" s="682"/>
      <c r="M47" s="682"/>
      <c r="N47" s="682"/>
      <c r="O47" s="682"/>
      <c r="P47" s="682"/>
      <c r="Q47" s="681"/>
      <c r="R47" s="681"/>
      <c r="S47" s="681">
        <v>19.416</v>
      </c>
      <c r="T47" s="681">
        <v>19.416</v>
      </c>
      <c r="U47" s="682"/>
      <c r="V47" s="681">
        <v>19.416</v>
      </c>
      <c r="W47" s="681">
        <v>19.416</v>
      </c>
      <c r="X47" s="681">
        <v>19.416</v>
      </c>
      <c r="Y47" s="681">
        <v>19.416</v>
      </c>
      <c r="Z47" s="682"/>
      <c r="AA47" s="681">
        <v>19.416</v>
      </c>
      <c r="AB47" s="681">
        <v>19.416</v>
      </c>
      <c r="AC47" s="681">
        <v>19.416</v>
      </c>
      <c r="AD47" s="681">
        <v>19.416</v>
      </c>
      <c r="AE47" s="682"/>
      <c r="AF47" s="681">
        <v>19.416</v>
      </c>
      <c r="AG47" s="681">
        <v>19.416</v>
      </c>
      <c r="AH47" s="682"/>
      <c r="AI47" s="682"/>
      <c r="AJ47" s="682"/>
      <c r="AK47" s="682"/>
      <c r="AL47" s="682"/>
      <c r="AM47" s="682"/>
      <c r="AN47" s="682"/>
      <c r="AO47" s="682"/>
      <c r="AP47" s="682"/>
      <c r="AQ47" s="682"/>
      <c r="AR47" s="682"/>
      <c r="AS47" s="682"/>
      <c r="AT47" s="682"/>
      <c r="AU47" s="682"/>
      <c r="AV47" s="682"/>
      <c r="AW47" s="682"/>
      <c r="AX47" s="682"/>
      <c r="AY47" s="682"/>
      <c r="AZ47" s="682"/>
      <c r="BA47" s="682"/>
      <c r="BB47" s="682"/>
      <c r="BC47" s="682"/>
      <c r="BD47" s="682"/>
      <c r="BE47" s="682"/>
      <c r="BF47" s="682"/>
      <c r="BG47" s="682"/>
      <c r="BH47" s="682"/>
      <c r="BI47" s="682"/>
      <c r="BJ47" s="682"/>
      <c r="BK47" s="682"/>
      <c r="BL47" s="682"/>
      <c r="BM47" s="682"/>
      <c r="BN47" s="682"/>
      <c r="BO47" s="682"/>
      <c r="BP47" s="682"/>
      <c r="BQ47" s="682"/>
      <c r="BR47" s="682"/>
      <c r="BS47" s="682"/>
      <c r="BT47" s="682"/>
      <c r="BU47" s="682"/>
      <c r="BV47" s="682"/>
      <c r="BW47" s="682"/>
      <c r="BX47" s="682"/>
      <c r="BY47" s="682"/>
      <c r="BZ47" s="682"/>
      <c r="CA47" s="682"/>
      <c r="CB47" s="682"/>
      <c r="CC47" s="682"/>
      <c r="CD47" s="682"/>
      <c r="CE47" s="682"/>
      <c r="CF47" s="682"/>
      <c r="CG47" s="682"/>
      <c r="CH47" s="682"/>
      <c r="CI47" s="682"/>
      <c r="CJ47" s="682"/>
      <c r="CK47" s="682"/>
      <c r="CL47" s="682"/>
      <c r="CM47" s="682"/>
      <c r="CN47" s="681"/>
      <c r="CO47" s="681"/>
      <c r="CP47" s="681">
        <f>CP49-CP48</f>
        <v>400</v>
      </c>
      <c r="CQ47" s="681">
        <f>CQ49-CQ48</f>
        <v>1040</v>
      </c>
      <c r="CR47" s="682"/>
      <c r="CS47" s="681">
        <f>CS49-CS48</f>
        <v>1160</v>
      </c>
      <c r="CT47" s="681">
        <f>CT49-CT48</f>
        <v>1720</v>
      </c>
      <c r="CU47" s="681">
        <f>CU49-CU48</f>
        <v>1800</v>
      </c>
      <c r="CV47" s="681">
        <f>CV49-CV48</f>
        <v>1440</v>
      </c>
      <c r="CW47" s="682"/>
      <c r="CX47" s="681">
        <f>CX49-CX48</f>
        <v>560</v>
      </c>
      <c r="CY47" s="681">
        <f>CY49-CY48</f>
        <v>160</v>
      </c>
      <c r="CZ47" s="681">
        <f>CZ49-CZ48</f>
        <v>80</v>
      </c>
      <c r="DA47" s="681">
        <f>DA49-DA48</f>
        <v>40</v>
      </c>
      <c r="DB47" s="681"/>
      <c r="DC47" s="681"/>
      <c r="DD47" s="681">
        <f>DD49-DD48</f>
        <v>40</v>
      </c>
      <c r="DE47" s="681">
        <v>0</v>
      </c>
      <c r="DF47" s="681">
        <f>DE47</f>
        <v>0</v>
      </c>
      <c r="DG47" s="682"/>
      <c r="DH47" s="681">
        <f>DF47</f>
        <v>0</v>
      </c>
      <c r="DI47" s="681">
        <f>DH47</f>
        <v>0</v>
      </c>
      <c r="DJ47" s="681">
        <f>DI47</f>
        <v>0</v>
      </c>
      <c r="DK47" s="681">
        <f>DJ47</f>
        <v>0</v>
      </c>
      <c r="DL47" s="682"/>
      <c r="DM47" s="681">
        <f>DK47</f>
        <v>0</v>
      </c>
      <c r="DN47" s="681">
        <f>DM47</f>
        <v>0</v>
      </c>
      <c r="DO47" s="681">
        <f>DN47</f>
        <v>0</v>
      </c>
      <c r="DP47" s="681">
        <f>DO47</f>
        <v>0</v>
      </c>
      <c r="DQ47" s="682"/>
      <c r="DR47" s="681">
        <f>DP47</f>
        <v>0</v>
      </c>
      <c r="DS47" s="681">
        <f>DR47</f>
        <v>0</v>
      </c>
      <c r="DT47" s="681">
        <f>DS47</f>
        <v>0</v>
      </c>
      <c r="DU47" s="681">
        <f>DT47</f>
        <v>0</v>
      </c>
      <c r="DV47" s="682"/>
      <c r="DW47" s="681">
        <f>DU47</f>
        <v>0</v>
      </c>
      <c r="DX47" s="681">
        <f>DW47</f>
        <v>0</v>
      </c>
      <c r="DY47" s="681">
        <f>DX47</f>
        <v>0</v>
      </c>
      <c r="DZ47" s="681">
        <f>DY47</f>
        <v>0</v>
      </c>
      <c r="EA47" s="682"/>
      <c r="EB47" s="681">
        <f>EA47</f>
        <v>0</v>
      </c>
      <c r="EC47" s="681">
        <f>EB47</f>
        <v>0</v>
      </c>
      <c r="ED47" s="681">
        <f>EC47</f>
        <v>0</v>
      </c>
      <c r="EE47" s="681">
        <f>ED47</f>
        <v>0</v>
      </c>
      <c r="EF47" s="682"/>
      <c r="EG47" s="681">
        <f>EF47</f>
        <v>0</v>
      </c>
      <c r="EH47" s="681">
        <f>EG47</f>
        <v>0</v>
      </c>
      <c r="EI47" s="681">
        <f>EH47</f>
        <v>0</v>
      </c>
      <c r="EJ47" s="681">
        <f>EI47</f>
        <v>0</v>
      </c>
      <c r="EK47" s="682"/>
      <c r="EL47" s="681">
        <f>EK47</f>
        <v>0</v>
      </c>
      <c r="EM47" s="681">
        <f>EL47</f>
        <v>0</v>
      </c>
      <c r="EN47" s="681">
        <f>EM47</f>
        <v>0</v>
      </c>
      <c r="EO47" s="681">
        <f>EN47</f>
        <v>0</v>
      </c>
      <c r="EP47" s="682"/>
      <c r="EQ47" s="681">
        <f>EP47</f>
        <v>0</v>
      </c>
      <c r="ER47" s="681">
        <f>EQ47</f>
        <v>0</v>
      </c>
      <c r="ES47" s="681">
        <f>ER47</f>
        <v>0</v>
      </c>
      <c r="ET47" s="681">
        <f>ES47</f>
        <v>0</v>
      </c>
      <c r="EU47" s="682"/>
      <c r="EV47" s="681">
        <f>ET47</f>
        <v>0</v>
      </c>
      <c r="EW47" s="681">
        <f>EV47</f>
        <v>0</v>
      </c>
      <c r="EX47" s="681">
        <f>EW47</f>
        <v>0</v>
      </c>
      <c r="EY47" s="681">
        <f>EX47</f>
        <v>0</v>
      </c>
      <c r="EZ47" s="682"/>
      <c r="FA47" s="681">
        <f>EY47</f>
        <v>0</v>
      </c>
      <c r="FB47" s="681">
        <f>FA47</f>
        <v>0</v>
      </c>
      <c r="FC47" s="681">
        <f>FB47</f>
        <v>0</v>
      </c>
      <c r="FD47" s="681">
        <f>FC47</f>
        <v>0</v>
      </c>
      <c r="FE47" s="682"/>
      <c r="FF47" s="681">
        <f>FD47</f>
        <v>0</v>
      </c>
      <c r="FG47" s="681">
        <f>FF47</f>
        <v>0</v>
      </c>
      <c r="FH47" s="681">
        <f>FG47</f>
        <v>0</v>
      </c>
      <c r="FI47" s="681">
        <f>FH47</f>
        <v>0</v>
      </c>
      <c r="FJ47" s="682"/>
      <c r="FK47" s="681">
        <f>FI47</f>
        <v>0</v>
      </c>
      <c r="FL47" s="681">
        <f>FK47</f>
        <v>0</v>
      </c>
      <c r="FM47" s="681">
        <f>FL47</f>
        <v>0</v>
      </c>
      <c r="FN47" s="681">
        <f>FM47</f>
        <v>0</v>
      </c>
      <c r="FO47" s="682"/>
      <c r="FP47" s="682"/>
      <c r="FQ47" s="186"/>
    </row>
    <row r="48" spans="1:173" ht="13.5" thickBot="1">
      <c r="A48" s="171" t="s">
        <v>412</v>
      </c>
      <c r="B48" s="681">
        <v>6084.96</v>
      </c>
      <c r="C48" s="681">
        <v>6084.96</v>
      </c>
      <c r="D48" s="681">
        <v>6084.96</v>
      </c>
      <c r="E48" s="681">
        <v>6084.96</v>
      </c>
      <c r="F48" s="682">
        <v>6084.96</v>
      </c>
      <c r="G48" s="681">
        <v>6787.68</v>
      </c>
      <c r="H48" s="681">
        <v>6791.0400000000009</v>
      </c>
      <c r="I48" s="681">
        <v>13331.52</v>
      </c>
      <c r="J48" s="681">
        <v>13844.16</v>
      </c>
      <c r="K48" s="682">
        <v>10188.600000000002</v>
      </c>
      <c r="L48" s="681">
        <v>17017.919999999998</v>
      </c>
      <c r="M48" s="681">
        <v>17018.399999999998</v>
      </c>
      <c r="N48" s="681">
        <v>17246.879999999997</v>
      </c>
      <c r="O48" s="681">
        <v>18024.48</v>
      </c>
      <c r="P48" s="682">
        <v>17326.919999999998</v>
      </c>
      <c r="Q48" s="681">
        <v>18666.72</v>
      </c>
      <c r="R48" s="681">
        <v>19076.879999999997</v>
      </c>
      <c r="S48" s="681">
        <v>19304.400000000001</v>
      </c>
      <c r="T48" s="681">
        <v>19412.64</v>
      </c>
      <c r="U48" s="682">
        <v>19115.16</v>
      </c>
      <c r="V48" s="681">
        <v>19885.32</v>
      </c>
      <c r="W48" s="681">
        <v>20436.239999999998</v>
      </c>
      <c r="X48" s="681">
        <v>20419.079999999998</v>
      </c>
      <c r="Y48" s="681">
        <v>21267.600000000002</v>
      </c>
      <c r="Z48" s="682">
        <v>20502.060000000001</v>
      </c>
      <c r="AA48" s="681">
        <v>39213.24</v>
      </c>
      <c r="AB48" s="681">
        <v>20252.400000000001</v>
      </c>
      <c r="AC48" s="681">
        <v>36817.919999999998</v>
      </c>
      <c r="AD48" s="681">
        <v>20102.04</v>
      </c>
      <c r="AE48" s="682">
        <v>29096.399999999998</v>
      </c>
      <c r="AF48" s="681">
        <v>20151</v>
      </c>
      <c r="AG48" s="681">
        <v>20946.120000000003</v>
      </c>
      <c r="AH48" s="681">
        <v>20777.88</v>
      </c>
      <c r="AI48" s="681">
        <v>21174.84</v>
      </c>
      <c r="AJ48" s="682">
        <v>20762.46</v>
      </c>
      <c r="AK48" s="681">
        <v>21417.48</v>
      </c>
      <c r="AL48" s="681">
        <v>21290.280000000002</v>
      </c>
      <c r="AM48" s="681">
        <v>20744.28</v>
      </c>
      <c r="AN48" s="681">
        <v>21270.839999999997</v>
      </c>
      <c r="AO48" s="682">
        <v>21180.720000000001</v>
      </c>
      <c r="AP48" s="681">
        <v>21659.040000000001</v>
      </c>
      <c r="AQ48" s="681">
        <v>21694.799999999999</v>
      </c>
      <c r="AR48" s="681">
        <v>22022.039999999997</v>
      </c>
      <c r="AS48" s="681">
        <v>22334.639999999999</v>
      </c>
      <c r="AT48" s="682">
        <v>21927.629999999997</v>
      </c>
      <c r="AU48" s="681">
        <v>23365.68</v>
      </c>
      <c r="AV48" s="681">
        <v>23135.34</v>
      </c>
      <c r="AW48" s="681">
        <v>23472.9</v>
      </c>
      <c r="AX48" s="681">
        <v>23939.64</v>
      </c>
      <c r="AY48" s="682">
        <v>23478.39</v>
      </c>
      <c r="AZ48" s="681">
        <v>23931.96</v>
      </c>
      <c r="BA48" s="681">
        <v>24153.18</v>
      </c>
      <c r="BB48" s="681">
        <v>24519.4</v>
      </c>
      <c r="BC48" s="681">
        <v>24366.92</v>
      </c>
      <c r="BD48" s="682">
        <v>24242.865000000002</v>
      </c>
      <c r="BE48" s="681">
        <v>23679.56</v>
      </c>
      <c r="BF48" s="681">
        <v>23179.8</v>
      </c>
      <c r="BG48" s="681">
        <v>22581.439999999999</v>
      </c>
      <c r="BH48" s="681">
        <v>21503.800000000003</v>
      </c>
      <c r="BI48" s="682">
        <v>22736.149999999998</v>
      </c>
      <c r="BJ48" s="681">
        <v>21692.28</v>
      </c>
      <c r="BK48" s="681">
        <v>22505.4</v>
      </c>
      <c r="BL48" s="681">
        <v>22975.239999999998</v>
      </c>
      <c r="BM48" s="681">
        <v>23283.24</v>
      </c>
      <c r="BN48" s="682">
        <v>22614.04</v>
      </c>
      <c r="BO48" s="681">
        <v>23639.879999999997</v>
      </c>
      <c r="BP48" s="681">
        <v>23295.32</v>
      </c>
      <c r="BQ48" s="681">
        <v>23305.920000000002</v>
      </c>
      <c r="BR48" s="681">
        <v>24062.36</v>
      </c>
      <c r="BS48" s="682">
        <v>23575.870000000003</v>
      </c>
      <c r="BT48" s="681">
        <v>24538.960000000003</v>
      </c>
      <c r="BU48" s="681">
        <v>24557.360000000001</v>
      </c>
      <c r="BV48" s="681">
        <v>24542.399999999998</v>
      </c>
      <c r="BW48" s="681">
        <v>24743.960000000003</v>
      </c>
      <c r="BX48" s="682">
        <v>24595.67</v>
      </c>
      <c r="BY48" s="681">
        <v>24951.439999999999</v>
      </c>
      <c r="BZ48" s="681">
        <v>24925.72</v>
      </c>
      <c r="CA48" s="681">
        <v>25153.800000000003</v>
      </c>
      <c r="CB48" s="681">
        <v>24880.720000000001</v>
      </c>
      <c r="CC48" s="682">
        <v>24977.920000000006</v>
      </c>
      <c r="CD48" s="681">
        <v>24772.080000000002</v>
      </c>
      <c r="CE48" s="681">
        <v>23680.239999999998</v>
      </c>
      <c r="CF48" s="681">
        <v>23550.079999999998</v>
      </c>
      <c r="CG48" s="681">
        <v>23094.239999999998</v>
      </c>
      <c r="CH48" s="682">
        <v>23774.160000000003</v>
      </c>
      <c r="CI48" s="681">
        <v>22816.880000000001</v>
      </c>
      <c r="CJ48" s="681">
        <v>22822.880000000001</v>
      </c>
      <c r="CK48" s="681">
        <v>22328.04</v>
      </c>
      <c r="CL48" s="681">
        <v>22262.92</v>
      </c>
      <c r="CM48" s="682">
        <v>22557.68</v>
      </c>
      <c r="CN48" s="681">
        <v>22480</v>
      </c>
      <c r="CO48" s="681">
        <v>22080</v>
      </c>
      <c r="CP48" s="681">
        <v>22200</v>
      </c>
      <c r="CQ48" s="681">
        <v>22680</v>
      </c>
      <c r="CR48" s="682">
        <v>22360</v>
      </c>
      <c r="CS48" s="681">
        <v>22720</v>
      </c>
      <c r="CT48" s="681">
        <v>23640</v>
      </c>
      <c r="CU48" s="681">
        <v>24320</v>
      </c>
      <c r="CV48" s="681">
        <v>24960</v>
      </c>
      <c r="CW48" s="682">
        <v>23910</v>
      </c>
      <c r="CX48" s="681">
        <v>25080</v>
      </c>
      <c r="CY48" s="681">
        <v>25160</v>
      </c>
      <c r="CZ48" s="681">
        <v>25040</v>
      </c>
      <c r="DA48" s="681">
        <v>25080</v>
      </c>
      <c r="DB48" s="682">
        <v>25090</v>
      </c>
      <c r="DC48" s="681">
        <v>25080</v>
      </c>
      <c r="DD48" s="681">
        <v>25000</v>
      </c>
      <c r="DE48" s="681">
        <v>25000</v>
      </c>
      <c r="DF48" s="681">
        <v>24760</v>
      </c>
      <c r="DG48" s="682">
        <v>24960</v>
      </c>
      <c r="DH48" s="681">
        <v>24640</v>
      </c>
      <c r="DI48" s="681">
        <v>24640</v>
      </c>
      <c r="DJ48" s="681">
        <v>24720</v>
      </c>
      <c r="DK48" s="681">
        <v>24840</v>
      </c>
      <c r="DL48" s="682">
        <v>24710</v>
      </c>
      <c r="DM48" s="681">
        <v>24880</v>
      </c>
      <c r="DN48" s="681">
        <v>25040</v>
      </c>
      <c r="DO48" s="681">
        <v>25200</v>
      </c>
      <c r="DP48" s="681">
        <v>25240</v>
      </c>
      <c r="DQ48" s="682">
        <v>25090</v>
      </c>
      <c r="DR48" s="681">
        <v>25280</v>
      </c>
      <c r="DS48" s="681">
        <v>25320</v>
      </c>
      <c r="DT48" s="681">
        <v>25380</v>
      </c>
      <c r="DU48" s="681">
        <v>25450</v>
      </c>
      <c r="DV48" s="682">
        <f>(DV37/DV54)</f>
        <v>25366.658450617382</v>
      </c>
      <c r="DW48" s="681">
        <v>25370</v>
      </c>
      <c r="DX48" s="681">
        <v>25160</v>
      </c>
      <c r="DY48" s="681">
        <v>24990</v>
      </c>
      <c r="DZ48" s="681">
        <v>24770</v>
      </c>
      <c r="EA48" s="682">
        <f>(EA37/EA54)</f>
        <v>25143.476722349315</v>
      </c>
      <c r="EB48" s="681">
        <v>24900</v>
      </c>
      <c r="EC48" s="681">
        <v>24990</v>
      </c>
      <c r="ED48" s="681">
        <v>24940</v>
      </c>
      <c r="EE48" s="681">
        <v>24900</v>
      </c>
      <c r="EF48" s="682">
        <f>(AVERAGE(EB48:EE48))</f>
        <v>24932.5</v>
      </c>
      <c r="EG48" s="681">
        <v>24890</v>
      </c>
      <c r="EH48" s="681">
        <v>24848</v>
      </c>
      <c r="EI48" s="681">
        <v>24774</v>
      </c>
      <c r="EJ48" s="681">
        <v>24706</v>
      </c>
      <c r="EK48" s="682">
        <f>EK37/EK54</f>
        <v>24794.060938531027</v>
      </c>
      <c r="EL48" s="681">
        <v>24611</v>
      </c>
      <c r="EM48" s="681">
        <v>24532</v>
      </c>
      <c r="EN48" s="681">
        <v>24483</v>
      </c>
      <c r="EO48" s="681">
        <v>24432</v>
      </c>
      <c r="EP48" s="682">
        <f>EP37/EP54</f>
        <v>24497.374388398475</v>
      </c>
      <c r="EQ48" s="681">
        <v>24391</v>
      </c>
      <c r="ER48" s="681">
        <f>EQ$48-(-(ER$141+ER$142)/$FQ$48)+(ER42/$FQ$48)</f>
        <v>24283.148705882355</v>
      </c>
      <c r="ES48" s="681">
        <f>ER$48-(-(ES$141+ES$142)/$FQ$48)+(ES42/$FQ$48)</f>
        <v>24175.490974117649</v>
      </c>
      <c r="ET48" s="681">
        <f>ES$48-(-(ET$141+ET$142)/$FQ$48)+(ET42/$FQ$48)</f>
        <v>24068.030558305887</v>
      </c>
      <c r="EU48" s="682">
        <f>EU37/EU54</f>
        <v>24208.449610251995</v>
      </c>
      <c r="EV48" s="681">
        <f>ET$48-(-(EV$141+EV$142)/$FQ$48)+(EV42/$FQ$48)</f>
        <v>23946.065404766119</v>
      </c>
      <c r="EW48" s="681">
        <f>EV$48-(-(EW$141+EW$142)/$FQ$48)+(EW42/$FQ$48)</f>
        <v>23824.305301096734</v>
      </c>
      <c r="EX48" s="681">
        <f>EW$48-(-(EX$141+EX$142)/$FQ$48)+(EX42/$FQ$48)</f>
        <v>23688.048348295139</v>
      </c>
      <c r="EY48" s="681">
        <f>EX$48-(-(EY$141+EY$142)/$FQ$48)+(EY42/$FQ$48)</f>
        <v>23552.00449173163</v>
      </c>
      <c r="EZ48" s="682">
        <f>EZ37/EZ54</f>
        <v>23736.219229458715</v>
      </c>
      <c r="FA48" s="681">
        <f>EY$48-(-(FA$141+FA$142)/$FQ$48)+(FA42/$FQ$48)</f>
        <v>23416.177875683908</v>
      </c>
      <c r="FB48" s="681">
        <f>FA$48-(-(FB$141+FB$142)/$FQ$48)+(FB42/$FQ$48)</f>
        <v>23280.572727315233</v>
      </c>
      <c r="FC48" s="681">
        <f>FB$48-(-(FC$141+FC$142)/$FQ$48)+(FC42/$FQ$48)</f>
        <v>23145.193358332126</v>
      </c>
      <c r="FD48" s="681">
        <f>FC$48-(-(FD$141+FD$142)/$FQ$48)+(FD42/$FQ$48)</f>
        <v>23010.044166675238</v>
      </c>
      <c r="FE48" s="682">
        <f>FE37/FE54</f>
        <v>23203.061127226094</v>
      </c>
      <c r="FF48" s="681">
        <f>FD$48-(-(FF$141+FF$142)/$FQ$48)+(FF42/$FQ$48)</f>
        <v>22860.423755891094</v>
      </c>
      <c r="FG48" s="681">
        <f>FF$48-(-(FG$141+FG$142)/$FQ$48)+(FG42/$FQ$48)</f>
        <v>22711.042583950093</v>
      </c>
      <c r="FH48" s="681">
        <f>FG$48-(-(FH$141+FH$142)/$FQ$48)+(FH42/$FQ$48)</f>
        <v>22561.905317982037</v>
      </c>
      <c r="FI48" s="681">
        <f>FH$48-(-(FI$141+FI$142)/$FQ$48)+(FI42/$FQ$48)</f>
        <v>22413.016718459323</v>
      </c>
      <c r="FJ48" s="682">
        <f>FJ37/FJ54</f>
        <v>22631.15702987953</v>
      </c>
      <c r="FK48" s="681">
        <f>FI$48-(-(FK$141+FK$142)/$FQ$48)+(FK42/$FQ$48)</f>
        <v>22249.675758710862</v>
      </c>
      <c r="FL48" s="681">
        <f>FK$48-(-(FL$141+FL$142)/$FQ$48)+(FL42/$FQ$48)</f>
        <v>22086.593273885079</v>
      </c>
      <c r="FM48" s="681">
        <f>FL$48-(-(FM$141+FM$142)/$FQ$48)+(FM42/$FQ$48)</f>
        <v>21923.774315833369</v>
      </c>
      <c r="FN48" s="681">
        <f>FM$48-(-(FN$141+FN$142)/$FQ$48)+(FN42/$FQ$48)</f>
        <v>21761.224037444154</v>
      </c>
      <c r="FO48" s="682">
        <f>FO37/FO54</f>
        <v>21994.491125775836</v>
      </c>
      <c r="FP48" s="682"/>
      <c r="FQ48" s="695">
        <v>170</v>
      </c>
    </row>
    <row r="49" spans="1:173">
      <c r="A49" s="171" t="s">
        <v>413</v>
      </c>
      <c r="B49" s="681">
        <v>0</v>
      </c>
      <c r="C49" s="681">
        <v>0</v>
      </c>
      <c r="D49" s="681">
        <v>0</v>
      </c>
      <c r="E49" s="681">
        <v>0</v>
      </c>
      <c r="F49" s="681">
        <v>0</v>
      </c>
      <c r="G49" s="681">
        <v>0</v>
      </c>
      <c r="H49" s="681">
        <v>0</v>
      </c>
      <c r="I49" s="681">
        <v>0</v>
      </c>
      <c r="J49" s="681">
        <v>0</v>
      </c>
      <c r="K49" s="681">
        <v>0</v>
      </c>
      <c r="L49" s="681">
        <v>0</v>
      </c>
      <c r="M49" s="681">
        <v>0</v>
      </c>
      <c r="N49" s="681">
        <v>0</v>
      </c>
      <c r="O49" s="681">
        <v>0</v>
      </c>
      <c r="P49" s="681">
        <v>0</v>
      </c>
      <c r="Q49" s="681">
        <v>0</v>
      </c>
      <c r="R49" s="681">
        <v>0</v>
      </c>
      <c r="S49" s="681">
        <v>0</v>
      </c>
      <c r="T49" s="681">
        <v>0</v>
      </c>
      <c r="U49" s="681">
        <v>0</v>
      </c>
      <c r="V49" s="681">
        <v>0</v>
      </c>
      <c r="W49" s="681">
        <v>0</v>
      </c>
      <c r="X49" s="681">
        <v>0</v>
      </c>
      <c r="Y49" s="681">
        <v>0</v>
      </c>
      <c r="Z49" s="681">
        <v>0</v>
      </c>
      <c r="AA49" s="681">
        <v>0</v>
      </c>
      <c r="AB49" s="681">
        <v>0</v>
      </c>
      <c r="AC49" s="681">
        <v>0</v>
      </c>
      <c r="AD49" s="681">
        <v>0</v>
      </c>
      <c r="AE49" s="681">
        <v>0</v>
      </c>
      <c r="AF49" s="681">
        <v>0</v>
      </c>
      <c r="AG49" s="681">
        <v>0</v>
      </c>
      <c r="AH49" s="681">
        <v>0</v>
      </c>
      <c r="AI49" s="681">
        <v>0</v>
      </c>
      <c r="AJ49" s="681">
        <v>0</v>
      </c>
      <c r="AK49" s="681">
        <v>0</v>
      </c>
      <c r="AL49" s="681">
        <v>0</v>
      </c>
      <c r="AM49" s="681">
        <v>0</v>
      </c>
      <c r="AN49" s="681">
        <v>0</v>
      </c>
      <c r="AO49" s="681">
        <v>0</v>
      </c>
      <c r="AP49" s="681">
        <v>0</v>
      </c>
      <c r="AQ49" s="681">
        <v>0</v>
      </c>
      <c r="AR49" s="681">
        <v>0</v>
      </c>
      <c r="AS49" s="681">
        <v>0</v>
      </c>
      <c r="AT49" s="681">
        <v>0</v>
      </c>
      <c r="AU49" s="681">
        <v>0</v>
      </c>
      <c r="AV49" s="681">
        <v>0</v>
      </c>
      <c r="AW49" s="681">
        <v>0</v>
      </c>
      <c r="AX49" s="681">
        <v>0</v>
      </c>
      <c r="AY49" s="681">
        <v>0</v>
      </c>
      <c r="AZ49" s="681">
        <v>0</v>
      </c>
      <c r="BA49" s="681">
        <v>0</v>
      </c>
      <c r="BB49" s="681">
        <v>0</v>
      </c>
      <c r="BC49" s="681">
        <v>0</v>
      </c>
      <c r="BD49" s="681">
        <v>0</v>
      </c>
      <c r="BE49" s="681">
        <v>0</v>
      </c>
      <c r="BF49" s="681">
        <v>0</v>
      </c>
      <c r="BG49" s="681">
        <v>0</v>
      </c>
      <c r="BH49" s="681">
        <v>0</v>
      </c>
      <c r="BI49" s="681">
        <v>0</v>
      </c>
      <c r="BJ49" s="681">
        <v>0</v>
      </c>
      <c r="BK49" s="681">
        <v>0</v>
      </c>
      <c r="BL49" s="681">
        <v>0</v>
      </c>
      <c r="BM49" s="681">
        <v>0</v>
      </c>
      <c r="BN49" s="681">
        <v>0</v>
      </c>
      <c r="BO49" s="681">
        <v>0</v>
      </c>
      <c r="BP49" s="681">
        <v>0</v>
      </c>
      <c r="BQ49" s="681">
        <v>0</v>
      </c>
      <c r="BR49" s="681">
        <v>0</v>
      </c>
      <c r="BS49" s="681">
        <v>0</v>
      </c>
      <c r="BT49" s="681">
        <v>0</v>
      </c>
      <c r="BU49" s="681">
        <v>0</v>
      </c>
      <c r="BV49" s="681">
        <v>0</v>
      </c>
      <c r="BW49" s="681">
        <v>0</v>
      </c>
      <c r="BX49" s="681">
        <v>0</v>
      </c>
      <c r="BY49" s="681">
        <v>0</v>
      </c>
      <c r="BZ49" s="681">
        <v>0</v>
      </c>
      <c r="CA49" s="681">
        <v>0</v>
      </c>
      <c r="CB49" s="681">
        <v>0</v>
      </c>
      <c r="CC49" s="681">
        <v>0</v>
      </c>
      <c r="CD49" s="681">
        <v>0</v>
      </c>
      <c r="CE49" s="681">
        <v>0</v>
      </c>
      <c r="CF49" s="681">
        <v>0</v>
      </c>
      <c r="CG49" s="681">
        <v>0</v>
      </c>
      <c r="CH49" s="681">
        <v>0</v>
      </c>
      <c r="CI49" s="681">
        <v>0</v>
      </c>
      <c r="CJ49" s="681">
        <v>0</v>
      </c>
      <c r="CK49" s="681">
        <v>0</v>
      </c>
      <c r="CL49" s="681">
        <v>0</v>
      </c>
      <c r="CM49" s="681">
        <v>0</v>
      </c>
      <c r="CN49" s="681">
        <v>0</v>
      </c>
      <c r="CO49" s="681">
        <v>0</v>
      </c>
      <c r="CP49" s="681">
        <v>22600</v>
      </c>
      <c r="CQ49" s="681">
        <v>23720</v>
      </c>
      <c r="CR49" s="682">
        <f>CR48</f>
        <v>22360</v>
      </c>
      <c r="CS49" s="681">
        <v>23880</v>
      </c>
      <c r="CT49" s="681">
        <v>25360</v>
      </c>
      <c r="CU49" s="681">
        <v>26120</v>
      </c>
      <c r="CV49" s="681">
        <v>26400</v>
      </c>
      <c r="CW49" s="682">
        <f>CW48</f>
        <v>23910</v>
      </c>
      <c r="CX49" s="681">
        <v>25640</v>
      </c>
      <c r="CY49" s="681">
        <v>25320</v>
      </c>
      <c r="CZ49" s="681">
        <v>25120</v>
      </c>
      <c r="DA49" s="681">
        <v>25120</v>
      </c>
      <c r="DB49" s="682">
        <f>DB48</f>
        <v>25090</v>
      </c>
      <c r="DC49" s="681">
        <v>25040</v>
      </c>
      <c r="DD49" s="681">
        <v>25040</v>
      </c>
      <c r="DE49" s="681">
        <v>25000</v>
      </c>
      <c r="DF49" s="681">
        <v>24760</v>
      </c>
      <c r="DG49" s="682">
        <f>DG48</f>
        <v>24960</v>
      </c>
      <c r="DH49" s="681">
        <v>24640</v>
      </c>
      <c r="DI49" s="681">
        <v>24640</v>
      </c>
      <c r="DJ49" s="681">
        <v>24720</v>
      </c>
      <c r="DK49" s="681">
        <v>24840</v>
      </c>
      <c r="DL49" s="682">
        <f>DL48</f>
        <v>24710</v>
      </c>
      <c r="DM49" s="681">
        <v>24880</v>
      </c>
      <c r="DN49" s="681">
        <v>25040</v>
      </c>
      <c r="DO49" s="681">
        <v>25200</v>
      </c>
      <c r="DP49" s="681">
        <v>25240</v>
      </c>
      <c r="DQ49" s="682">
        <f>DQ48</f>
        <v>25090</v>
      </c>
      <c r="DR49" s="681">
        <v>25280</v>
      </c>
      <c r="DS49" s="681">
        <v>25320</v>
      </c>
      <c r="DT49" s="681">
        <v>25380</v>
      </c>
      <c r="DU49" s="681">
        <v>25450</v>
      </c>
      <c r="DV49" s="682">
        <f>(DV48)</f>
        <v>25366.658450617382</v>
      </c>
      <c r="DW49" s="681">
        <v>25370</v>
      </c>
      <c r="DX49" s="681">
        <v>25160</v>
      </c>
      <c r="DY49" s="681">
        <v>24990</v>
      </c>
      <c r="DZ49" s="681">
        <v>24770</v>
      </c>
      <c r="EA49" s="682">
        <f>(EA48)</f>
        <v>25143.476722349315</v>
      </c>
      <c r="EB49" s="681">
        <v>24900</v>
      </c>
      <c r="EC49" s="681">
        <v>24990</v>
      </c>
      <c r="ED49" s="681">
        <v>24940</v>
      </c>
      <c r="EE49" s="681">
        <v>24900</v>
      </c>
      <c r="EF49" s="682">
        <f>(AVERAGE(EB49:EE49))</f>
        <v>24932.5</v>
      </c>
      <c r="EG49" s="681">
        <v>24890</v>
      </c>
      <c r="EH49" s="681">
        <v>24848</v>
      </c>
      <c r="EI49" s="681">
        <v>24774</v>
      </c>
      <c r="EJ49" s="681">
        <v>24706</v>
      </c>
      <c r="EK49" s="682">
        <f>EK48</f>
        <v>24794.060938531027</v>
      </c>
      <c r="EL49" s="681">
        <v>24611</v>
      </c>
      <c r="EM49" s="681">
        <v>24532</v>
      </c>
      <c r="EN49" s="681">
        <v>24483</v>
      </c>
      <c r="EO49" s="681">
        <v>24432</v>
      </c>
      <c r="EP49" s="682">
        <f>EP48</f>
        <v>24497.374388398475</v>
      </c>
      <c r="EQ49" s="681">
        <v>24391</v>
      </c>
      <c r="ER49" s="681">
        <f>ER48+ER47</f>
        <v>24283.148705882355</v>
      </c>
      <c r="ES49" s="681">
        <f>ES48+ES47</f>
        <v>24175.490974117649</v>
      </c>
      <c r="ET49" s="681">
        <f>ET48+ET47</f>
        <v>24068.030558305887</v>
      </c>
      <c r="EU49" s="682">
        <f>EU48</f>
        <v>24208.449610251995</v>
      </c>
      <c r="EV49" s="681">
        <f>EV48+EV47</f>
        <v>23946.065404766119</v>
      </c>
      <c r="EW49" s="681">
        <f>EW48+EW47</f>
        <v>23824.305301096734</v>
      </c>
      <c r="EX49" s="681">
        <f>EX48+EX47</f>
        <v>23688.048348295139</v>
      </c>
      <c r="EY49" s="681">
        <f>EY48+EY47</f>
        <v>23552.00449173163</v>
      </c>
      <c r="EZ49" s="682">
        <f>EZ48</f>
        <v>23736.219229458715</v>
      </c>
      <c r="FA49" s="681">
        <f>FA48+FA47</f>
        <v>23416.177875683908</v>
      </c>
      <c r="FB49" s="681">
        <f>FB48+FB47</f>
        <v>23280.572727315233</v>
      </c>
      <c r="FC49" s="681">
        <f>FC48+FC47</f>
        <v>23145.193358332126</v>
      </c>
      <c r="FD49" s="681">
        <f>FD48+FD47</f>
        <v>23010.044166675238</v>
      </c>
      <c r="FE49" s="682">
        <f>FE48</f>
        <v>23203.061127226094</v>
      </c>
      <c r="FF49" s="681">
        <f>FF48+FF47</f>
        <v>22860.423755891094</v>
      </c>
      <c r="FG49" s="681">
        <f>FG48+FG47</f>
        <v>22711.042583950093</v>
      </c>
      <c r="FH49" s="681">
        <f>FH48+FH47</f>
        <v>22561.905317982037</v>
      </c>
      <c r="FI49" s="681">
        <f>FI48+FI47</f>
        <v>22413.016718459323</v>
      </c>
      <c r="FJ49" s="682">
        <f>FJ48</f>
        <v>22631.15702987953</v>
      </c>
      <c r="FK49" s="681">
        <f>FK48+FK47</f>
        <v>22249.675758710862</v>
      </c>
      <c r="FL49" s="681">
        <f>FL48+FL47</f>
        <v>22086.593273885079</v>
      </c>
      <c r="FM49" s="681">
        <f>FM48+FM47</f>
        <v>21923.774315833369</v>
      </c>
      <c r="FN49" s="681">
        <f>FN48+FN47</f>
        <v>21761.224037444154</v>
      </c>
      <c r="FO49" s="682">
        <f>FO48</f>
        <v>21994.491125775836</v>
      </c>
      <c r="FP49" s="681"/>
      <c r="FQ49" s="696"/>
    </row>
    <row r="50" spans="1:173">
      <c r="B50" s="187"/>
      <c r="C50" s="187"/>
      <c r="D50" s="187"/>
      <c r="E50" s="187"/>
      <c r="G50" s="187"/>
      <c r="H50" s="187"/>
      <c r="I50" s="187"/>
      <c r="J50" s="187"/>
      <c r="L50" s="187"/>
      <c r="M50" s="187"/>
      <c r="N50" s="187"/>
      <c r="O50" s="187"/>
      <c r="Q50" s="187"/>
      <c r="R50" s="187"/>
      <c r="S50" s="187"/>
      <c r="T50" s="187"/>
      <c r="V50" s="187"/>
      <c r="W50" s="187"/>
      <c r="X50" s="187"/>
      <c r="Y50" s="187"/>
      <c r="AA50" s="187"/>
      <c r="AB50" s="187"/>
      <c r="AC50" s="187"/>
      <c r="AD50" s="187"/>
      <c r="AE50" s="148"/>
      <c r="AF50" s="187"/>
      <c r="AG50" s="187"/>
      <c r="AH50" s="187"/>
      <c r="AI50" s="187"/>
      <c r="AJ50" s="148"/>
      <c r="AK50" s="187"/>
      <c r="AL50" s="187"/>
      <c r="AM50" s="187"/>
      <c r="AN50" s="187"/>
      <c r="AO50" s="148"/>
      <c r="AP50" s="187"/>
      <c r="AQ50" s="187"/>
      <c r="AR50" s="187"/>
      <c r="AS50" s="187"/>
      <c r="AT50" s="148"/>
      <c r="AU50" s="187"/>
      <c r="AV50" s="187"/>
      <c r="AW50" s="187"/>
      <c r="AX50" s="187"/>
      <c r="AY50" s="148"/>
      <c r="AZ50" s="187"/>
      <c r="BA50" s="187"/>
      <c r="BB50" s="187"/>
      <c r="BC50" s="187"/>
      <c r="BD50" s="148"/>
      <c r="BE50" s="187"/>
      <c r="BF50" s="187"/>
      <c r="BG50" s="187"/>
      <c r="BH50" s="187"/>
      <c r="BI50" s="148"/>
      <c r="BJ50" s="187"/>
      <c r="BK50" s="187"/>
      <c r="BL50" s="187"/>
      <c r="BM50" s="187"/>
      <c r="BN50" s="148"/>
      <c r="BO50" s="187"/>
      <c r="BP50" s="187"/>
      <c r="BQ50" s="187"/>
      <c r="BR50" s="187"/>
      <c r="BS50" s="148"/>
      <c r="BT50" s="187"/>
      <c r="BU50" s="187"/>
      <c r="BV50" s="187"/>
      <c r="BW50" s="187"/>
      <c r="BX50" s="148"/>
      <c r="BY50" s="187"/>
      <c r="BZ50" s="187"/>
      <c r="CA50" s="187"/>
      <c r="CB50" s="187"/>
      <c r="CC50" s="148"/>
      <c r="CD50" s="187"/>
      <c r="CE50" s="187"/>
      <c r="CF50" s="187"/>
      <c r="CG50" s="187"/>
      <c r="CH50" s="148"/>
      <c r="CI50" s="187"/>
      <c r="CJ50" s="187"/>
      <c r="CK50" s="187"/>
      <c r="CL50" s="187"/>
      <c r="CM50" s="148"/>
      <c r="CN50" s="187"/>
      <c r="CO50" s="187"/>
      <c r="CP50" s="187"/>
      <c r="CQ50" s="187"/>
      <c r="CR50" s="684"/>
      <c r="CT50" s="567"/>
      <c r="CU50" s="567"/>
      <c r="CV50" s="567"/>
      <c r="CW50" s="697"/>
      <c r="CX50" s="172"/>
      <c r="CY50" s="567"/>
      <c r="CZ50" s="567"/>
      <c r="DA50" s="567"/>
      <c r="DB50" s="697"/>
      <c r="DC50" s="697"/>
      <c r="DD50" s="697"/>
      <c r="DE50" s="567"/>
      <c r="DF50" s="567"/>
      <c r="DG50" s="148"/>
      <c r="DH50" s="567"/>
      <c r="DI50" s="567"/>
      <c r="DJ50" s="570"/>
      <c r="DK50" s="567"/>
      <c r="DL50" s="148"/>
      <c r="DM50" s="567"/>
      <c r="DN50" s="567"/>
      <c r="DO50" s="567"/>
      <c r="DP50" s="567"/>
      <c r="DQ50" s="148"/>
      <c r="DR50" s="567"/>
      <c r="DS50" s="567"/>
      <c r="DT50" s="567"/>
      <c r="DU50" s="567"/>
      <c r="DV50" s="185"/>
      <c r="DW50" s="567"/>
      <c r="DX50" s="567"/>
      <c r="DY50" s="567"/>
      <c r="DZ50" s="567"/>
      <c r="EA50" s="185">
        <f>(EA37+EA42)/EA48</f>
        <v>0.33269066535116809</v>
      </c>
      <c r="EB50" s="567"/>
      <c r="EC50" s="567"/>
      <c r="ED50" s="567"/>
      <c r="EE50" s="567"/>
      <c r="EF50" s="148"/>
      <c r="EG50" s="567"/>
      <c r="EH50" s="567"/>
      <c r="EI50" s="567"/>
      <c r="EJ50" s="567"/>
      <c r="EK50" s="148"/>
      <c r="EL50" s="567"/>
      <c r="EM50" s="567"/>
      <c r="EN50" s="567"/>
      <c r="EO50" s="567"/>
      <c r="EP50" s="148"/>
      <c r="EQ50" s="567"/>
      <c r="ER50" s="567"/>
      <c r="ES50" s="567"/>
      <c r="ET50" s="567"/>
      <c r="EU50" s="148"/>
      <c r="EV50" s="188"/>
      <c r="EW50" s="567"/>
      <c r="EX50" s="567"/>
      <c r="EY50" s="567"/>
      <c r="EZ50" s="148"/>
      <c r="FA50" s="188"/>
      <c r="FB50" s="567"/>
      <c r="FC50" s="567"/>
      <c r="FD50" s="567"/>
      <c r="FE50" s="148"/>
      <c r="FF50" s="188"/>
      <c r="FG50" s="567"/>
      <c r="FH50" s="567"/>
      <c r="FI50" s="567"/>
      <c r="FJ50" s="148"/>
      <c r="FK50" s="188"/>
      <c r="FL50" s="567"/>
      <c r="FM50" s="567"/>
      <c r="FN50" s="567"/>
      <c r="FO50" s="148"/>
      <c r="FP50" s="148"/>
      <c r="FQ50" s="186"/>
    </row>
    <row r="51" spans="1:173" s="169" customFormat="1" hidden="1">
      <c r="A51" s="171" t="s">
        <v>414</v>
      </c>
      <c r="B51" s="189">
        <f>B37/B48</f>
        <v>-1.9326339039204863E-4</v>
      </c>
      <c r="C51" s="189">
        <f>C37/C48</f>
        <v>-2.078896163655965E-4</v>
      </c>
      <c r="D51" s="189">
        <f>D37/D48</f>
        <v>-4.2268149667376608E-4</v>
      </c>
      <c r="E51" s="189">
        <f>E37/E48</f>
        <v>2.3401961557676661E-4</v>
      </c>
      <c r="F51" s="159"/>
      <c r="G51" s="189">
        <f>G37/G48</f>
        <v>-1.5041958371637994E-4</v>
      </c>
      <c r="H51" s="189">
        <f>H37/H48</f>
        <v>-1.421284516068231E-3</v>
      </c>
      <c r="I51" s="189">
        <f>I37/I48</f>
        <v>5.3564784810734194E-4</v>
      </c>
      <c r="J51" s="189">
        <f>J37/J48</f>
        <v>5.53446362942931E-4</v>
      </c>
      <c r="K51" s="159"/>
      <c r="L51" s="189">
        <f>L37/L48</f>
        <v>3.6790630112258166E-4</v>
      </c>
      <c r="M51" s="189">
        <f>M37/M48</f>
        <v>4.1584402764067118E-4</v>
      </c>
      <c r="N51" s="189">
        <f>N37/N48</f>
        <v>7.5544098410843018E-4</v>
      </c>
      <c r="O51" s="189">
        <f>O37/O48</f>
        <v>8.0956565737264053E-4</v>
      </c>
      <c r="P51" s="159"/>
      <c r="Q51" s="189">
        <f>Q37/Q48</f>
        <v>7.8722989362887529E-4</v>
      </c>
      <c r="R51" s="189">
        <f>R37/R48</f>
        <v>1.2390390881527808E-3</v>
      </c>
      <c r="S51" s="189">
        <f>S37/S48</f>
        <v>1.4670230620998318E-3</v>
      </c>
      <c r="T51" s="189">
        <f>T37/T48</f>
        <v>1.6389836724937953E-3</v>
      </c>
      <c r="U51" s="159"/>
      <c r="V51" s="189">
        <f>V37/V48</f>
        <v>1.6960300362277296E-3</v>
      </c>
      <c r="W51" s="189">
        <f>W37/W48</f>
        <v>1.7918658226757963E-3</v>
      </c>
      <c r="X51" s="189">
        <f>X37/X48</f>
        <v>2.3624472797011426E-3</v>
      </c>
      <c r="Y51" s="189">
        <f>Y37/Y48</f>
        <v>3.6120953939325529E-3</v>
      </c>
      <c r="Z51" s="159"/>
      <c r="AA51" s="189">
        <f>AA37/AA48</f>
        <v>2.122879925249736E-3</v>
      </c>
      <c r="AB51" s="189">
        <f>AB37/AB48</f>
        <v>9.8526594378937969E-4</v>
      </c>
      <c r="AC51" s="189">
        <f>AC37/AC48</f>
        <v>2.5088869767765225E-4</v>
      </c>
      <c r="AD51" s="189">
        <f>AD37/AD48</f>
        <v>1.1282685737367937E-3</v>
      </c>
      <c r="AE51" s="159"/>
      <c r="AF51" s="189">
        <f>AF37/AF48</f>
        <v>9.799513671778083E-4</v>
      </c>
      <c r="AG51" s="189">
        <f>AG37/AG48</f>
        <v>1.1529581612250849E-3</v>
      </c>
      <c r="AH51" s="189"/>
      <c r="AI51" s="189"/>
      <c r="AJ51" s="159"/>
      <c r="AK51" s="189"/>
      <c r="AL51" s="189"/>
      <c r="AM51" s="189"/>
      <c r="AN51" s="189"/>
      <c r="AO51" s="159"/>
      <c r="AP51" s="189"/>
      <c r="AQ51" s="189"/>
      <c r="AR51" s="189"/>
      <c r="AS51" s="189"/>
      <c r="AT51" s="159"/>
      <c r="AU51" s="189"/>
      <c r="AV51" s="189"/>
      <c r="AW51" s="189"/>
      <c r="AX51" s="189"/>
      <c r="AY51" s="159"/>
      <c r="AZ51" s="189"/>
      <c r="BA51" s="189"/>
      <c r="BB51" s="189"/>
      <c r="BC51" s="189"/>
      <c r="BD51" s="159"/>
      <c r="BE51" s="189"/>
      <c r="BF51" s="189"/>
      <c r="BG51" s="189"/>
      <c r="BH51" s="189"/>
      <c r="BI51" s="159"/>
      <c r="BJ51" s="189"/>
      <c r="BK51" s="189"/>
      <c r="BL51" s="189"/>
      <c r="BM51" s="189"/>
      <c r="BN51" s="159"/>
      <c r="BO51" s="189"/>
      <c r="BP51" s="189"/>
      <c r="BQ51" s="189"/>
      <c r="BR51" s="189"/>
      <c r="BS51" s="159"/>
      <c r="BT51" s="189"/>
      <c r="BU51" s="189"/>
      <c r="BV51" s="189"/>
      <c r="BW51" s="189"/>
      <c r="BX51" s="159"/>
      <c r="BY51" s="189"/>
      <c r="BZ51" s="189"/>
      <c r="CA51" s="189"/>
      <c r="CB51" s="189"/>
      <c r="CC51" s="159"/>
      <c r="CD51" s="189"/>
      <c r="CE51" s="189"/>
      <c r="CF51" s="189"/>
      <c r="CG51" s="189"/>
      <c r="CH51" s="159"/>
      <c r="CI51" s="189"/>
      <c r="CJ51" s="189"/>
      <c r="CK51" s="189"/>
      <c r="CL51" s="189"/>
      <c r="CM51" s="159"/>
      <c r="CN51" s="189"/>
      <c r="CO51" s="189"/>
      <c r="CP51" s="189"/>
      <c r="CQ51" s="189"/>
      <c r="CR51" s="159"/>
      <c r="CS51" s="189"/>
      <c r="CT51" s="189"/>
      <c r="CU51" s="189"/>
      <c r="CV51" s="189"/>
      <c r="CW51" s="159"/>
      <c r="CX51" s="189"/>
      <c r="CY51" s="189"/>
      <c r="CZ51" s="189"/>
      <c r="DA51" s="189"/>
      <c r="DB51" s="159"/>
      <c r="DC51" s="189"/>
      <c r="DD51" s="189"/>
      <c r="DE51" s="189"/>
      <c r="DF51" s="189"/>
      <c r="DG51" s="159"/>
      <c r="DH51" s="189"/>
      <c r="DI51" s="189"/>
      <c r="DJ51" s="189"/>
      <c r="DK51" s="189"/>
      <c r="DL51" s="159"/>
      <c r="DM51" s="189"/>
      <c r="DN51" s="189"/>
      <c r="DO51" s="189"/>
      <c r="DP51" s="189"/>
      <c r="DQ51" s="159"/>
      <c r="DR51" s="189"/>
      <c r="DS51" s="189"/>
      <c r="DT51" s="189"/>
      <c r="DU51" s="189"/>
      <c r="DV51" s="159"/>
      <c r="DW51" s="189"/>
      <c r="DX51" s="189"/>
      <c r="DY51" s="189"/>
      <c r="DZ51" s="189"/>
      <c r="EA51" s="159"/>
      <c r="EB51" s="189"/>
      <c r="EC51" s="189"/>
      <c r="ED51" s="189"/>
      <c r="EE51" s="189"/>
      <c r="EF51" s="159"/>
      <c r="EG51" s="189"/>
      <c r="EH51" s="189"/>
      <c r="EI51" s="189"/>
      <c r="EJ51" s="189"/>
      <c r="EK51" s="159"/>
      <c r="EL51" s="189"/>
      <c r="EM51" s="189"/>
      <c r="EN51" s="189"/>
      <c r="EO51" s="189"/>
      <c r="EP51" s="159"/>
      <c r="EQ51" s="189"/>
      <c r="ER51" s="189"/>
      <c r="ES51" s="189"/>
      <c r="ET51" s="189"/>
      <c r="EU51" s="159"/>
      <c r="EV51" s="189"/>
      <c r="EW51" s="189"/>
      <c r="EX51" s="189"/>
      <c r="EY51" s="189"/>
      <c r="EZ51" s="159"/>
      <c r="FA51" s="189"/>
      <c r="FB51" s="189"/>
      <c r="FC51" s="189"/>
      <c r="FD51" s="189"/>
      <c r="FE51" s="159"/>
      <c r="FF51" s="189"/>
      <c r="FG51" s="189"/>
      <c r="FH51" s="189"/>
      <c r="FI51" s="189"/>
      <c r="FJ51" s="159"/>
      <c r="FK51" s="189"/>
      <c r="FL51" s="189"/>
      <c r="FM51" s="189"/>
      <c r="FN51" s="189"/>
      <c r="FO51" s="159"/>
      <c r="FP51" s="159"/>
    </row>
    <row r="52" spans="1:173" s="169" customFormat="1" hidden="1">
      <c r="A52" s="171" t="s">
        <v>415</v>
      </c>
      <c r="B52" s="698" t="e">
        <f>B330/#REF!</f>
        <v>#REF!</v>
      </c>
      <c r="C52" s="698" t="e">
        <f>C330/#REF!</f>
        <v>#REF!</v>
      </c>
      <c r="D52" s="698" t="e">
        <f>D330/#REF!</f>
        <v>#REF!</v>
      </c>
      <c r="E52" s="698" t="e">
        <f>E330/#REF!</f>
        <v>#REF!</v>
      </c>
      <c r="F52" s="159"/>
      <c r="G52" s="698" t="e">
        <f>G330/#REF!</f>
        <v>#REF!</v>
      </c>
      <c r="H52" s="698" t="e">
        <f>H330/#REF!</f>
        <v>#REF!</v>
      </c>
      <c r="I52" s="698" t="e">
        <f>I330/#REF!</f>
        <v>#REF!</v>
      </c>
      <c r="J52" s="698" t="e">
        <f>J330/#REF!</f>
        <v>#REF!</v>
      </c>
      <c r="K52" s="159"/>
      <c r="L52" s="698" t="e">
        <f>L330/#REF!</f>
        <v>#REF!</v>
      </c>
      <c r="M52" s="698" t="e">
        <f>M330/#REF!</f>
        <v>#REF!</v>
      </c>
      <c r="N52" s="698" t="e">
        <f>N330/#REF!</f>
        <v>#REF!</v>
      </c>
      <c r="O52" s="698" t="e">
        <f>O330/#REF!</f>
        <v>#REF!</v>
      </c>
      <c r="P52" s="159"/>
      <c r="Q52" s="698" t="e">
        <f>Q330/#REF!</f>
        <v>#REF!</v>
      </c>
      <c r="R52" s="698" t="e">
        <f>R330/#REF!</f>
        <v>#REF!</v>
      </c>
      <c r="S52" s="698" t="e">
        <f>S330/#REF!</f>
        <v>#REF!</v>
      </c>
      <c r="T52" s="698" t="e">
        <f>T330/#REF!</f>
        <v>#REF!</v>
      </c>
      <c r="U52" s="159"/>
      <c r="V52" s="698" t="e">
        <f>V330/#REF!</f>
        <v>#REF!</v>
      </c>
      <c r="W52" s="698" t="e">
        <f>W330/#REF!</f>
        <v>#REF!</v>
      </c>
      <c r="X52" s="698" t="e">
        <f>X330/#REF!</f>
        <v>#REF!</v>
      </c>
      <c r="Y52" s="698" t="e">
        <f>Y330/#REF!</f>
        <v>#REF!</v>
      </c>
      <c r="Z52" s="159"/>
      <c r="AA52" s="698" t="e">
        <f>AA330/#REF!</f>
        <v>#REF!</v>
      </c>
      <c r="AB52" s="698" t="e">
        <f>AB330/#REF!</f>
        <v>#REF!</v>
      </c>
      <c r="AC52" s="698" t="e">
        <f>AC330/#REF!</f>
        <v>#REF!</v>
      </c>
      <c r="AD52" s="698">
        <f>AD330/AD48</f>
        <v>1.2316900009766408E-3</v>
      </c>
      <c r="AE52" s="159"/>
      <c r="AF52" s="698">
        <f>AF330/AF48</f>
        <v>1.1037045307925172E-3</v>
      </c>
      <c r="AG52" s="698">
        <f>AG330/AG48</f>
        <v>1.3070189034839787E-3</v>
      </c>
      <c r="AH52" s="698"/>
      <c r="AI52" s="698"/>
      <c r="AJ52" s="159"/>
      <c r="AK52" s="698"/>
      <c r="AL52" s="698"/>
      <c r="AM52" s="698"/>
      <c r="AN52" s="698"/>
      <c r="AO52" s="159"/>
      <c r="AP52" s="698"/>
      <c r="AQ52" s="698"/>
      <c r="AR52" s="698"/>
      <c r="AS52" s="698"/>
      <c r="AT52" s="159"/>
      <c r="AU52" s="698"/>
      <c r="AV52" s="698"/>
      <c r="AW52" s="698"/>
      <c r="AX52" s="698"/>
      <c r="AY52" s="159"/>
      <c r="AZ52" s="698"/>
      <c r="BA52" s="698"/>
      <c r="BB52" s="698"/>
      <c r="BC52" s="698"/>
      <c r="BD52" s="159"/>
      <c r="BE52" s="698"/>
      <c r="BF52" s="698"/>
      <c r="BG52" s="698"/>
      <c r="BH52" s="698"/>
      <c r="BI52" s="159"/>
      <c r="BJ52" s="698"/>
      <c r="BK52" s="698"/>
      <c r="BL52" s="698"/>
      <c r="BM52" s="698"/>
      <c r="BN52" s="159"/>
      <c r="BO52" s="698"/>
      <c r="BP52" s="698"/>
      <c r="BQ52" s="698"/>
      <c r="BR52" s="698"/>
      <c r="BS52" s="159"/>
      <c r="BT52" s="698"/>
      <c r="BU52" s="698"/>
      <c r="BV52" s="698"/>
      <c r="BW52" s="698"/>
      <c r="BX52" s="159"/>
      <c r="BY52" s="698"/>
      <c r="BZ52" s="698"/>
      <c r="CA52" s="698"/>
      <c r="CB52" s="698"/>
      <c r="CC52" s="159"/>
      <c r="CD52" s="698"/>
      <c r="CE52" s="698"/>
      <c r="CF52" s="698"/>
      <c r="CG52" s="698"/>
      <c r="CH52" s="159"/>
      <c r="CI52" s="698"/>
      <c r="CJ52" s="698"/>
      <c r="CK52" s="698"/>
      <c r="CL52" s="698"/>
      <c r="CM52" s="159"/>
      <c r="CN52" s="698"/>
      <c r="CO52" s="698"/>
      <c r="CP52" s="698"/>
      <c r="CQ52" s="698"/>
      <c r="CR52" s="159"/>
      <c r="CS52" s="698"/>
      <c r="CT52" s="698"/>
      <c r="CU52" s="698"/>
      <c r="CV52" s="698"/>
      <c r="CW52" s="159"/>
      <c r="CX52" s="698"/>
      <c r="CY52" s="698"/>
      <c r="CZ52" s="698"/>
      <c r="DA52" s="698"/>
      <c r="DB52" s="159"/>
      <c r="DC52" s="698"/>
      <c r="DD52" s="698"/>
      <c r="DE52" s="698"/>
      <c r="DF52" s="698"/>
      <c r="DG52" s="159"/>
      <c r="DH52" s="698"/>
      <c r="DI52" s="698"/>
      <c r="DJ52" s="698"/>
      <c r="DK52" s="698"/>
      <c r="DL52" s="159"/>
      <c r="DM52" s="698"/>
      <c r="DN52" s="698"/>
      <c r="DO52" s="698"/>
      <c r="DP52" s="698"/>
      <c r="DQ52" s="159"/>
      <c r="DR52" s="698"/>
      <c r="DS52" s="698"/>
      <c r="DT52" s="698"/>
      <c r="DU52" s="698"/>
      <c r="DV52" s="159"/>
      <c r="DW52" s="698"/>
      <c r="DX52" s="698"/>
      <c r="DY52" s="698"/>
      <c r="DZ52" s="698"/>
      <c r="EA52" s="159"/>
      <c r="EB52" s="698"/>
      <c r="EC52" s="698"/>
      <c r="ED52" s="698"/>
      <c r="EE52" s="698"/>
      <c r="EF52" s="159"/>
      <c r="EG52" s="698"/>
      <c r="EH52" s="698"/>
      <c r="EI52" s="698"/>
      <c r="EJ52" s="698"/>
      <c r="EK52" s="159"/>
      <c r="EL52" s="698"/>
      <c r="EM52" s="698"/>
      <c r="EN52" s="698"/>
      <c r="EO52" s="698"/>
      <c r="EP52" s="159"/>
      <c r="EQ52" s="698"/>
      <c r="ER52" s="698"/>
      <c r="ES52" s="698"/>
      <c r="ET52" s="698"/>
      <c r="EU52" s="159"/>
      <c r="EV52" s="698"/>
      <c r="EW52" s="698"/>
      <c r="EX52" s="698"/>
      <c r="EY52" s="698"/>
      <c r="EZ52" s="159"/>
      <c r="FA52" s="698"/>
      <c r="FB52" s="698"/>
      <c r="FC52" s="698"/>
      <c r="FD52" s="698"/>
      <c r="FE52" s="159"/>
      <c r="FF52" s="698"/>
      <c r="FG52" s="698"/>
      <c r="FH52" s="698"/>
      <c r="FI52" s="698"/>
      <c r="FJ52" s="159"/>
      <c r="FK52" s="698"/>
      <c r="FL52" s="698"/>
      <c r="FM52" s="698"/>
      <c r="FN52" s="698"/>
      <c r="FO52" s="159"/>
      <c r="FP52" s="159"/>
    </row>
    <row r="53" spans="1:173">
      <c r="A53" s="147" t="s">
        <v>416</v>
      </c>
      <c r="B53" s="699">
        <v>-7.7305356156819448E-3</v>
      </c>
      <c r="C53" s="699">
        <v>-8.3155846546238612E-3</v>
      </c>
      <c r="D53" s="699">
        <v>-1.6907259866950644E-2</v>
      </c>
      <c r="E53" s="699">
        <v>9.360784623070665E-3</v>
      </c>
      <c r="F53" s="190">
        <f>(F37+F42)/F48</f>
        <v>-5.8981488785464454E-4</v>
      </c>
      <c r="G53" s="699">
        <v>-6.016783348655198E-3</v>
      </c>
      <c r="H53" s="699">
        <v>-5.6851380642729245E-2</v>
      </c>
      <c r="I53" s="699">
        <v>2.1425913924293678E-2</v>
      </c>
      <c r="J53" s="699">
        <v>2.2137854517717239E-2</v>
      </c>
      <c r="K53" s="190">
        <f>(K37+K42)/K48</f>
        <v>4.0535500461299882E-4</v>
      </c>
      <c r="L53" s="699">
        <v>1.4716252044903266E-2</v>
      </c>
      <c r="M53" s="699">
        <v>1.6633761105626844E-2</v>
      </c>
      <c r="N53" s="699">
        <v>3.0217639364337204E-2</v>
      </c>
      <c r="O53" s="699">
        <v>3.2382626294905618E-2</v>
      </c>
      <c r="P53" s="190">
        <f>(P37+P42)/P48</f>
        <v>2.3638938715016874E-3</v>
      </c>
      <c r="Q53" s="699">
        <v>3.1489195745155012E-2</v>
      </c>
      <c r="R53" s="699">
        <v>4.9561563526111227E-2</v>
      </c>
      <c r="S53" s="699">
        <v>5.8163028889853856E-2</v>
      </c>
      <c r="T53" s="699">
        <v>6.5559346899751819E-2</v>
      </c>
      <c r="U53" s="190">
        <f>(U37+U42)/U48</f>
        <v>5.1513563056757028E-3</v>
      </c>
      <c r="V53" s="699">
        <v>6.7841201449109184E-2</v>
      </c>
      <c r="W53" s="699">
        <v>7.1674632907031854E-2</v>
      </c>
      <c r="X53" s="699">
        <v>9.4497891188045705E-2</v>
      </c>
      <c r="Y53" s="699">
        <v>0.14448381575730213</v>
      </c>
      <c r="Z53" s="190">
        <f>(Z37+Z42)/Z48</f>
        <v>9.5309788382240603E-3</v>
      </c>
      <c r="AA53" s="699">
        <v>8.4915197009989438E-2</v>
      </c>
      <c r="AB53" s="699">
        <v>3.9410637751575196E-2</v>
      </c>
      <c r="AC53" s="699">
        <v>1.003554790710609E-2</v>
      </c>
      <c r="AD53" s="699">
        <f>MIN(AD51:AD52)</f>
        <v>1.1282685737367937E-3</v>
      </c>
      <c r="AE53" s="190">
        <f>(AE37+AE42)/AE48</f>
        <v>4.6437600527900347E-3</v>
      </c>
      <c r="AF53" s="699">
        <f>MIN(AF51:AF52)</f>
        <v>9.799513671778083E-4</v>
      </c>
      <c r="AG53" s="699">
        <f>MIN(AG51:AG52)</f>
        <v>1.1529581612250849E-3</v>
      </c>
      <c r="AH53" s="699">
        <f>AH37/AH48</f>
        <v>8.5171345681080146E-4</v>
      </c>
      <c r="AI53" s="699">
        <f>AI37/AI48</f>
        <v>1.1412600992498666E-3</v>
      </c>
      <c r="AJ53" s="190">
        <f>(AJ37+AJ42)/AJ48</f>
        <v>7.6934910410423451E-3</v>
      </c>
      <c r="AK53" s="699">
        <f>AK37/AK48</f>
        <v>9.9680261169847809E-4</v>
      </c>
      <c r="AL53" s="699">
        <f>AL37/AL48</f>
        <v>2.4043835966459635E-4</v>
      </c>
      <c r="AM53" s="699">
        <f>AM37/AM48</f>
        <v>1.2475246188346873E-3</v>
      </c>
      <c r="AN53" s="699">
        <f>AN37/AN48</f>
        <v>2.2570335727220936E-3</v>
      </c>
      <c r="AO53" s="190">
        <f>(AO37+AO42)/AO48</f>
        <v>8.7984261158260864E-3</v>
      </c>
      <c r="AP53" s="699">
        <f>AP37/AP48</f>
        <v>2.9753857973391275E-3</v>
      </c>
      <c r="AQ53" s="699">
        <f>AQ37/AQ48</f>
        <v>3.4495362944115641E-3</v>
      </c>
      <c r="AR53" s="699">
        <f>AR37/AR48</f>
        <v>3.5031141529122622E-3</v>
      </c>
      <c r="AS53" s="699">
        <f>AS37/AS48</f>
        <v>4.3901312042638717E-3</v>
      </c>
      <c r="AT53" s="190">
        <f>(AT37+AT42)/AT48</f>
        <v>1.7941780301838368E-2</v>
      </c>
      <c r="AU53" s="699">
        <f>(AU37+AU42)/AU48</f>
        <v>4.7440947577814989E-3</v>
      </c>
      <c r="AV53" s="699">
        <f>(AV37+AV42)/AV48</f>
        <v>4.867445215847273E-3</v>
      </c>
      <c r="AW53" s="699">
        <f>(AW37+AW42)/(384.826*1.5)</f>
        <v>0.25838863971422588</v>
      </c>
      <c r="AX53" s="699">
        <f>(AX37+AX42)/(391.514*1.5)</f>
        <v>0.30642175418162998</v>
      </c>
      <c r="AY53" s="190">
        <f>(AY37+AY42)/AY48</f>
        <v>2.3534987279792186E-2</v>
      </c>
      <c r="AZ53" s="699">
        <f>(AZ37+AZ42)/(387.397*1.5)</f>
        <v>0.28296037398327817</v>
      </c>
      <c r="BA53" s="699">
        <f>(BA37+BA42)/(392.165*1.5)</f>
        <v>0.33670691333154834</v>
      </c>
      <c r="BB53" s="699">
        <f>(BB37+BB42)/595.058</f>
        <v>0.44394495998709371</v>
      </c>
      <c r="BC53" s="699">
        <f>(BC37+BC42)/593.336</f>
        <v>0.49312362641066776</v>
      </c>
      <c r="BD53" s="190">
        <f t="shared" ref="BD53:DE53" si="45">(BD37+BD42)/BD48</f>
        <v>3.7918579342829314E-2</v>
      </c>
      <c r="BE53" s="699">
        <f t="shared" si="45"/>
        <v>8.9430715773434945E-3</v>
      </c>
      <c r="BF53" s="699">
        <f t="shared" si="45"/>
        <v>3.2448843389502923E-3</v>
      </c>
      <c r="BG53" s="699">
        <f t="shared" si="45"/>
        <v>2.7513745801862042E-3</v>
      </c>
      <c r="BH53" s="699">
        <f t="shared" si="45"/>
        <v>-4.3868990597010753E-3</v>
      </c>
      <c r="BI53" s="190">
        <f t="shared" si="45"/>
        <v>1.1205888859811351E-2</v>
      </c>
      <c r="BJ53" s="699">
        <f t="shared" si="45"/>
        <v>-2.1516296120094331E-3</v>
      </c>
      <c r="BK53" s="699">
        <f t="shared" si="45"/>
        <v>1.6764865321211785E-3</v>
      </c>
      <c r="BL53" s="699">
        <f t="shared" si="45"/>
        <v>4.8021261148958614E-3</v>
      </c>
      <c r="BM53" s="699">
        <f t="shared" si="45"/>
        <v>6.6174638924823186E-3</v>
      </c>
      <c r="BN53" s="190">
        <f t="shared" si="45"/>
        <v>1.1296621390958892E-2</v>
      </c>
      <c r="BO53" s="699">
        <f t="shared" si="45"/>
        <v>6.9202550943574994E-3</v>
      </c>
      <c r="BP53" s="699">
        <f t="shared" si="45"/>
        <v>1.7188062510474788E-3</v>
      </c>
      <c r="BQ53" s="699">
        <f t="shared" si="45"/>
        <v>4.5263131863233896E-3</v>
      </c>
      <c r="BR53" s="699">
        <f t="shared" si="45"/>
        <v>5.5802040921266128E-3</v>
      </c>
      <c r="BS53" s="190">
        <f t="shared" si="45"/>
        <v>1.880723444732996E-2</v>
      </c>
      <c r="BT53" s="699">
        <f t="shared" si="45"/>
        <v>6.6280206284148923E-3</v>
      </c>
      <c r="BU53" s="699">
        <f t="shared" si="45"/>
        <v>7.7386409659097842E-3</v>
      </c>
      <c r="BV53" s="699">
        <f t="shared" si="45"/>
        <v>8.7091498342478924E-3</v>
      </c>
      <c r="BW53" s="699">
        <f t="shared" si="45"/>
        <v>6.530879411410076E-3</v>
      </c>
      <c r="BX53" s="190">
        <f t="shared" si="45"/>
        <v>2.959986790370997E-2</v>
      </c>
      <c r="BY53" s="699">
        <f t="shared" si="45"/>
        <v>4.121497596932284E-3</v>
      </c>
      <c r="BZ53" s="699">
        <f t="shared" si="45"/>
        <v>6.8382417839885851E-3</v>
      </c>
      <c r="CA53" s="699">
        <f t="shared" si="45"/>
        <v>9.6595106902336771E-3</v>
      </c>
      <c r="CB53" s="699">
        <f t="shared" si="45"/>
        <v>8.6903563080168132E-3</v>
      </c>
      <c r="CC53" s="190">
        <f t="shared" si="45"/>
        <v>2.9325144847929682E-2</v>
      </c>
      <c r="CD53" s="699">
        <f t="shared" si="45"/>
        <v>4.5939345828045122E-3</v>
      </c>
      <c r="CE53" s="699">
        <f t="shared" si="45"/>
        <v>5.6304243538072276E-3</v>
      </c>
      <c r="CF53" s="699">
        <f t="shared" si="45"/>
        <v>6.3817617604696097E-3</v>
      </c>
      <c r="CG53" s="699">
        <f t="shared" si="45"/>
        <v>7.8974921885283985E-3</v>
      </c>
      <c r="CH53" s="190">
        <f t="shared" si="45"/>
        <v>2.438818847858348E-2</v>
      </c>
      <c r="CI53" s="699">
        <f t="shared" si="45"/>
        <v>7.2777259642860951E-3</v>
      </c>
      <c r="CJ53" s="699">
        <f t="shared" si="45"/>
        <v>7.5989971467229391E-3</v>
      </c>
      <c r="CK53" s="699">
        <f t="shared" si="45"/>
        <v>9.8725638255753798E-3</v>
      </c>
      <c r="CL53" s="699">
        <f t="shared" si="45"/>
        <v>1.0828184263340118E-2</v>
      </c>
      <c r="CM53" s="190">
        <f t="shared" si="45"/>
        <v>3.5508438811083419E-2</v>
      </c>
      <c r="CN53" s="699">
        <f t="shared" si="45"/>
        <v>8.2295373665480422E-3</v>
      </c>
      <c r="CO53" s="699">
        <f t="shared" si="45"/>
        <v>8.605072463768116E-3</v>
      </c>
      <c r="CP53" s="699">
        <f t="shared" si="45"/>
        <v>1.1621621621621621E-2</v>
      </c>
      <c r="CQ53" s="699">
        <f t="shared" si="45"/>
        <v>1.2918871252204586E-2</v>
      </c>
      <c r="CR53" s="190">
        <f t="shared" si="45"/>
        <v>4.1413237924865835E-2</v>
      </c>
      <c r="CS53" s="699">
        <f t="shared" si="45"/>
        <v>1.1487676056338028E-2</v>
      </c>
      <c r="CT53" s="699">
        <f>(CT37+CT42)/CT48</f>
        <v>1.3197969543147208E-2</v>
      </c>
      <c r="CU53" s="699">
        <f t="shared" si="45"/>
        <v>2.34375E-2</v>
      </c>
      <c r="CV53" s="699">
        <f t="shared" si="45"/>
        <v>2.8245192307692308E-2</v>
      </c>
      <c r="CW53" s="190">
        <f t="shared" si="45"/>
        <v>7.7289836888331243E-2</v>
      </c>
      <c r="CX53" s="699">
        <f t="shared" si="45"/>
        <v>2.1212121212121213E-2</v>
      </c>
      <c r="CY53" s="699">
        <f t="shared" si="45"/>
        <v>2.5357710651828298E-2</v>
      </c>
      <c r="CZ53" s="699">
        <f t="shared" si="45"/>
        <v>3.32667731629393E-2</v>
      </c>
      <c r="DA53" s="699">
        <f>(DA37+DA42)/DA48</f>
        <v>4.310207336523126E-2</v>
      </c>
      <c r="DB53" s="190">
        <f>SUM(CX53:DA53)</f>
        <v>0.12293867839212008</v>
      </c>
      <c r="DC53" s="699">
        <f>(DC37+DC42)/DC48</f>
        <v>5.1236044657097288E-2</v>
      </c>
      <c r="DD53" s="699">
        <f>(DD37+DD42)/DD48</f>
        <v>4.8399999999999999E-2</v>
      </c>
      <c r="DE53" s="699">
        <f t="shared" si="45"/>
        <v>4.6039999999999998E-2</v>
      </c>
      <c r="DF53" s="699">
        <f>(DF37+DF42)/DF48</f>
        <v>2.0032310177705976E-2</v>
      </c>
      <c r="DG53" s="190">
        <f>SUM(DC53:DF53)</f>
        <v>0.16570835483480326</v>
      </c>
      <c r="DH53" s="699">
        <f t="shared" ref="DH53:DP53" si="46">(DH37+DH42)/DH48</f>
        <v>2.2037337662337661E-2</v>
      </c>
      <c r="DI53" s="699">
        <f t="shared" si="46"/>
        <v>3.0925324675324675E-2</v>
      </c>
      <c r="DJ53" s="699">
        <f>(DJ37+DJ42)/DJ48</f>
        <v>4.4579288025889965E-2</v>
      </c>
      <c r="DK53" s="699">
        <f t="shared" si="46"/>
        <v>4.7181964573268918E-2</v>
      </c>
      <c r="DL53" s="190">
        <f>SUM(DH53:DK53)</f>
        <v>0.14472391493682121</v>
      </c>
      <c r="DM53" s="699">
        <f t="shared" si="46"/>
        <v>4.5016077170418008E-2</v>
      </c>
      <c r="DN53" s="699">
        <f t="shared" si="46"/>
        <v>5.4552715654952073E-2</v>
      </c>
      <c r="DO53" s="699">
        <f t="shared" si="46"/>
        <v>7.2777777777777775E-2</v>
      </c>
      <c r="DP53" s="699">
        <f t="shared" si="46"/>
        <v>7.7535657686212359E-2</v>
      </c>
      <c r="DQ53" s="190">
        <f>SUM(DM53:DP53)</f>
        <v>0.24988222828936019</v>
      </c>
      <c r="DR53" s="699">
        <f>(DR37+DR42)/DR48</f>
        <v>9.1495253164556964E-2</v>
      </c>
      <c r="DS53" s="699">
        <f>(DS37+DS42)/DS48</f>
        <v>0.10359399684044233</v>
      </c>
      <c r="DT53" s="699">
        <f>(DT37+DT42)/DT48</f>
        <v>0.11713947990543735</v>
      </c>
      <c r="DU53" s="699">
        <f>(DU37+DU42)/DU48</f>
        <v>0.13163064833005894</v>
      </c>
      <c r="DV53" s="190">
        <f>SUM(DR53:DU53)</f>
        <v>0.44385937824049559</v>
      </c>
      <c r="DW53" s="699">
        <f>(DW37+DW42)/DW48</f>
        <v>0.13571147024044147</v>
      </c>
      <c r="DX53" s="699">
        <f>(DX37+DX42)/DX48</f>
        <v>5.1351351351351354E-2</v>
      </c>
      <c r="DY53" s="699">
        <f>(DY37+DY42)/DY48</f>
        <v>5.8263305322128853E-2</v>
      </c>
      <c r="DZ53" s="699">
        <f>(DZ37+DZ42)/DZ48</f>
        <v>8.7767460637868389E-2</v>
      </c>
      <c r="EA53" s="190">
        <f>SUM(DW53:DZ53)</f>
        <v>0.33309358755179008</v>
      </c>
      <c r="EB53" s="699">
        <f>(EB37+EB42)/EB48</f>
        <v>0.10895582329317269</v>
      </c>
      <c r="EC53" s="699">
        <f>(EC37+EC42)/EC48</f>
        <v>0.26970788315326133</v>
      </c>
      <c r="ED53" s="699">
        <f>(ED37+ED42)/ED48</f>
        <v>0.40176423416198875</v>
      </c>
      <c r="EE53" s="699">
        <f>(EE37+EE42)/EE48</f>
        <v>0.51562248995983939</v>
      </c>
      <c r="EF53" s="190">
        <f>SUM(EB53:EE53)</f>
        <v>1.2960504305682621</v>
      </c>
      <c r="EG53" s="699">
        <f>(EG37+EG42)/EG48</f>
        <v>0.61221374045801524</v>
      </c>
      <c r="EH53" s="699">
        <f>(EH37+EH42)/EH48</f>
        <v>0.68222794591113978</v>
      </c>
      <c r="EI53" s="699">
        <f>(EI37+EI42)/EI48</f>
        <v>0.80770162266892709</v>
      </c>
      <c r="EJ53" s="699">
        <f>(EJ37+EJ42)/EJ48</f>
        <v>0.89314336598397148</v>
      </c>
      <c r="EK53" s="190">
        <f>SUM(EG53:EJ53)</f>
        <v>2.9952866750220535</v>
      </c>
      <c r="EL53" s="699">
        <f>(EL37+EL42)/EL48</f>
        <v>0.80833773515907525</v>
      </c>
      <c r="EM53" s="699">
        <f>(EM37+EM42)/EM48</f>
        <v>1.0509946192727866</v>
      </c>
      <c r="EN53" s="699">
        <f>(EN37+EN42)/EN48</f>
        <v>1.2975125597353265</v>
      </c>
      <c r="EO53" s="699">
        <f>(EO37+EO42)/EO48</f>
        <v>1.618860510805501</v>
      </c>
      <c r="EP53" s="190">
        <f>SUM(EL53:EO53)</f>
        <v>4.7757054249726894</v>
      </c>
      <c r="EQ53" s="699">
        <f>(EQ37+EQ42)/EQ48</f>
        <v>1.9464556598745439</v>
      </c>
      <c r="ER53" s="699">
        <f>(ER37+ER42)/ER48</f>
        <v>2.1848034673397723</v>
      </c>
      <c r="ES53" s="699">
        <f>(ES37+ES42)/ES48</f>
        <v>2.633933158001716</v>
      </c>
      <c r="ET53" s="699">
        <f>(ET37+ET42)/ET48</f>
        <v>3.0236941034953482</v>
      </c>
      <c r="EU53" s="190">
        <f>SUM(EQ53:ET53)</f>
        <v>9.7888863887113811</v>
      </c>
      <c r="EV53" s="699">
        <f>(EV37+EV42)/EV48</f>
        <v>3.3217335814270581</v>
      </c>
      <c r="EW53" s="699">
        <f>(EW37+EW42)/EW48</f>
        <v>3.6648667551691005</v>
      </c>
      <c r="EX53" s="699">
        <f>(EX37+EX42)/EX48</f>
        <v>4.1326533414338895</v>
      </c>
      <c r="EY53" s="699">
        <f>(EY37+EY42)/EY48</f>
        <v>4.4353153873231239</v>
      </c>
      <c r="EZ53" s="190">
        <f>SUM(EV53:EY53)</f>
        <v>15.554569065353173</v>
      </c>
      <c r="FA53" s="699">
        <f>(FA37+FA42)/FA48</f>
        <v>4.5749670005940146</v>
      </c>
      <c r="FB53" s="699">
        <f>(FB37+FB42)/FB48</f>
        <v>4.7397628983835478</v>
      </c>
      <c r="FC53" s="699">
        <f>(FC37+FC42)/FC48</f>
        <v>5.1160327441249587</v>
      </c>
      <c r="FD53" s="699">
        <f>(FD37+FD42)/FD48</f>
        <v>5.4110343585963996</v>
      </c>
      <c r="FE53" s="190">
        <f>SUM(FA53:FD53)</f>
        <v>19.841797001698922</v>
      </c>
      <c r="FF53" s="699">
        <f>(FF37+FF42)/FF48</f>
        <v>5.4841414290369555</v>
      </c>
      <c r="FG53" s="699">
        <f>(FG37+FG42)/FG48</f>
        <v>5.5790004958366257</v>
      </c>
      <c r="FH53" s="699">
        <f>(FH37+FH42)/FH48</f>
        <v>5.8014560073482047</v>
      </c>
      <c r="FI53" s="699">
        <f>(FI37+FI42)/FI48</f>
        <v>5.9642125931997167</v>
      </c>
      <c r="FJ53" s="190">
        <f>SUM(FF53:FI53)</f>
        <v>22.828810525421503</v>
      </c>
      <c r="FK53" s="699">
        <f>(FK37+FK42)/FK48</f>
        <v>6.1114915900718234</v>
      </c>
      <c r="FL53" s="699">
        <f>(FL37+FL42)/FL48</f>
        <v>6.3453336621996668</v>
      </c>
      <c r="FM53" s="699">
        <f>(FM37+FM42)/FM48</f>
        <v>6.7910956262603932</v>
      </c>
      <c r="FN53" s="699">
        <f>(FN37+FN42)/FN48</f>
        <v>7.1227162512526148</v>
      </c>
      <c r="FO53" s="190">
        <f>SUM(FK53:FN53)</f>
        <v>26.370637129784498</v>
      </c>
      <c r="FP53" s="190"/>
      <c r="FQ53" s="698"/>
    </row>
    <row r="54" spans="1:173" s="169" customFormat="1">
      <c r="A54" s="147" t="s">
        <v>417</v>
      </c>
      <c r="B54" s="699">
        <f>(B37-B42)/B48</f>
        <v>-1.9326339039204863E-4</v>
      </c>
      <c r="C54" s="699">
        <f>(C37-C42)/C48</f>
        <v>-2.078896163655965E-4</v>
      </c>
      <c r="D54" s="699">
        <f>(D37-D42)/D48</f>
        <v>-4.2268149667376608E-4</v>
      </c>
      <c r="E54" s="699">
        <f>(E37-E42)/E48</f>
        <v>2.3401961557676661E-4</v>
      </c>
      <c r="F54" s="190">
        <f>(F37/F48)</f>
        <v>-5.8981488785464454E-4</v>
      </c>
      <c r="G54" s="699">
        <f>(G37-G42)/G48</f>
        <v>-1.5041958371637994E-4</v>
      </c>
      <c r="H54" s="699">
        <f>(H37-H42)/H48</f>
        <v>-1.421284516068231E-3</v>
      </c>
      <c r="I54" s="699">
        <f>(I37-I42)/I48</f>
        <v>5.3564784810734194E-4</v>
      </c>
      <c r="J54" s="699">
        <f>(J37-J42)/J48</f>
        <v>5.53446362942931E-4</v>
      </c>
      <c r="K54" s="190">
        <f>(K37/K48)</f>
        <v>4.0535500461299882E-4</v>
      </c>
      <c r="L54" s="699">
        <f>(L37-L42)/L48</f>
        <v>3.6790630112258166E-4</v>
      </c>
      <c r="M54" s="699">
        <f>(M37-M42)/M48</f>
        <v>4.1584402764067118E-4</v>
      </c>
      <c r="N54" s="699">
        <f>(N37-N42)/N48</f>
        <v>7.5544098410843018E-4</v>
      </c>
      <c r="O54" s="699">
        <f>(O37-O42)/O48</f>
        <v>8.0956565737264053E-4</v>
      </c>
      <c r="P54" s="190">
        <f>(P37/P48)</f>
        <v>2.3638938715016874E-3</v>
      </c>
      <c r="Q54" s="699">
        <f>(Q37-Q42)/Q48</f>
        <v>7.8722989362887529E-4</v>
      </c>
      <c r="R54" s="699">
        <f>(R37-R42)/R48</f>
        <v>1.2390390881527808E-3</v>
      </c>
      <c r="S54" s="699">
        <f>(S37-S42)/S48</f>
        <v>1.4670230620998318E-3</v>
      </c>
      <c r="T54" s="699">
        <f>(T37-T42)/T48</f>
        <v>1.6389836724937953E-3</v>
      </c>
      <c r="U54" s="190">
        <f>(U37/U48)</f>
        <v>5.1513563056757028E-3</v>
      </c>
      <c r="V54" s="699">
        <f>(V37-V42)/V48</f>
        <v>1.6960300362277296E-3</v>
      </c>
      <c r="W54" s="699">
        <f>(W37-W42)/W48</f>
        <v>1.7918658226757963E-3</v>
      </c>
      <c r="X54" s="699">
        <f>(X37-X42)/X48</f>
        <v>2.3624472797011426E-3</v>
      </c>
      <c r="Y54" s="699">
        <f>(Y37-Y42)/Y48</f>
        <v>3.6120953939325529E-3</v>
      </c>
      <c r="Z54" s="190">
        <f>(Z37/Z48)</f>
        <v>9.5309788382240603E-3</v>
      </c>
      <c r="AA54" s="699">
        <f>(AA37-AA42)/AA48</f>
        <v>2.122879925249736E-3</v>
      </c>
      <c r="AB54" s="699">
        <f>(AB37-AB42)/AB48</f>
        <v>9.8526594378937969E-4</v>
      </c>
      <c r="AC54" s="699">
        <f>(AC37-AC42)/AC48</f>
        <v>2.5088869767765225E-4</v>
      </c>
      <c r="AD54" s="699">
        <f>(AD37-AD42)/AD48</f>
        <v>1.1282685737367937E-3</v>
      </c>
      <c r="AE54" s="190">
        <f>(AE37/AE48)</f>
        <v>4.6437600527900347E-3</v>
      </c>
      <c r="AF54" s="699">
        <f>(AF37-AF42)/AF48</f>
        <v>1.7884968487916298E-4</v>
      </c>
      <c r="AG54" s="699">
        <f>(AG37-AG42)/AG48</f>
        <v>1.8323202578806843E-4</v>
      </c>
      <c r="AH54" s="699">
        <f>(AH37-AH42)/AH48</f>
        <v>-1.0334066805660539E-4</v>
      </c>
      <c r="AI54" s="699">
        <f>(AI37-AI42)/AI48</f>
        <v>3.064485965419356E-4</v>
      </c>
      <c r="AJ54" s="190">
        <f>(AJ37/AJ48)</f>
        <v>4.1305221057620365E-3</v>
      </c>
      <c r="AK54" s="699">
        <f>(AK37-AK42)/AK48</f>
        <v>4.3655929642512759E-5</v>
      </c>
      <c r="AL54" s="699">
        <f>(AL37-AL42)/AL48</f>
        <v>-7.6509092412124378E-4</v>
      </c>
      <c r="AM54" s="699">
        <f>(AM37-AM42)/AM48</f>
        <v>4.7627586978194684E-5</v>
      </c>
      <c r="AN54" s="699">
        <f>(AN37-AN42)/AN48</f>
        <v>1.3502522702441479E-3</v>
      </c>
      <c r="AO54" s="190">
        <f>(AO37/AO48)</f>
        <v>4.7380825581000031E-3</v>
      </c>
      <c r="AP54" s="699">
        <f>(AP37-AP42)/AP48</f>
        <v>2.208131108303972E-3</v>
      </c>
      <c r="AQ54" s="699">
        <f>(AQ37-AQ42)/AQ48</f>
        <v>2.4451481460995264E-3</v>
      </c>
      <c r="AR54" s="699">
        <f>(AR37-AR42)/AR48</f>
        <v>2.6323047274457749E-3</v>
      </c>
      <c r="AS54" s="699">
        <f>(AS37-AS42)/AS48</f>
        <v>3.433903568627032E-3</v>
      </c>
      <c r="AT54" s="190">
        <f t="shared" ref="AT54:DD54" si="47">(AT37/AT48)</f>
        <v>1.4341664831082979E-2</v>
      </c>
      <c r="AU54" s="699">
        <f t="shared" si="47"/>
        <v>3.9100081829418192E-3</v>
      </c>
      <c r="AV54" s="699">
        <f t="shared" si="47"/>
        <v>3.7498044117786921E-3</v>
      </c>
      <c r="AW54" s="699">
        <f t="shared" si="47"/>
        <v>5.1644747772963727E-3</v>
      </c>
      <c r="AX54" s="699">
        <f t="shared" si="47"/>
        <v>6.2704656377455979E-3</v>
      </c>
      <c r="AY54" s="190">
        <f t="shared" si="47"/>
        <v>1.9143173360694668E-2</v>
      </c>
      <c r="AZ54" s="699">
        <f t="shared" si="47"/>
        <v>5.5264591784375382E-3</v>
      </c>
      <c r="BA54" s="699">
        <f t="shared" si="47"/>
        <v>7.1515220770101496E-3</v>
      </c>
      <c r="BB54" s="699">
        <f t="shared" si="47"/>
        <v>9.6112058206970791E-3</v>
      </c>
      <c r="BC54" s="699">
        <f t="shared" si="47"/>
        <v>1.0710955672690679E-2</v>
      </c>
      <c r="BD54" s="190">
        <f t="shared" si="47"/>
        <v>3.3067255045969191E-2</v>
      </c>
      <c r="BE54" s="699">
        <f t="shared" si="47"/>
        <v>7.4665661017349963E-3</v>
      </c>
      <c r="BF54" s="699">
        <f t="shared" si="47"/>
        <v>1.799533214264143E-3</v>
      </c>
      <c r="BG54" s="699">
        <f t="shared" si="47"/>
        <v>1.1197691555542937E-3</v>
      </c>
      <c r="BH54" s="699">
        <f t="shared" si="47"/>
        <v>-6.0052176824561231E-3</v>
      </c>
      <c r="BI54" s="190">
        <f t="shared" si="47"/>
        <v>5.0434581052640785E-3</v>
      </c>
      <c r="BJ54" s="699">
        <f t="shared" si="47"/>
        <v>-3.5606676661005658E-3</v>
      </c>
      <c r="BK54" s="699">
        <f t="shared" si="47"/>
        <v>5.4893492228531696E-4</v>
      </c>
      <c r="BL54" s="699">
        <f t="shared" si="47"/>
        <v>3.8010484330087517E-3</v>
      </c>
      <c r="BM54" s="699">
        <f t="shared" si="47"/>
        <v>5.6296288660856487E-3</v>
      </c>
      <c r="BN54" s="190">
        <f t="shared" si="47"/>
        <v>6.7887471676887461E-3</v>
      </c>
      <c r="BO54" s="699">
        <f t="shared" si="47"/>
        <v>5.8204187161694544E-3</v>
      </c>
      <c r="BP54" s="699">
        <f t="shared" si="47"/>
        <v>8.6322059538138617E-4</v>
      </c>
      <c r="BQ54" s="699">
        <f t="shared" si="47"/>
        <v>3.6412207713748274E-3</v>
      </c>
      <c r="BR54" s="699">
        <f t="shared" si="47"/>
        <v>4.7647446052673141E-3</v>
      </c>
      <c r="BS54" s="190">
        <f t="shared" si="47"/>
        <v>1.5151763222311621E-2</v>
      </c>
      <c r="BT54" s="699">
        <f t="shared" si="47"/>
        <v>5.5103802280129233E-3</v>
      </c>
      <c r="BU54" s="699">
        <f t="shared" si="47"/>
        <v>6.4801346724566479E-3</v>
      </c>
      <c r="BV54" s="699">
        <f t="shared" si="47"/>
        <v>7.525180911402308E-3</v>
      </c>
      <c r="BW54" s="699">
        <f t="shared" si="47"/>
        <v>5.188215629187887E-3</v>
      </c>
      <c r="BX54" s="190">
        <f t="shared" si="47"/>
        <v>2.469609488174138E-2</v>
      </c>
      <c r="BY54" s="699">
        <f t="shared" si="47"/>
        <v>2.9097979916189232E-3</v>
      </c>
      <c r="BZ54" s="699">
        <f t="shared" si="47"/>
        <v>5.7771249937815213E-3</v>
      </c>
      <c r="CA54" s="699">
        <f t="shared" si="47"/>
        <v>8.6504623555884157E-3</v>
      </c>
      <c r="CB54" s="699">
        <f t="shared" si="47"/>
        <v>7.3418695278914788E-3</v>
      </c>
      <c r="CC54" s="190">
        <f t="shared" si="47"/>
        <v>2.4696437893947928E-2</v>
      </c>
      <c r="CD54" s="699">
        <f t="shared" si="47"/>
        <v>3.387321532951613E-3</v>
      </c>
      <c r="CE54" s="699">
        <f t="shared" si="47"/>
        <v>4.4812890409894526E-3</v>
      </c>
      <c r="CF54" s="699">
        <f t="shared" si="47"/>
        <v>5.0739105769492133E-3</v>
      </c>
      <c r="CG54" s="699">
        <f t="shared" si="47"/>
        <v>6.4944332439604022E-3</v>
      </c>
      <c r="CH54" s="190">
        <f>SUM(CD54:CG54)</f>
        <v>1.9436954394850683E-2</v>
      </c>
      <c r="CI54" s="699">
        <f t="shared" si="47"/>
        <v>5.9400759437749648E-3</v>
      </c>
      <c r="CJ54" s="699">
        <f t="shared" si="47"/>
        <v>6.1348962094179196E-3</v>
      </c>
      <c r="CK54" s="699">
        <f t="shared" si="47"/>
        <v>8.3303326221199937E-3</v>
      </c>
      <c r="CL54" s="699">
        <f t="shared" si="47"/>
        <v>9.2349521087081114E-3</v>
      </c>
      <c r="CM54" s="190">
        <f>SUM(CI54:CL54)</f>
        <v>2.9640256884020992E-2</v>
      </c>
      <c r="CN54" s="699">
        <f t="shared" si="47"/>
        <v>6.6281138790035589E-3</v>
      </c>
      <c r="CO54" s="699">
        <f t="shared" si="47"/>
        <v>6.8840579710144926E-3</v>
      </c>
      <c r="CP54" s="699">
        <f t="shared" si="47"/>
        <v>9.3693693693693691E-3</v>
      </c>
      <c r="CQ54" s="699">
        <f t="shared" si="47"/>
        <v>1.0405643738977073E-2</v>
      </c>
      <c r="CR54" s="190">
        <f>SUM(CN54:CQ54)</f>
        <v>3.3287184958364496E-2</v>
      </c>
      <c r="CS54" s="699">
        <f t="shared" si="47"/>
        <v>9.3749999999999997E-3</v>
      </c>
      <c r="CT54" s="699">
        <f t="shared" si="47"/>
        <v>1.0786802030456852E-2</v>
      </c>
      <c r="CU54" s="699">
        <f t="shared" si="47"/>
        <v>2.0764802631578948E-2</v>
      </c>
      <c r="CV54" s="699">
        <f t="shared" si="47"/>
        <v>2.5400641025641026E-2</v>
      </c>
      <c r="CW54" s="190">
        <f>SUM(CS54:CV54)</f>
        <v>6.6327245687676825E-2</v>
      </c>
      <c r="CX54" s="699">
        <f>(CX37/CX48)</f>
        <v>1.8181818181818181E-2</v>
      </c>
      <c r="CY54" s="699">
        <f t="shared" si="47"/>
        <v>2.2138314785373609E-2</v>
      </c>
      <c r="CZ54" s="699">
        <f t="shared" si="47"/>
        <v>2.8993610223642174E-2</v>
      </c>
      <c r="DA54" s="699">
        <f t="shared" si="47"/>
        <v>3.8078149920255183E-2</v>
      </c>
      <c r="DB54" s="190">
        <f>SUM(CX54:DA54)</f>
        <v>0.10739189311108915</v>
      </c>
      <c r="DC54" s="699">
        <f t="shared" si="47"/>
        <v>4.6092503987240831E-2</v>
      </c>
      <c r="DD54" s="699">
        <f t="shared" si="47"/>
        <v>4.3159999999999997E-2</v>
      </c>
      <c r="DE54" s="699">
        <f>(DE37/DE48)</f>
        <v>4.0439999999999997E-2</v>
      </c>
      <c r="DF54" s="699">
        <f>(DF37/DF48)</f>
        <v>1.3731825525040387E-2</v>
      </c>
      <c r="DG54" s="190">
        <f>SUM(DC54:DF54)</f>
        <v>0.14342432951228121</v>
      </c>
      <c r="DH54" s="699">
        <f t="shared" ref="DH54:DP54" si="48">(DH37/DH48)</f>
        <v>1.4813311688311688E-2</v>
      </c>
      <c r="DI54" s="699">
        <f t="shared" si="48"/>
        <v>2.1834415584415585E-2</v>
      </c>
      <c r="DJ54" s="699">
        <f t="shared" si="48"/>
        <v>3.5558252427184467E-2</v>
      </c>
      <c r="DK54" s="699">
        <f>(DK37/DK48)</f>
        <v>3.8325281803542673E-2</v>
      </c>
      <c r="DL54" s="190">
        <f>SUM(DH54:DK54)</f>
        <v>0.11053126150345441</v>
      </c>
      <c r="DM54" s="699">
        <f t="shared" si="48"/>
        <v>3.6012861736334403E-2</v>
      </c>
      <c r="DN54" s="699">
        <f t="shared" si="48"/>
        <v>3.9616613418530351E-2</v>
      </c>
      <c r="DO54" s="699">
        <f t="shared" si="48"/>
        <v>5.7579365079365077E-2</v>
      </c>
      <c r="DP54" s="699">
        <f t="shared" si="48"/>
        <v>6.1014263074484945E-2</v>
      </c>
      <c r="DQ54" s="190">
        <f>SUM(DM54:DP54)</f>
        <v>0.19422310330871478</v>
      </c>
      <c r="DR54" s="699">
        <f>(DR37/DR48)</f>
        <v>7.4525316455696197E-2</v>
      </c>
      <c r="DS54" s="699">
        <f>(DS37/DS48)</f>
        <v>8.5229067930489733E-2</v>
      </c>
      <c r="DT54" s="699">
        <f>(DT37/DT48)</f>
        <v>9.5114263199369581E-2</v>
      </c>
      <c r="DU54" s="699">
        <f>(DU37/DU48)</f>
        <v>0.1099803536345776</v>
      </c>
      <c r="DV54" s="190">
        <f>SUM(DR54:DU54)</f>
        <v>0.36484900122013308</v>
      </c>
      <c r="DW54" s="699">
        <f>(DW37/DW48)</f>
        <v>0.11292865589278675</v>
      </c>
      <c r="DX54" s="699">
        <f>(DX37/DX48)</f>
        <v>2.5556438791732909E-2</v>
      </c>
      <c r="DY54" s="699">
        <f>(DY37/DY48)</f>
        <v>2.8451380552220889E-2</v>
      </c>
      <c r="DZ54" s="699">
        <f>(DZ37/DZ48)</f>
        <v>5.7932983447719015E-2</v>
      </c>
      <c r="EA54" s="190">
        <f>SUM(DW54:DZ54)</f>
        <v>0.22486945868445957</v>
      </c>
      <c r="EB54" s="699">
        <f>(EB37/EB48)</f>
        <v>7.9437751004016066E-2</v>
      </c>
      <c r="EC54" s="699">
        <f>(EC37/EC48)</f>
        <v>0.23601440576230492</v>
      </c>
      <c r="ED54" s="699">
        <f>(ED37/ED48)</f>
        <v>0.36251002405773858</v>
      </c>
      <c r="EE54" s="699">
        <f>(EE37/EE48)</f>
        <v>0.47574297188755021</v>
      </c>
      <c r="EF54" s="190">
        <f>SUM(EB54:EE54)</f>
        <v>1.1537051527116098</v>
      </c>
      <c r="EG54" s="699">
        <f>(EG37/EG48)</f>
        <v>0.57159501807955004</v>
      </c>
      <c r="EH54" s="699">
        <f>(EH37/EH48)</f>
        <v>0.63578557630392785</v>
      </c>
      <c r="EI54" s="699">
        <f>(EI37/EI48)</f>
        <v>0.75716476951642853</v>
      </c>
      <c r="EJ54" s="699">
        <f>(EJ37/EJ48)</f>
        <v>0.8396745729782239</v>
      </c>
      <c r="EK54" s="190">
        <f>SUM(EG54:EJ54)</f>
        <v>2.8042199368781304</v>
      </c>
      <c r="EL54" s="699">
        <f>(EL37/EL48)</f>
        <v>0.74844581691113732</v>
      </c>
      <c r="EM54" s="699">
        <f>(EM37/EM48)</f>
        <v>0.98479536931354961</v>
      </c>
      <c r="EN54" s="699">
        <f>(EN37/EN48)</f>
        <v>1.2299146346444472</v>
      </c>
      <c r="EO54" s="699">
        <f>(EO37/EO48)</f>
        <v>1.5520219384413882</v>
      </c>
      <c r="EP54" s="190">
        <f>SUM(EL54:EO54)</f>
        <v>4.5151777593105225</v>
      </c>
      <c r="EQ54" s="699">
        <f>(EQ37/EQ48)</f>
        <v>1.8674101102865812</v>
      </c>
      <c r="ER54" s="699">
        <f>(ER37/ER48)</f>
        <v>2.1162258697567786</v>
      </c>
      <c r="ES54" s="699">
        <f>(ES37/ES48)</f>
        <v>2.5636890582306679</v>
      </c>
      <c r="ET54" s="699">
        <f>(ET37/ET48)</f>
        <v>2.9517426695047355</v>
      </c>
      <c r="EU54" s="190">
        <f>SUM(EQ54:ET54)</f>
        <v>9.4990677077787637</v>
      </c>
      <c r="EV54" s="699">
        <f>(EV37/EV48)</f>
        <v>3.2479876917207471</v>
      </c>
      <c r="EW54" s="699">
        <f>(EW37/EW48)</f>
        <v>3.5892808208282614</v>
      </c>
      <c r="EX54" s="699">
        <f>(EX37/EX48)</f>
        <v>4.0551324753528704</v>
      </c>
      <c r="EY54" s="699">
        <f>(EY37/EY48)</f>
        <v>4.3558085926950545</v>
      </c>
      <c r="EZ54" s="190">
        <f>SUM(EV54:EY54)</f>
        <v>15.248209580596935</v>
      </c>
      <c r="FA54" s="699">
        <f>(FA37/FA48)</f>
        <v>4.4934218704696658</v>
      </c>
      <c r="FB54" s="699">
        <f>(FB37/FB48)</f>
        <v>4.6561255755336362</v>
      </c>
      <c r="FC54" s="699">
        <f>(FC37/FC48)</f>
        <v>5.0302478797631744</v>
      </c>
      <c r="FD54" s="699">
        <f>(FD37/FD48)</f>
        <v>5.3230450699334311</v>
      </c>
      <c r="FE54" s="190">
        <f>SUM(FA54:FD54)</f>
        <v>19.502840395699909</v>
      </c>
      <c r="FF54" s="699">
        <f>(FF37/FF48)</f>
        <v>5.3938311973132853</v>
      </c>
      <c r="FG54" s="699">
        <f>(FG37/FG48)</f>
        <v>5.486305465996054</v>
      </c>
      <c r="FH54" s="699">
        <f>(FH37/FH48)</f>
        <v>5.7063104620063658</v>
      </c>
      <c r="FI54" s="699">
        <f>(FI37/FI48)</f>
        <v>5.8665488958654732</v>
      </c>
      <c r="FJ54" s="190">
        <f>SUM(FF54:FI54)</f>
        <v>22.452996021181182</v>
      </c>
      <c r="FK54" s="699">
        <f>(FK37/FK48)</f>
        <v>6.011173865581485</v>
      </c>
      <c r="FL54" s="699">
        <f>(FL37/FL48)</f>
        <v>6.2422857384482011</v>
      </c>
      <c r="FM54" s="699">
        <f>(FM37/FM48)</f>
        <v>6.6852389841614448</v>
      </c>
      <c r="FN54" s="699">
        <f>(FN37/FN48)</f>
        <v>7.0139699477468209</v>
      </c>
      <c r="FO54" s="190">
        <f>SUM(FK54:FN54)</f>
        <v>25.952668535937953</v>
      </c>
      <c r="FP54" s="190"/>
      <c r="FQ54" s="465"/>
    </row>
    <row r="55" spans="1:173" s="705" customFormat="1">
      <c r="A55" s="662"/>
      <c r="B55" s="700"/>
      <c r="C55" s="700"/>
      <c r="D55" s="700"/>
      <c r="E55" s="700"/>
      <c r="F55" s="701"/>
      <c r="G55" s="700"/>
      <c r="H55" s="700"/>
      <c r="I55" s="700"/>
      <c r="J55" s="700"/>
      <c r="K55" s="701"/>
      <c r="L55" s="700"/>
      <c r="M55" s="700"/>
      <c r="N55" s="700"/>
      <c r="O55" s="700"/>
      <c r="P55" s="701"/>
      <c r="Q55" s="700"/>
      <c r="R55" s="700"/>
      <c r="S55" s="700"/>
      <c r="T55" s="700"/>
      <c r="U55" s="701"/>
      <c r="V55" s="700"/>
      <c r="W55" s="700"/>
      <c r="X55" s="700"/>
      <c r="Y55" s="700"/>
      <c r="Z55" s="701"/>
      <c r="AA55" s="700"/>
      <c r="AB55" s="700"/>
      <c r="AC55" s="700"/>
      <c r="AD55" s="700"/>
      <c r="AE55" s="701"/>
      <c r="AF55" s="700"/>
      <c r="AG55" s="700"/>
      <c r="AH55" s="700"/>
      <c r="AI55" s="700"/>
      <c r="AJ55" s="701"/>
      <c r="AK55" s="700"/>
      <c r="AL55" s="700"/>
      <c r="AM55" s="700"/>
      <c r="AN55" s="700"/>
      <c r="AO55" s="701"/>
      <c r="AP55" s="700"/>
      <c r="AQ55" s="700"/>
      <c r="AR55" s="700"/>
      <c r="AS55" s="700"/>
      <c r="AT55" s="701"/>
      <c r="AU55" s="700"/>
      <c r="AV55" s="700"/>
      <c r="AW55" s="700"/>
      <c r="AX55" s="700"/>
      <c r="AY55" s="701"/>
      <c r="AZ55" s="700"/>
      <c r="BA55" s="700"/>
      <c r="BB55" s="700"/>
      <c r="BC55" s="700"/>
      <c r="BD55" s="701"/>
      <c r="BE55" s="700"/>
      <c r="BF55" s="700"/>
      <c r="BG55" s="700"/>
      <c r="BH55" s="700"/>
      <c r="BI55" s="701"/>
      <c r="BJ55" s="700"/>
      <c r="BK55" s="700"/>
      <c r="BL55" s="700"/>
      <c r="BM55" s="700"/>
      <c r="BN55" s="701"/>
      <c r="BO55" s="700"/>
      <c r="BP55" s="700"/>
      <c r="BQ55" s="700"/>
      <c r="BR55" s="700"/>
      <c r="BS55" s="701"/>
      <c r="BT55" s="700"/>
      <c r="BU55" s="700"/>
      <c r="BV55" s="700"/>
      <c r="BW55" s="700"/>
      <c r="BX55" s="701"/>
      <c r="BY55" s="700"/>
      <c r="BZ55" s="700"/>
      <c r="CA55" s="700"/>
      <c r="CB55" s="702"/>
      <c r="CC55" s="703"/>
      <c r="CD55" s="704"/>
      <c r="CE55" s="704"/>
      <c r="CF55" s="704"/>
      <c r="CG55" s="704"/>
      <c r="CH55" s="703"/>
      <c r="CI55" s="704"/>
      <c r="CJ55" s="704"/>
      <c r="CK55" s="704"/>
      <c r="CL55" s="704"/>
      <c r="CM55" s="703"/>
      <c r="CN55" s="704"/>
      <c r="CO55" s="704"/>
      <c r="CP55" s="704"/>
      <c r="CQ55" s="704"/>
      <c r="CR55" s="703"/>
      <c r="CS55" s="704"/>
      <c r="CT55" s="704"/>
      <c r="CU55" s="704"/>
      <c r="CV55" s="704"/>
      <c r="CW55" s="703"/>
      <c r="CX55" s="704"/>
      <c r="CY55" s="704"/>
      <c r="CZ55" s="704"/>
      <c r="DA55" s="704"/>
      <c r="DB55" s="703"/>
      <c r="DC55" s="704"/>
      <c r="DD55" s="704"/>
      <c r="DE55" s="704"/>
      <c r="DF55" s="704"/>
      <c r="DG55" s="703"/>
      <c r="DH55" s="704"/>
      <c r="DI55" s="704"/>
      <c r="DJ55" s="704"/>
      <c r="DK55" s="704"/>
      <c r="DL55" s="703"/>
      <c r="DM55" s="704"/>
      <c r="DN55" s="704"/>
      <c r="DO55" s="704"/>
      <c r="DP55" s="704"/>
      <c r="DQ55" s="703"/>
      <c r="DR55" s="704"/>
      <c r="DS55" s="704"/>
      <c r="DT55" s="704"/>
      <c r="DU55" s="704"/>
      <c r="DV55" s="704"/>
      <c r="DW55" s="704"/>
      <c r="DX55" s="704"/>
      <c r="DY55" s="704"/>
      <c r="DZ55" s="704"/>
      <c r="EA55" s="704"/>
      <c r="EB55" s="704"/>
      <c r="EC55" s="704"/>
      <c r="ED55" s="704"/>
      <c r="EE55" s="704"/>
      <c r="EF55" s="704"/>
      <c r="EG55" s="704"/>
      <c r="EH55" s="704"/>
      <c r="EI55" s="704"/>
      <c r="EJ55" s="704"/>
      <c r="EK55" s="704"/>
      <c r="EL55" s="704"/>
      <c r="EM55" s="704"/>
      <c r="EN55" s="704"/>
      <c r="EO55" s="704"/>
      <c r="EP55" s="704"/>
      <c r="EQ55" s="704"/>
      <c r="ER55" s="704"/>
      <c r="ES55" s="704"/>
      <c r="ET55" s="704"/>
      <c r="EU55" s="704"/>
      <c r="EV55" s="704"/>
      <c r="EW55" s="704"/>
      <c r="EX55" s="704"/>
      <c r="EY55" s="704"/>
      <c r="EZ55" s="704"/>
      <c r="FA55" s="704"/>
      <c r="FB55" s="704"/>
      <c r="FC55" s="704"/>
      <c r="FD55" s="704"/>
      <c r="FE55" s="704"/>
      <c r="FF55" s="704"/>
      <c r="FG55" s="704"/>
      <c r="FH55" s="704"/>
      <c r="FI55" s="704"/>
      <c r="FJ55" s="704"/>
      <c r="FK55" s="704"/>
      <c r="FL55" s="704"/>
      <c r="FM55" s="704"/>
      <c r="FN55" s="704"/>
      <c r="FO55" s="704"/>
      <c r="FP55" s="704"/>
      <c r="FQ55" s="704"/>
    </row>
    <row r="56" spans="1:173">
      <c r="A56" s="171" t="s">
        <v>418</v>
      </c>
      <c r="B56" s="681">
        <f t="shared" ref="B56:BM56" si="49">B22+B11</f>
        <v>-1.1440000000000001</v>
      </c>
      <c r="C56" s="681">
        <f t="shared" si="49"/>
        <v>-1.2250000000000001</v>
      </c>
      <c r="D56" s="681">
        <f t="shared" si="49"/>
        <v>-2.5419999999999998</v>
      </c>
      <c r="E56" s="681">
        <f t="shared" si="49"/>
        <v>1.4520000000000017</v>
      </c>
      <c r="F56" s="682">
        <f t="shared" si="49"/>
        <v>-3.4589999999999979</v>
      </c>
      <c r="G56" s="681">
        <f t="shared" si="49"/>
        <v>-0.3939999999999978</v>
      </c>
      <c r="H56" s="681">
        <f t="shared" si="49"/>
        <v>-9.5190000000000019</v>
      </c>
      <c r="I56" s="681">
        <f t="shared" si="49"/>
        <v>8.8089999999999922</v>
      </c>
      <c r="J56" s="681">
        <f t="shared" si="49"/>
        <v>9.6260000000000083</v>
      </c>
      <c r="K56" s="682">
        <f t="shared" si="49"/>
        <v>8.522000000000002</v>
      </c>
      <c r="L56" s="681">
        <f t="shared" si="49"/>
        <v>10.461000000000004</v>
      </c>
      <c r="M56" s="681">
        <f t="shared" si="49"/>
        <v>12.044999999999998</v>
      </c>
      <c r="N56" s="681">
        <f t="shared" si="49"/>
        <v>21.058</v>
      </c>
      <c r="O56" s="681">
        <f t="shared" si="49"/>
        <v>22.76700000000001</v>
      </c>
      <c r="P56" s="682">
        <f t="shared" si="49"/>
        <v>66.331000000000017</v>
      </c>
      <c r="Q56" s="681">
        <f t="shared" si="49"/>
        <v>24.623000000000005</v>
      </c>
      <c r="R56" s="681">
        <f t="shared" si="49"/>
        <v>32.551000000000016</v>
      </c>
      <c r="S56" s="681">
        <f t="shared" si="49"/>
        <v>41.378999999999998</v>
      </c>
      <c r="T56" s="681">
        <f t="shared" si="49"/>
        <v>45.183999999999955</v>
      </c>
      <c r="U56" s="682">
        <f t="shared" si="49"/>
        <v>143.73699999999997</v>
      </c>
      <c r="V56" s="681">
        <f t="shared" si="49"/>
        <v>48.699999999999996</v>
      </c>
      <c r="W56" s="681">
        <f t="shared" si="49"/>
        <v>58.687000000000012</v>
      </c>
      <c r="X56" s="681">
        <f t="shared" si="49"/>
        <v>76.180000000000007</v>
      </c>
      <c r="Y56" s="681">
        <f t="shared" si="49"/>
        <v>128.05699999999999</v>
      </c>
      <c r="Z56" s="682">
        <f t="shared" si="49"/>
        <v>311.62399999999997</v>
      </c>
      <c r="AA56" s="681">
        <f t="shared" si="49"/>
        <v>130.02099999999996</v>
      </c>
      <c r="AB56" s="681">
        <f t="shared" si="49"/>
        <v>41.234000000000037</v>
      </c>
      <c r="AC56" s="681">
        <f t="shared" si="49"/>
        <v>27.891999999999978</v>
      </c>
      <c r="AD56" s="681">
        <f t="shared" si="49"/>
        <v>45.52199999999997</v>
      </c>
      <c r="AE56" s="682">
        <f t="shared" si="49"/>
        <v>244.66899999999993</v>
      </c>
      <c r="AF56" s="681">
        <f t="shared" si="49"/>
        <v>42.306000000000012</v>
      </c>
      <c r="AG56" s="681">
        <f t="shared" si="49"/>
        <v>44.241999999999976</v>
      </c>
      <c r="AH56" s="681">
        <f t="shared" si="49"/>
        <v>41.703000000000017</v>
      </c>
      <c r="AI56" s="681">
        <f t="shared" si="49"/>
        <v>47.422000000000054</v>
      </c>
      <c r="AJ56" s="682">
        <f t="shared" si="49"/>
        <v>175.67300000000006</v>
      </c>
      <c r="AK56" s="681">
        <f t="shared" si="49"/>
        <v>47.291999999999923</v>
      </c>
      <c r="AL56" s="681">
        <f t="shared" si="49"/>
        <v>27.872999999999962</v>
      </c>
      <c r="AM56" s="681">
        <f t="shared" si="49"/>
        <v>52.784000000000027</v>
      </c>
      <c r="AN56" s="681">
        <f t="shared" si="49"/>
        <v>88.241</v>
      </c>
      <c r="AO56" s="682">
        <f t="shared" si="49"/>
        <v>216.18999999999991</v>
      </c>
      <c r="AP56" s="681">
        <f t="shared" si="49"/>
        <v>101.07500000000006</v>
      </c>
      <c r="AQ56" s="681">
        <f t="shared" si="49"/>
        <v>104.81100000000001</v>
      </c>
      <c r="AR56" s="681">
        <f t="shared" si="49"/>
        <v>110.21599999999994</v>
      </c>
      <c r="AS56" s="681">
        <f t="shared" si="49"/>
        <v>136.13000000000005</v>
      </c>
      <c r="AT56" s="682">
        <f t="shared" si="49"/>
        <v>452.23200000000008</v>
      </c>
      <c r="AU56" s="681">
        <f t="shared" si="49"/>
        <v>125.54000000000002</v>
      </c>
      <c r="AV56" s="681">
        <f t="shared" si="49"/>
        <v>120.02400000000003</v>
      </c>
      <c r="AW56" s="681">
        <f t="shared" si="49"/>
        <v>160.14400000000003</v>
      </c>
      <c r="AX56" s="681">
        <f t="shared" si="49"/>
        <v>186.20600000000002</v>
      </c>
      <c r="AY56" s="682">
        <f t="shared" si="49"/>
        <v>591.9140000000001</v>
      </c>
      <c r="AZ56" s="681">
        <f t="shared" si="49"/>
        <v>172.58</v>
      </c>
      <c r="BA56" s="681">
        <f t="shared" si="49"/>
        <v>216.65199999999999</v>
      </c>
      <c r="BB56" s="681">
        <f t="shared" si="49"/>
        <v>280.87099999999998</v>
      </c>
      <c r="BC56" s="681">
        <f t="shared" si="49"/>
        <v>303.43499999999995</v>
      </c>
      <c r="BD56" s="682">
        <f t="shared" si="49"/>
        <v>973.5379999999999</v>
      </c>
      <c r="BE56" s="681">
        <f t="shared" si="49"/>
        <v>244.33699999999996</v>
      </c>
      <c r="BF56" s="681">
        <f t="shared" si="49"/>
        <v>86.561999999999983</v>
      </c>
      <c r="BG56" s="681">
        <f t="shared" si="49"/>
        <v>69.633999999999943</v>
      </c>
      <c r="BH56" s="681">
        <f t="shared" si="49"/>
        <v>-108.49799999999999</v>
      </c>
      <c r="BI56" s="682">
        <f t="shared" si="49"/>
        <v>292.03499999999991</v>
      </c>
      <c r="BJ56" s="681">
        <f t="shared" si="49"/>
        <v>-42.623999999999974</v>
      </c>
      <c r="BK56" s="681">
        <f t="shared" si="49"/>
        <v>57.946999999999974</v>
      </c>
      <c r="BL56" s="681">
        <f t="shared" si="49"/>
        <v>131.72999999999999</v>
      </c>
      <c r="BM56" s="681">
        <f t="shared" si="49"/>
        <v>182.28200000000001</v>
      </c>
      <c r="BN56" s="682">
        <f t="shared" ref="BN56:DY56" si="50">BN22+BN11</f>
        <v>329.33500000000004</v>
      </c>
      <c r="BO56" s="681">
        <f t="shared" si="50"/>
        <v>194.53999999999994</v>
      </c>
      <c r="BP56" s="681">
        <f t="shared" si="50"/>
        <v>65.263999999999925</v>
      </c>
      <c r="BQ56" s="681">
        <f t="shared" si="50"/>
        <v>150.65900000000002</v>
      </c>
      <c r="BR56" s="681">
        <f t="shared" si="50"/>
        <v>169.17100000000002</v>
      </c>
      <c r="BS56" s="682">
        <f t="shared" si="50"/>
        <v>579.6339999999999</v>
      </c>
      <c r="BT56" s="681">
        <f t="shared" si="50"/>
        <v>202.62600000000003</v>
      </c>
      <c r="BU56" s="681">
        <f t="shared" si="50"/>
        <v>233.75099999999998</v>
      </c>
      <c r="BV56" s="681">
        <f t="shared" si="50"/>
        <v>255.90299999999999</v>
      </c>
      <c r="BW56" s="681">
        <f t="shared" si="50"/>
        <v>186.55099999999993</v>
      </c>
      <c r="BX56" s="682">
        <f t="shared" si="50"/>
        <v>878.83100000000002</v>
      </c>
      <c r="BY56" s="681">
        <f t="shared" si="50"/>
        <v>136.83000000000004</v>
      </c>
      <c r="BZ56" s="681">
        <f t="shared" si="50"/>
        <v>224.80399999999992</v>
      </c>
      <c r="CA56" s="681">
        <f t="shared" si="50"/>
        <v>318.43299999999988</v>
      </c>
      <c r="CB56" s="681">
        <f t="shared" si="50"/>
        <v>250.77100000000007</v>
      </c>
      <c r="CC56" s="682">
        <f t="shared" si="50"/>
        <v>930.83799999999997</v>
      </c>
      <c r="CD56" s="681">
        <f t="shared" si="50"/>
        <v>151.386</v>
      </c>
      <c r="CE56" s="681">
        <f t="shared" si="50"/>
        <v>178.62800000000007</v>
      </c>
      <c r="CF56" s="681">
        <f t="shared" si="50"/>
        <v>210.52600000000012</v>
      </c>
      <c r="CG56" s="681">
        <f t="shared" si="50"/>
        <v>226.52500000000006</v>
      </c>
      <c r="CH56" s="682">
        <f t="shared" si="50"/>
        <v>767.06500000000028</v>
      </c>
      <c r="CI56" s="681">
        <f t="shared" si="50"/>
        <v>215.88300000000012</v>
      </c>
      <c r="CJ56" s="681">
        <f t="shared" si="50"/>
        <v>227.95900000000003</v>
      </c>
      <c r="CK56" s="681">
        <f t="shared" si="50"/>
        <v>277.88700000000011</v>
      </c>
      <c r="CL56" s="681">
        <f t="shared" si="50"/>
        <v>295.30499999999995</v>
      </c>
      <c r="CM56" s="682">
        <f t="shared" si="50"/>
        <v>1017.0340000000001</v>
      </c>
      <c r="CN56" s="681">
        <f t="shared" si="50"/>
        <v>239</v>
      </c>
      <c r="CO56" s="681">
        <f t="shared" si="50"/>
        <v>238</v>
      </c>
      <c r="CP56" s="681">
        <f t="shared" si="50"/>
        <v>305</v>
      </c>
      <c r="CQ56" s="681">
        <f t="shared" si="50"/>
        <v>341</v>
      </c>
      <c r="CR56" s="682">
        <f t="shared" si="50"/>
        <v>1123</v>
      </c>
      <c r="CS56" s="681">
        <f t="shared" si="50"/>
        <v>314</v>
      </c>
      <c r="CT56" s="681">
        <f t="shared" si="50"/>
        <v>371</v>
      </c>
      <c r="CU56" s="681">
        <f t="shared" si="50"/>
        <v>691</v>
      </c>
      <c r="CV56" s="681">
        <f t="shared" si="50"/>
        <v>784</v>
      </c>
      <c r="CW56" s="682">
        <f t="shared" si="50"/>
        <v>2160</v>
      </c>
      <c r="CX56" s="681">
        <f t="shared" si="50"/>
        <v>607</v>
      </c>
      <c r="CY56" s="681">
        <f t="shared" si="50"/>
        <v>741</v>
      </c>
      <c r="CZ56" s="681">
        <f t="shared" si="50"/>
        <v>948</v>
      </c>
      <c r="DA56" s="681">
        <f t="shared" si="50"/>
        <v>1129</v>
      </c>
      <c r="DB56" s="682">
        <f t="shared" si="50"/>
        <v>3425</v>
      </c>
      <c r="DC56" s="681">
        <f t="shared" si="50"/>
        <v>1356</v>
      </c>
      <c r="DD56" s="681">
        <f t="shared" si="50"/>
        <v>1218</v>
      </c>
      <c r="DE56" s="681">
        <f t="shared" si="50"/>
        <v>1138</v>
      </c>
      <c r="DF56" s="681">
        <f t="shared" si="50"/>
        <v>401</v>
      </c>
      <c r="DG56" s="682">
        <f t="shared" si="50"/>
        <v>4113</v>
      </c>
      <c r="DH56" s="681">
        <f t="shared" si="50"/>
        <v>470</v>
      </c>
      <c r="DI56" s="681">
        <f t="shared" si="50"/>
        <v>670</v>
      </c>
      <c r="DJ56" s="681">
        <f t="shared" si="50"/>
        <v>1026</v>
      </c>
      <c r="DK56" s="681">
        <f t="shared" si="50"/>
        <v>1106</v>
      </c>
      <c r="DL56" s="682">
        <f t="shared" si="50"/>
        <v>3272</v>
      </c>
      <c r="DM56" s="681">
        <f t="shared" si="50"/>
        <v>1088</v>
      </c>
      <c r="DN56" s="681">
        <f t="shared" si="50"/>
        <v>1361</v>
      </c>
      <c r="DO56" s="681">
        <f t="shared" si="50"/>
        <v>1909</v>
      </c>
      <c r="DP56" s="681">
        <f t="shared" si="50"/>
        <v>1959</v>
      </c>
      <c r="DQ56" s="682">
        <f t="shared" si="50"/>
        <v>6317</v>
      </c>
      <c r="DR56" s="681">
        <f t="shared" si="50"/>
        <v>2409</v>
      </c>
      <c r="DS56" s="681">
        <f t="shared" si="50"/>
        <v>2892</v>
      </c>
      <c r="DT56" s="681">
        <f t="shared" si="50"/>
        <v>3125</v>
      </c>
      <c r="DU56" s="681">
        <f t="shared" si="50"/>
        <v>3435</v>
      </c>
      <c r="DV56" s="682">
        <f t="shared" si="50"/>
        <v>11861</v>
      </c>
      <c r="DW56" s="681">
        <f t="shared" si="50"/>
        <v>3711</v>
      </c>
      <c r="DX56" s="681">
        <f t="shared" si="50"/>
        <v>1054</v>
      </c>
      <c r="DY56" s="681">
        <f t="shared" si="50"/>
        <v>1197</v>
      </c>
      <c r="DZ56" s="681">
        <f t="shared" ref="DZ56:EP56" si="51">DZ22+DZ11</f>
        <v>1911</v>
      </c>
      <c r="EA56" s="682">
        <f t="shared" si="51"/>
        <v>7873</v>
      </c>
      <c r="EB56" s="681">
        <f t="shared" si="51"/>
        <v>2701</v>
      </c>
      <c r="EC56" s="681">
        <f t="shared" si="51"/>
        <v>7299</v>
      </c>
      <c r="ED56" s="681">
        <f t="shared" si="51"/>
        <v>10950</v>
      </c>
      <c r="EE56" s="681">
        <f>EE22+EE11</f>
        <v>14143</v>
      </c>
      <c r="EF56" s="682">
        <f t="shared" si="51"/>
        <v>35093</v>
      </c>
      <c r="EG56" s="681">
        <f>EG22+EG11</f>
        <v>17458</v>
      </c>
      <c r="EH56" s="681">
        <f>EH22+EH11</f>
        <v>19216</v>
      </c>
      <c r="EI56" s="681">
        <f>EI22+EI11</f>
        <v>22502</v>
      </c>
      <c r="EJ56" s="681">
        <f>EJ22+EJ11</f>
        <v>24738</v>
      </c>
      <c r="EK56" s="682">
        <f t="shared" si="51"/>
        <v>83914</v>
      </c>
      <c r="EL56" s="681">
        <f>EL22+EL11</f>
        <v>22412</v>
      </c>
      <c r="EM56" s="681">
        <f>EM22+EM11</f>
        <v>29209</v>
      </c>
      <c r="EN56" s="681">
        <f>EN22+EN11</f>
        <v>36849</v>
      </c>
      <c r="EO56" s="681">
        <f>EO22+EO11</f>
        <v>45285</v>
      </c>
      <c r="EP56" s="682">
        <f t="shared" si="51"/>
        <v>133755</v>
      </c>
      <c r="EQ56" s="681">
        <f>EQ22+EQ11</f>
        <v>54780</v>
      </c>
      <c r="ER56" s="681">
        <f t="shared" ref="ER56:FO56" si="52">ER22+ER11</f>
        <v>62444.009024745872</v>
      </c>
      <c r="ES56" s="681">
        <f t="shared" si="52"/>
        <v>75192.821310481551</v>
      </c>
      <c r="ET56" s="681">
        <f t="shared" si="52"/>
        <v>86103.533457705271</v>
      </c>
      <c r="EU56" s="682">
        <f t="shared" si="52"/>
        <v>278520.36379293271</v>
      </c>
      <c r="EV56" s="681">
        <f t="shared" si="52"/>
        <v>94196.657469663071</v>
      </c>
      <c r="EW56" s="681">
        <f t="shared" si="52"/>
        <v>103496.65311660673</v>
      </c>
      <c r="EX56" s="681">
        <f t="shared" si="52"/>
        <v>116182.73992156693</v>
      </c>
      <c r="EY56" s="681">
        <f t="shared" si="52"/>
        <v>124030.0283617797</v>
      </c>
      <c r="EZ56" s="682">
        <f t="shared" si="52"/>
        <v>437906.07886961644</v>
      </c>
      <c r="FA56" s="681">
        <f t="shared" si="52"/>
        <v>127179.59733663373</v>
      </c>
      <c r="FB56" s="681">
        <f t="shared" si="52"/>
        <v>130989.12058882328</v>
      </c>
      <c r="FC56" s="681">
        <f t="shared" si="52"/>
        <v>140642.36122585408</v>
      </c>
      <c r="FD56" s="681">
        <f t="shared" si="52"/>
        <v>147920.48453056763</v>
      </c>
      <c r="FE56" s="682">
        <f t="shared" si="52"/>
        <v>546731.56368187873</v>
      </c>
      <c r="FF56" s="681">
        <f t="shared" si="52"/>
        <v>148890.56245581582</v>
      </c>
      <c r="FG56" s="681">
        <f t="shared" si="52"/>
        <v>150430.14104433078</v>
      </c>
      <c r="FH56" s="681">
        <f t="shared" si="52"/>
        <v>155404.74260096141</v>
      </c>
      <c r="FI56" s="681">
        <f t="shared" si="52"/>
        <v>158688.14275023126</v>
      </c>
      <c r="FJ56" s="682">
        <f t="shared" si="52"/>
        <v>613413.5888513393</v>
      </c>
      <c r="FK56" s="681">
        <f t="shared" si="52"/>
        <v>161390.56558846342</v>
      </c>
      <c r="FL56" s="681">
        <f t="shared" si="52"/>
        <v>166339.42916202266</v>
      </c>
      <c r="FM56" s="681">
        <f t="shared" si="52"/>
        <v>176795.14546526101</v>
      </c>
      <c r="FN56" s="681">
        <f t="shared" si="52"/>
        <v>184084.66436725185</v>
      </c>
      <c r="FO56" s="682">
        <f t="shared" si="52"/>
        <v>688609.80458299897</v>
      </c>
      <c r="FP56" s="682"/>
      <c r="FQ56" s="706"/>
    </row>
    <row r="57" spans="1:173">
      <c r="A57" s="171" t="s">
        <v>419</v>
      </c>
      <c r="B57" s="707"/>
      <c r="C57" s="707"/>
      <c r="D57" s="707"/>
      <c r="E57" s="707"/>
      <c r="F57" s="703">
        <f>SUM(B57:E57)</f>
        <v>0</v>
      </c>
      <c r="G57" s="707"/>
      <c r="H57" s="707"/>
      <c r="I57" s="707"/>
      <c r="J57" s="707"/>
      <c r="K57" s="703">
        <f>SUM(G57:J57)</f>
        <v>0</v>
      </c>
      <c r="L57" s="707"/>
      <c r="M57" s="707"/>
      <c r="N57" s="707"/>
      <c r="O57" s="707"/>
      <c r="P57" s="703">
        <f>SUM(L57:O57)</f>
        <v>0</v>
      </c>
      <c r="Q57" s="707"/>
      <c r="R57" s="707"/>
      <c r="S57" s="707"/>
      <c r="T57" s="707"/>
      <c r="U57" s="703">
        <f>SUM(Q57:T57)</f>
        <v>0</v>
      </c>
      <c r="V57" s="707"/>
      <c r="W57" s="707"/>
      <c r="X57" s="707"/>
      <c r="Y57" s="707"/>
      <c r="Z57" s="703">
        <f>SUM(V57:Y57)</f>
        <v>0</v>
      </c>
      <c r="AA57" s="707"/>
      <c r="AB57" s="707"/>
      <c r="AC57" s="707"/>
      <c r="AD57" s="707"/>
      <c r="AE57" s="703">
        <f>SUM(AA57:AD57)</f>
        <v>0</v>
      </c>
      <c r="AF57" s="707"/>
      <c r="AG57" s="707"/>
      <c r="AH57" s="707"/>
      <c r="AI57" s="707"/>
      <c r="AJ57" s="703">
        <f>SUM(AF57:AI57)</f>
        <v>0</v>
      </c>
      <c r="AK57" s="707"/>
      <c r="AL57" s="707"/>
      <c r="AM57" s="707"/>
      <c r="AN57" s="707"/>
      <c r="AO57" s="703">
        <f>SUM(AK57:AN57)</f>
        <v>0</v>
      </c>
      <c r="AP57" s="707"/>
      <c r="AQ57" s="707"/>
      <c r="AR57" s="707"/>
      <c r="AS57" s="707"/>
      <c r="AT57" s="703">
        <f>SUM(AP57:AS57)</f>
        <v>0</v>
      </c>
      <c r="AU57" s="707"/>
      <c r="AV57" s="707"/>
      <c r="AW57" s="707"/>
      <c r="AX57" s="707"/>
      <c r="AY57" s="703">
        <f>SUM(AU57:AX57)</f>
        <v>0</v>
      </c>
      <c r="AZ57" s="707"/>
      <c r="BA57" s="707"/>
      <c r="BB57" s="707"/>
      <c r="BC57" s="707"/>
      <c r="BD57" s="703">
        <f>SUM(AZ57:BC57)</f>
        <v>0</v>
      </c>
      <c r="BE57" s="707"/>
      <c r="BF57" s="707"/>
      <c r="BG57" s="707"/>
      <c r="BH57" s="707"/>
      <c r="BI57" s="703">
        <f>SUM(BE57:BH57)</f>
        <v>0</v>
      </c>
      <c r="BJ57" s="707"/>
      <c r="BK57" s="707"/>
      <c r="BL57" s="707"/>
      <c r="BM57" s="707"/>
      <c r="BN57" s="703">
        <f>SUM(BJ57:BM57)</f>
        <v>0</v>
      </c>
      <c r="BO57" s="707"/>
      <c r="BP57" s="707"/>
      <c r="BQ57" s="707"/>
      <c r="BR57" s="707"/>
      <c r="BS57" s="703">
        <f>SUM(BO57:BR57)</f>
        <v>0</v>
      </c>
      <c r="BT57" s="707"/>
      <c r="BU57" s="707"/>
      <c r="BV57" s="707"/>
      <c r="BW57" s="707"/>
      <c r="BX57" s="703">
        <f>SUM(BT57:BW57)</f>
        <v>0</v>
      </c>
      <c r="BY57" s="707"/>
      <c r="BZ57" s="707"/>
      <c r="CA57" s="707"/>
      <c r="CB57" s="704">
        <v>1.8749999999999999E-3</v>
      </c>
      <c r="CC57" s="703">
        <f>SUM(BY57:CB57)</f>
        <v>1.8749999999999999E-3</v>
      </c>
      <c r="CD57" s="704">
        <v>1.8749999999999999E-3</v>
      </c>
      <c r="CE57" s="704">
        <v>1.8749999999999999E-3</v>
      </c>
      <c r="CF57" s="704">
        <v>1.8749999999999999E-3</v>
      </c>
      <c r="CG57" s="704">
        <v>2.1250000000000002E-3</v>
      </c>
      <c r="CH57" s="703">
        <f>SUM(CD57:CG57)</f>
        <v>7.7499999999999999E-3</v>
      </c>
      <c r="CI57" s="704">
        <v>2.1250000000000002E-3</v>
      </c>
      <c r="CJ57" s="704">
        <v>2.1250000000000002E-3</v>
      </c>
      <c r="CK57" s="704">
        <v>2.1250000000000002E-3</v>
      </c>
      <c r="CL57" s="704">
        <v>2.1250000000000002E-3</v>
      </c>
      <c r="CM57" s="703">
        <f>SUM(CI57:CL57)</f>
        <v>8.5000000000000006E-3</v>
      </c>
      <c r="CN57" s="704">
        <v>2.1250000000000002E-3</v>
      </c>
      <c r="CO57" s="704">
        <v>2.4375E-3</v>
      </c>
      <c r="CP57" s="704">
        <v>2.4375E-3</v>
      </c>
      <c r="CQ57" s="704">
        <v>2.875E-3</v>
      </c>
      <c r="CR57" s="703">
        <f>SUM(CN57:CQ57)</f>
        <v>9.8750000000000018E-3</v>
      </c>
      <c r="CS57" s="704">
        <v>2.875E-3</v>
      </c>
      <c r="CT57" s="704">
        <v>2.875E-3</v>
      </c>
      <c r="CU57" s="704">
        <v>2.875E-3</v>
      </c>
      <c r="CV57" s="704">
        <v>3.5000000000000001E-3</v>
      </c>
      <c r="CW57" s="703">
        <f>SUM(CS57:CV57)</f>
        <v>1.2125E-2</v>
      </c>
      <c r="CX57" s="708">
        <v>3.5000000000000005E-3</v>
      </c>
      <c r="CY57" s="708">
        <v>3.5000000000000005E-3</v>
      </c>
      <c r="CZ57" s="708">
        <v>3.5000000000000005E-3</v>
      </c>
      <c r="DA57" s="708">
        <v>3.7499999999999999E-3</v>
      </c>
      <c r="DB57" s="703">
        <f>SUM(CX57:DA57)</f>
        <v>1.4250000000000002E-2</v>
      </c>
      <c r="DC57" s="708">
        <v>3.7499999999999999E-3</v>
      </c>
      <c r="DD57" s="708">
        <v>3.7499999999999999E-3</v>
      </c>
      <c r="DE57" s="708">
        <v>3.7499999999999999E-3</v>
      </c>
      <c r="DF57" s="708">
        <v>4.0000000000000001E-3</v>
      </c>
      <c r="DG57" s="703">
        <f>SUM(DC57:DF57)</f>
        <v>1.525E-2</v>
      </c>
      <c r="DH57" s="704">
        <v>4.0000000000000001E-3</v>
      </c>
      <c r="DI57" s="704">
        <v>4.0000000000000001E-3</v>
      </c>
      <c r="DJ57" s="704">
        <v>4.0000000000000001E-3</v>
      </c>
      <c r="DK57" s="704">
        <v>4.0000000000000001E-3</v>
      </c>
      <c r="DL57" s="703">
        <f>SUM(DH57:DK57)</f>
        <v>1.6E-2</v>
      </c>
      <c r="DM57" s="704">
        <v>4.0000000000000001E-3</v>
      </c>
      <c r="DN57" s="704">
        <v>4.0000000000000001E-3</v>
      </c>
      <c r="DO57" s="704">
        <v>4.0000000000000001E-3</v>
      </c>
      <c r="DP57" s="704">
        <v>4.0000000000000001E-3</v>
      </c>
      <c r="DQ57" s="703">
        <f>SUM(DM57:DP57)</f>
        <v>1.6E-2</v>
      </c>
      <c r="DR57" s="704">
        <v>4.0000000000000001E-3</v>
      </c>
      <c r="DS57" s="704">
        <v>4.0000000000000001E-3</v>
      </c>
      <c r="DT57" s="704">
        <v>4.0000000000000001E-3</v>
      </c>
      <c r="DU57" s="704">
        <v>4.0000000000000001E-3</v>
      </c>
      <c r="DV57" s="703">
        <f>SUM(DR57:DU57)</f>
        <v>1.6E-2</v>
      </c>
      <c r="DW57" s="704">
        <v>4.0000000000000001E-3</v>
      </c>
      <c r="DX57" s="704">
        <v>4.0000000000000001E-3</v>
      </c>
      <c r="DY57" s="704">
        <v>4.0000000000000001E-3</v>
      </c>
      <c r="DZ57" s="704">
        <v>4.0000000000000001E-3</v>
      </c>
      <c r="EA57" s="703">
        <f>SUM(DW57:DZ57)</f>
        <v>1.6E-2</v>
      </c>
      <c r="EB57" s="704">
        <v>4.0000000000000001E-3</v>
      </c>
      <c r="EC57" s="704">
        <v>4.0000000000000001E-3</v>
      </c>
      <c r="ED57" s="704">
        <v>4.0000000000000001E-3</v>
      </c>
      <c r="EE57" s="704">
        <v>4.0000000000000001E-3</v>
      </c>
      <c r="EF57" s="703">
        <f>SUM(EB57:EE57)</f>
        <v>1.6E-2</v>
      </c>
      <c r="EG57" s="704">
        <v>4.0000000000000001E-3</v>
      </c>
      <c r="EH57" s="704">
        <v>0.01</v>
      </c>
      <c r="EI57" s="704">
        <v>0.01</v>
      </c>
      <c r="EJ57" s="704">
        <v>0.01</v>
      </c>
      <c r="EK57" s="703">
        <f>SUM(EG57:EJ57)</f>
        <v>3.4000000000000002E-2</v>
      </c>
      <c r="EL57" s="704">
        <v>0.01</v>
      </c>
      <c r="EM57" s="704">
        <v>0.01</v>
      </c>
      <c r="EN57" s="704">
        <v>0.01</v>
      </c>
      <c r="EO57" s="704">
        <v>0.01</v>
      </c>
      <c r="EP57" s="703">
        <f>SUM(EL57:EO57)</f>
        <v>0.04</v>
      </c>
      <c r="EQ57" s="704">
        <v>0.01</v>
      </c>
      <c r="ER57" s="709">
        <v>0.25</v>
      </c>
      <c r="ES57" s="709">
        <f>ER57</f>
        <v>0.25</v>
      </c>
      <c r="ET57" s="709">
        <f>ES57</f>
        <v>0.25</v>
      </c>
      <c r="EU57" s="703">
        <f>SUM(EQ57:ET57)</f>
        <v>0.76</v>
      </c>
      <c r="EV57" s="709">
        <f>ET57</f>
        <v>0.25</v>
      </c>
      <c r="EW57" s="709">
        <f>EV57</f>
        <v>0.25</v>
      </c>
      <c r="EX57" s="709">
        <f>EW57</f>
        <v>0.25</v>
      </c>
      <c r="EY57" s="709">
        <f>EX57</f>
        <v>0.25</v>
      </c>
      <c r="EZ57" s="703">
        <f>SUM(EV57:EY57)</f>
        <v>1</v>
      </c>
      <c r="FA57" s="709">
        <f>EY57</f>
        <v>0.25</v>
      </c>
      <c r="FB57" s="709">
        <v>0.4</v>
      </c>
      <c r="FC57" s="709">
        <f>FB57</f>
        <v>0.4</v>
      </c>
      <c r="FD57" s="709">
        <f>FC57</f>
        <v>0.4</v>
      </c>
      <c r="FE57" s="703">
        <f>SUM(FA57:FD57)</f>
        <v>1.4500000000000002</v>
      </c>
      <c r="FF57" s="709">
        <f>FD57</f>
        <v>0.4</v>
      </c>
      <c r="FG57" s="709">
        <f>FF57</f>
        <v>0.4</v>
      </c>
      <c r="FH57" s="709">
        <f>FG57</f>
        <v>0.4</v>
      </c>
      <c r="FI57" s="709">
        <f>FH57</f>
        <v>0.4</v>
      </c>
      <c r="FJ57" s="703">
        <f>SUM(FF57:FI57)</f>
        <v>1.6</v>
      </c>
      <c r="FK57" s="709">
        <f>FI57</f>
        <v>0.4</v>
      </c>
      <c r="FL57" s="709">
        <v>0.6</v>
      </c>
      <c r="FM57" s="709">
        <f>FL57</f>
        <v>0.6</v>
      </c>
      <c r="FN57" s="709">
        <f>FM57</f>
        <v>0.6</v>
      </c>
      <c r="FO57" s="703">
        <f>SUM(FK57:FN57)</f>
        <v>2.2000000000000002</v>
      </c>
      <c r="FP57" s="703"/>
      <c r="FQ57" s="192"/>
    </row>
    <row r="58" spans="1:173" s="169" customFormat="1">
      <c r="A58" s="147" t="s">
        <v>420</v>
      </c>
      <c r="B58" s="699"/>
      <c r="C58" s="699"/>
      <c r="D58" s="699"/>
      <c r="E58" s="699"/>
      <c r="F58" s="190">
        <f>+F44/F48</f>
        <v>-5.8981488785464454E-4</v>
      </c>
      <c r="G58" s="699"/>
      <c r="H58" s="699"/>
      <c r="I58" s="699"/>
      <c r="J58" s="699"/>
      <c r="K58" s="190">
        <f>+K44/K48</f>
        <v>4.0535500461299882E-4</v>
      </c>
      <c r="L58" s="699"/>
      <c r="M58" s="699"/>
      <c r="N58" s="699"/>
      <c r="O58" s="699"/>
      <c r="P58" s="190">
        <f>+P44/P48</f>
        <v>2.3638938715016874E-3</v>
      </c>
      <c r="Q58" s="699"/>
      <c r="R58" s="699"/>
      <c r="S58" s="699"/>
      <c r="T58" s="699"/>
      <c r="U58" s="190">
        <f>+U44/U48</f>
        <v>5.1513563056757028E-3</v>
      </c>
      <c r="V58" s="699"/>
      <c r="W58" s="699"/>
      <c r="X58" s="699"/>
      <c r="Y58" s="699"/>
      <c r="Z58" s="190">
        <f>+Z44/Z48</f>
        <v>8.7180361388075143E-3</v>
      </c>
      <c r="AA58" s="699"/>
      <c r="AB58" s="699"/>
      <c r="AC58" s="699"/>
      <c r="AD58" s="699"/>
      <c r="AE58" s="190">
        <f t="shared" ref="AE58:CM58" si="53">+AE44/AE48</f>
        <v>3.1206266067279787E-3</v>
      </c>
      <c r="AF58" s="699">
        <f t="shared" si="53"/>
        <v>9.799513671778083E-4</v>
      </c>
      <c r="AG58" s="699">
        <f t="shared" si="53"/>
        <v>1.1529581612250849E-3</v>
      </c>
      <c r="AH58" s="699">
        <f t="shared" si="53"/>
        <v>3.0590223834192984E-4</v>
      </c>
      <c r="AI58" s="699">
        <f t="shared" si="53"/>
        <v>1.1412600992498666E-3</v>
      </c>
      <c r="AJ58" s="190">
        <f t="shared" si="53"/>
        <v>3.5843055206367675E-3</v>
      </c>
      <c r="AK58" s="699">
        <f t="shared" si="53"/>
        <v>9.9680261169847809E-4</v>
      </c>
      <c r="AL58" s="699">
        <f t="shared" si="53"/>
        <v>2.4043835966459635E-4</v>
      </c>
      <c r="AM58" s="699">
        <f t="shared" si="53"/>
        <v>1.2475246188346873E-3</v>
      </c>
      <c r="AN58" s="699">
        <f t="shared" si="53"/>
        <v>2.2570335727220936E-3</v>
      </c>
      <c r="AO58" s="190">
        <f t="shared" si="53"/>
        <v>4.7380825581000031E-3</v>
      </c>
      <c r="AP58" s="699">
        <f t="shared" si="53"/>
        <v>2.9753857973391275E-3</v>
      </c>
      <c r="AQ58" s="699">
        <f t="shared" si="53"/>
        <v>3.4495362944115641E-3</v>
      </c>
      <c r="AR58" s="699">
        <f t="shared" si="53"/>
        <v>2.9630769901426005E-3</v>
      </c>
      <c r="AS58" s="699">
        <f t="shared" si="53"/>
        <v>4.3901312042638717E-3</v>
      </c>
      <c r="AT58" s="190">
        <f t="shared" si="53"/>
        <v>1.3799302523802164E-2</v>
      </c>
      <c r="AU58" s="699">
        <f t="shared" si="53"/>
        <v>3.9401378431956615E-3</v>
      </c>
      <c r="AV58" s="699">
        <f t="shared" si="53"/>
        <v>3.7498044117786921E-3</v>
      </c>
      <c r="AW58" s="699">
        <f t="shared" si="53"/>
        <v>4.537615718552033E-3</v>
      </c>
      <c r="AX58" s="699">
        <f t="shared" si="53"/>
        <v>6.829927267076698E-3</v>
      </c>
      <c r="AY58" s="190">
        <f t="shared" si="53"/>
        <v>1.9116898560761621E-2</v>
      </c>
      <c r="AZ58" s="699">
        <f t="shared" si="53"/>
        <v>5.5264591784375382E-3</v>
      </c>
      <c r="BA58" s="699">
        <f t="shared" si="53"/>
        <v>7.1515220770101496E-3</v>
      </c>
      <c r="BB58" s="699">
        <f t="shared" si="53"/>
        <v>9.6112058206970791E-3</v>
      </c>
      <c r="BC58" s="699">
        <f t="shared" si="53"/>
        <v>1.0546798692653809E-2</v>
      </c>
      <c r="BD58" s="190">
        <f t="shared" si="53"/>
        <v>3.2902258045820899E-2</v>
      </c>
      <c r="BE58" s="699">
        <f t="shared" si="53"/>
        <v>7.4665661017349963E-3</v>
      </c>
      <c r="BF58" s="699">
        <f t="shared" si="53"/>
        <v>-5.2169992838592234E-3</v>
      </c>
      <c r="BG58" s="699">
        <f t="shared" si="53"/>
        <v>5.5124916745787468E-4</v>
      </c>
      <c r="BH58" s="699">
        <f t="shared" si="53"/>
        <v>-6.8669258456644858E-3</v>
      </c>
      <c r="BI58" s="190">
        <f t="shared" si="53"/>
        <v>-3.4896409462464011E-3</v>
      </c>
      <c r="BJ58" s="699">
        <f t="shared" si="53"/>
        <v>-9.2815508558805257E-3</v>
      </c>
      <c r="BK58" s="699">
        <f t="shared" si="53"/>
        <v>-4.6789659370639952E-3</v>
      </c>
      <c r="BL58" s="699">
        <f t="shared" si="53"/>
        <v>4.682301468885635E-3</v>
      </c>
      <c r="BM58" s="699">
        <f t="shared" si="53"/>
        <v>5.6296288660856487E-3</v>
      </c>
      <c r="BN58" s="190">
        <f t="shared" si="53"/>
        <v>-3.0064066394151607E-3</v>
      </c>
      <c r="BO58" s="699">
        <f t="shared" si="53"/>
        <v>5.8204187161694544E-3</v>
      </c>
      <c r="BP58" s="699">
        <f t="shared" si="53"/>
        <v>-6.0510437289550047E-3</v>
      </c>
      <c r="BQ58" s="699">
        <f t="shared" si="53"/>
        <v>3.6412207713748274E-3</v>
      </c>
      <c r="BR58" s="699">
        <f t="shared" si="53"/>
        <v>7.1335895564691078E-3</v>
      </c>
      <c r="BS58" s="190">
        <f t="shared" si="53"/>
        <v>1.073750406665798E-2</v>
      </c>
      <c r="BT58" s="699">
        <f t="shared" si="53"/>
        <v>5.5103802280129233E-3</v>
      </c>
      <c r="BU58" s="699">
        <f t="shared" si="53"/>
        <v>6.1722025494597129E-3</v>
      </c>
      <c r="BV58" s="699">
        <f t="shared" si="53"/>
        <v>7.2638780233392E-3</v>
      </c>
      <c r="BW58" s="699">
        <f t="shared" si="53"/>
        <v>4.6890230989704114E-3</v>
      </c>
      <c r="BX58" s="190">
        <f t="shared" si="53"/>
        <v>2.3625703223372242E-2</v>
      </c>
      <c r="BY58" s="699">
        <f t="shared" si="53"/>
        <v>2.4221848518562483E-3</v>
      </c>
      <c r="BZ58" s="699">
        <f t="shared" si="53"/>
        <v>4.776030541946228E-3</v>
      </c>
      <c r="CA58" s="699">
        <f t="shared" si="53"/>
        <v>8.3120641811575153E-3</v>
      </c>
      <c r="CB58" s="699">
        <f t="shared" si="53"/>
        <v>6.9922815738451324E-3</v>
      </c>
      <c r="CC58" s="190">
        <f t="shared" si="53"/>
        <v>2.2521330839397349E-2</v>
      </c>
      <c r="CD58" s="699">
        <f t="shared" si="53"/>
        <v>3.1443060090230613E-3</v>
      </c>
      <c r="CE58" s="699">
        <f t="shared" si="53"/>
        <v>4.0729316932598689E-3</v>
      </c>
      <c r="CF58" s="699">
        <f t="shared" si="53"/>
        <v>5.041766312471131E-3</v>
      </c>
      <c r="CG58" s="699">
        <f t="shared" si="53"/>
        <v>6.3616295665066295E-3</v>
      </c>
      <c r="CH58" s="190">
        <f t="shared" si="53"/>
        <v>1.850706817822376E-2</v>
      </c>
      <c r="CI58" s="699">
        <f t="shared" si="53"/>
        <v>5.9831142557615295E-3</v>
      </c>
      <c r="CJ58" s="699">
        <f t="shared" si="53"/>
        <v>5.6073554257832503E-3</v>
      </c>
      <c r="CK58" s="699">
        <f t="shared" si="53"/>
        <v>7.7466271110227377E-3</v>
      </c>
      <c r="CL58" s="699">
        <f t="shared" si="53"/>
        <v>8.6748728378846975E-3</v>
      </c>
      <c r="CM58" s="190">
        <f t="shared" si="53"/>
        <v>2.7954426164392802E-2</v>
      </c>
      <c r="CN58" s="699">
        <f>+CN44/(CN48+CN47)</f>
        <v>5.9608540925266901E-3</v>
      </c>
      <c r="CO58" s="699">
        <f>+CO44/(CO48+CO47)</f>
        <v>1.177536231884058E-3</v>
      </c>
      <c r="CP58" s="699">
        <f>+CP44/(CP48+CP47)</f>
        <v>1.088495575221239E-2</v>
      </c>
      <c r="CQ58" s="699">
        <f>+CQ44/(CQ48+CQ47)</f>
        <v>8.7268128161888704E-3</v>
      </c>
      <c r="CR58" s="190">
        <f>+CR$44/CR$48</f>
        <v>2.7415026833631485E-2</v>
      </c>
      <c r="CS58" s="699">
        <f>+CS44/(CS48+CS47)</f>
        <v>8.2077051926298158E-3</v>
      </c>
      <c r="CT58" s="699">
        <f>+CT44/(CT48+CT47)</f>
        <v>9.9763406940063092E-3</v>
      </c>
      <c r="CU58" s="699">
        <f>+CU44/(CU48+CU47)</f>
        <v>2.0750382848392038E-2</v>
      </c>
      <c r="CV58" s="699">
        <f>+CV44/(CV48+CV47)</f>
        <v>2.4810606060606061E-2</v>
      </c>
      <c r="CW58" s="190">
        <f>+CW44/CW48</f>
        <v>6.8841488916771221E-2</v>
      </c>
      <c r="CX58" s="699">
        <f>+CX44/(CX48+CX47)</f>
        <v>1.9773790951638066E-2</v>
      </c>
      <c r="CY58" s="699">
        <f>+CY44/(CY48+CY47)</f>
        <v>2.3025276461295419E-2</v>
      </c>
      <c r="CZ58" s="699">
        <f>+CZ44/(CZ48+CZ47)</f>
        <v>3.3359872611464968E-2</v>
      </c>
      <c r="DA58" s="699">
        <f>+DA44/(DA48+DA47)</f>
        <v>4.4506369426751589E-2</v>
      </c>
      <c r="DB58" s="190">
        <f>+DB44/DB48</f>
        <v>0.121402949382224</v>
      </c>
      <c r="DC58" s="699">
        <f>+DC44/(DC48+DC47)</f>
        <v>4.9601275917065389E-2</v>
      </c>
      <c r="DD58" s="699">
        <f>+DD44/(DD48+DD47)</f>
        <v>4.3969648562300317E-2</v>
      </c>
      <c r="DE58" s="699">
        <f>+DE44/(DE48+DE47)</f>
        <v>4.9200000000000001E-2</v>
      </c>
      <c r="DF58" s="699">
        <f>+DF44/(DF48+DF47)</f>
        <v>2.2899838449111469E-2</v>
      </c>
      <c r="DG58" s="190">
        <f>+DG44/DG48</f>
        <v>0.16594551282051281</v>
      </c>
      <c r="DH58" s="699">
        <f>+DH44/(DH48+DH47)</f>
        <v>1.5990259740259739E-2</v>
      </c>
      <c r="DI58" s="699">
        <f>+DI44/(DI48+DI47)</f>
        <v>2.2402597402597403E-2</v>
      </c>
      <c r="DJ58" s="699">
        <f>+DJ44/(DJ48+DJ47)</f>
        <v>3.6367313915857603E-2</v>
      </c>
      <c r="DK58" s="699">
        <f>+DK44/(DK48+DK47)</f>
        <v>3.8244766505636074E-2</v>
      </c>
      <c r="DL58" s="190">
        <f>+DL44/DL48</f>
        <v>0.113112100364225</v>
      </c>
      <c r="DM58" s="699">
        <f>+DM44/(DM48+DM47)</f>
        <v>3.6856913183279744E-2</v>
      </c>
      <c r="DN58" s="699">
        <f>+DN44/(DN48+DN47)</f>
        <v>2.4840255591054312E-2</v>
      </c>
      <c r="DO58" s="699">
        <f>+DO44/(DO48+DO47)</f>
        <v>5.3015873015873016E-2</v>
      </c>
      <c r="DP58" s="699">
        <f>+DP44/(DP48+DP47)</f>
        <v>5.7725832012678287E-2</v>
      </c>
      <c r="DQ58" s="190">
        <f>+DQ44/DQ48</f>
        <v>0.17265842965324832</v>
      </c>
      <c r="DR58" s="699">
        <f>+DR44/(DR48+DR47)</f>
        <v>7.5632911392405064E-2</v>
      </c>
      <c r="DS58" s="699">
        <f>+DS44/(DS48+DS47)</f>
        <v>9.3759873617693529E-2</v>
      </c>
      <c r="DT58" s="699">
        <f>+DT44/(DT48+DT47)</f>
        <v>9.7084318360914107E-2</v>
      </c>
      <c r="DU58" s="699">
        <f>+DU44/(DU48+DU47)</f>
        <v>0.11799607072691552</v>
      </c>
      <c r="DV58" s="190">
        <f>+DV44/DV48</f>
        <v>0.38448107065369613</v>
      </c>
      <c r="DW58" s="699">
        <f>+DW44/(DW48+DW47)</f>
        <v>6.3776113519905406E-2</v>
      </c>
      <c r="DX58" s="699">
        <f>+DX44/(DX48+DX47)</f>
        <v>2.6073131955484895E-2</v>
      </c>
      <c r="DY58" s="699">
        <f>+DY44/(DY48+DY47)</f>
        <v>2.7210884353741496E-2</v>
      </c>
      <c r="DZ58" s="699">
        <f>+DZ44/(DZ48+DZ47)</f>
        <v>5.708518368994752E-2</v>
      </c>
      <c r="EA58" s="190">
        <f>+EA44/EA48</f>
        <v>0.17372299178169781</v>
      </c>
      <c r="EB58" s="699">
        <f>+EB44/(EB48+EB47)</f>
        <v>8.2048192771084341E-2</v>
      </c>
      <c r="EC58" s="699">
        <f>+EC44/(EC48+EC47)</f>
        <v>0.24761904761904763</v>
      </c>
      <c r="ED58" s="699">
        <f>+ED44/(ED48+ED47)</f>
        <v>0.37060946271050521</v>
      </c>
      <c r="EE58" s="699">
        <f>+EE44/(EE48+EE47)</f>
        <v>0.49337349397590363</v>
      </c>
      <c r="EF58" s="190">
        <f>+EF44/EF48</f>
        <v>1.1935826732176877</v>
      </c>
      <c r="EG58" s="699">
        <f>+EG44/(EG48+EG47)</f>
        <v>0.5978706307754118</v>
      </c>
      <c r="EH58" s="699">
        <f>+EH44/(EH48+EH47)</f>
        <v>0.66802157115260785</v>
      </c>
      <c r="EI58" s="699">
        <f>+EI44/(EI48+EI47)</f>
        <v>0.77940582869136998</v>
      </c>
      <c r="EJ58" s="699">
        <f>+EJ44/(EJ48+EJ47)</f>
        <v>0.8941552659273051</v>
      </c>
      <c r="EK58" s="190">
        <f>+EK44/EK48</f>
        <v>2.9394136031480578</v>
      </c>
      <c r="EL58" s="699">
        <f>+EL44/(EL48+EL47)</f>
        <v>0.7628702612652879</v>
      </c>
      <c r="EM58" s="699">
        <f>+EM44/(EM48+EM47)</f>
        <v>1.0770422305560086</v>
      </c>
      <c r="EN58" s="699">
        <f>+EN44/(EN48+EN47)</f>
        <v>1.3033533472205203</v>
      </c>
      <c r="EO58" s="699">
        <f>+EO44/(EO48+EO47)</f>
        <v>1.7583497053045187</v>
      </c>
      <c r="EP58" s="190">
        <f>+EP44/EP48</f>
        <v>4.901219130522886</v>
      </c>
      <c r="EQ58" s="699">
        <f>+EQ44/(EQ48+EQ47)</f>
        <v>2.3910868763068347</v>
      </c>
      <c r="ER58" s="699">
        <f>+ER44/(ER48+ER47)</f>
        <v>2.1162258697567786</v>
      </c>
      <c r="ES58" s="699">
        <f>+ES44/(ES48+ES47)</f>
        <v>2.5636890582306679</v>
      </c>
      <c r="ET58" s="699">
        <f>+ET44/(ET48+ET47)</f>
        <v>2.9517426695047355</v>
      </c>
      <c r="EU58" s="190">
        <f>+EU44/EU48</f>
        <v>10.026693400693471</v>
      </c>
      <c r="EV58" s="699">
        <f>+EV44/(EV48+EV47)</f>
        <v>3.2479876917207471</v>
      </c>
      <c r="EW58" s="699">
        <f>+EW44/(EW48+EW47)</f>
        <v>3.5892808208282614</v>
      </c>
      <c r="EX58" s="699">
        <f>+EX44/(EX48+EX47)</f>
        <v>4.0551324753528704</v>
      </c>
      <c r="EY58" s="699">
        <f>+EY44/(EY48+EY47)</f>
        <v>4.3558085926950545</v>
      </c>
      <c r="EZ58" s="190">
        <f>+EZ44/EZ48</f>
        <v>15.248209580596937</v>
      </c>
      <c r="FA58" s="699">
        <f>+FA44/(FA48+FA47)</f>
        <v>4.4934218704696658</v>
      </c>
      <c r="FB58" s="699">
        <f>+FB44/(FB48+FB47)</f>
        <v>4.6561255755336362</v>
      </c>
      <c r="FC58" s="699">
        <f>+FC44/(FC48+FC47)</f>
        <v>5.0302478797631744</v>
      </c>
      <c r="FD58" s="699">
        <f>+FD44/(FD48+FD47)</f>
        <v>5.3230450699334311</v>
      </c>
      <c r="FE58" s="190">
        <f>+FE44/FE48</f>
        <v>19.502840395699909</v>
      </c>
      <c r="FF58" s="699">
        <f>+FF44/(FF48+FF47)</f>
        <v>5.3938311973132853</v>
      </c>
      <c r="FG58" s="699">
        <f>+FG44/(FG48+FG47)</f>
        <v>5.486305465996054</v>
      </c>
      <c r="FH58" s="699">
        <f>+FH44/(FH48+FH47)</f>
        <v>5.7063104620063658</v>
      </c>
      <c r="FI58" s="699">
        <f>+FI44/(FI48+FI47)</f>
        <v>5.8665488958654732</v>
      </c>
      <c r="FJ58" s="190">
        <f>+FJ44/FJ48</f>
        <v>22.452996021181182</v>
      </c>
      <c r="FK58" s="699">
        <f>+FK44/(FK48+FK47)</f>
        <v>6.011173865581485</v>
      </c>
      <c r="FL58" s="699">
        <f>+FL44/(FL48+FL47)</f>
        <v>6.2422857384482011</v>
      </c>
      <c r="FM58" s="699">
        <f>+FM44/(FM48+FM47)</f>
        <v>6.6852389841614448</v>
      </c>
      <c r="FN58" s="699">
        <f>+FN44/(FN48+FN47)</f>
        <v>7.0139699477468209</v>
      </c>
      <c r="FO58" s="190">
        <f>+FO44/FO48</f>
        <v>25.952668535937953</v>
      </c>
      <c r="FP58" s="190"/>
      <c r="FQ58" s="465"/>
    </row>
    <row r="59" spans="1:173">
      <c r="AD59" s="148"/>
      <c r="AE59" s="148"/>
      <c r="AF59" s="148"/>
      <c r="AG59" s="148"/>
      <c r="CK59" s="150"/>
      <c r="CL59" s="150"/>
      <c r="CM59" s="150"/>
      <c r="CQ59" s="707"/>
      <c r="CR59" s="190"/>
      <c r="CW59" s="710"/>
      <c r="CZ59" s="707"/>
      <c r="DB59" s="684"/>
      <c r="DG59" s="684"/>
      <c r="DL59" s="684"/>
      <c r="DQ59" s="684"/>
      <c r="DU59" s="711"/>
      <c r="DV59" s="684"/>
      <c r="DZ59" s="711"/>
      <c r="EA59" s="684"/>
      <c r="EE59" s="193"/>
      <c r="EF59" s="684"/>
      <c r="EG59" s="712"/>
      <c r="EH59" s="712"/>
      <c r="EI59" s="712"/>
      <c r="EJ59" s="712"/>
      <c r="EK59" s="684"/>
      <c r="EL59" s="712"/>
      <c r="EM59" s="712"/>
      <c r="EN59" s="712"/>
      <c r="EO59" s="193"/>
      <c r="EP59" s="684"/>
      <c r="EQ59" s="712"/>
      <c r="ER59" s="712"/>
      <c r="ES59" s="712"/>
      <c r="ET59" s="712"/>
      <c r="EU59" s="684"/>
      <c r="EV59" s="712"/>
      <c r="EW59" s="712"/>
      <c r="EX59" s="712"/>
      <c r="EY59" s="712"/>
      <c r="EZ59" s="684"/>
      <c r="FA59" s="712"/>
      <c r="FB59" s="712"/>
      <c r="FC59" s="712"/>
      <c r="FD59" s="712"/>
      <c r="FE59" s="684"/>
      <c r="FF59" s="712"/>
      <c r="FG59" s="712"/>
      <c r="FH59" s="712"/>
      <c r="FI59" s="712"/>
      <c r="FJ59" s="684"/>
      <c r="FK59" s="712"/>
      <c r="FL59" s="712"/>
      <c r="FM59" s="712"/>
      <c r="FN59" s="712"/>
      <c r="FO59" s="684"/>
      <c r="FP59" s="684"/>
    </row>
    <row r="60" spans="1:173" s="198" customFormat="1" ht="18" customHeight="1">
      <c r="A60" s="194" t="s">
        <v>421</v>
      </c>
      <c r="B60" s="195"/>
      <c r="C60" s="195"/>
      <c r="D60" s="195"/>
      <c r="E60" s="195"/>
      <c r="F60" s="195"/>
      <c r="G60" s="195"/>
      <c r="H60" s="195"/>
      <c r="I60" s="195"/>
      <c r="J60" s="195"/>
      <c r="K60" s="195"/>
      <c r="L60" s="195"/>
      <c r="M60" s="195"/>
      <c r="N60" s="195"/>
      <c r="O60" s="195"/>
      <c r="P60" s="195"/>
      <c r="Q60" s="195"/>
      <c r="R60" s="195"/>
      <c r="S60" s="195"/>
      <c r="T60" s="195"/>
      <c r="U60" s="195"/>
      <c r="V60" s="195"/>
      <c r="W60" s="195"/>
      <c r="X60" s="195"/>
      <c r="Y60" s="195"/>
      <c r="Z60" s="195"/>
      <c r="AA60" s="195"/>
      <c r="AB60" s="195"/>
      <c r="AC60" s="195"/>
      <c r="AD60" s="195"/>
      <c r="AE60" s="195"/>
      <c r="AF60" s="195"/>
      <c r="AG60" s="195"/>
      <c r="AH60" s="196"/>
      <c r="AI60" s="196"/>
      <c r="AJ60" s="196"/>
      <c r="AK60" s="196"/>
      <c r="AL60" s="196"/>
      <c r="AM60" s="196"/>
      <c r="AN60" s="196"/>
      <c r="AO60" s="196"/>
      <c r="AP60" s="196"/>
      <c r="AQ60" s="196"/>
      <c r="AR60" s="196"/>
      <c r="AS60" s="196"/>
      <c r="AT60" s="196"/>
      <c r="AU60" s="196"/>
      <c r="AV60" s="196"/>
      <c r="AW60" s="196"/>
      <c r="AX60" s="196"/>
      <c r="AY60" s="196"/>
      <c r="AZ60" s="196"/>
      <c r="BA60" s="196"/>
      <c r="BB60" s="196"/>
      <c r="BC60" s="196"/>
      <c r="BD60" s="196"/>
      <c r="BE60" s="196"/>
      <c r="BF60" s="196"/>
      <c r="BG60" s="196"/>
      <c r="BH60" s="196"/>
      <c r="BI60" s="196"/>
      <c r="BJ60" s="196"/>
      <c r="BK60" s="196"/>
      <c r="BL60" s="196"/>
      <c r="BM60" s="196"/>
      <c r="BN60" s="196"/>
      <c r="BO60" s="196"/>
      <c r="BP60" s="196"/>
      <c r="BQ60" s="196"/>
      <c r="BR60" s="196"/>
      <c r="BS60" s="196"/>
      <c r="BT60" s="196"/>
      <c r="BU60" s="196"/>
      <c r="BV60" s="196"/>
      <c r="BW60" s="196"/>
      <c r="BX60" s="196"/>
      <c r="BY60" s="196"/>
      <c r="BZ60" s="196"/>
      <c r="CA60" s="196"/>
      <c r="CB60" s="196"/>
      <c r="CC60" s="196"/>
      <c r="CD60" s="196"/>
      <c r="CE60" s="196"/>
      <c r="CF60" s="196"/>
      <c r="CG60" s="196"/>
      <c r="CH60" s="196"/>
      <c r="CI60" s="196"/>
      <c r="CJ60" s="196"/>
      <c r="CK60" s="196"/>
      <c r="CL60" s="196"/>
      <c r="CM60" s="196"/>
      <c r="CN60" s="196"/>
      <c r="CO60" s="196"/>
      <c r="CP60" s="196"/>
      <c r="CQ60" s="196"/>
      <c r="CR60" s="196"/>
      <c r="CS60" s="196"/>
      <c r="CT60" s="196"/>
      <c r="CU60" s="196"/>
      <c r="CV60" s="196"/>
      <c r="CW60" s="196"/>
      <c r="CX60" s="196"/>
      <c r="CY60" s="196"/>
      <c r="CZ60" s="196"/>
      <c r="DA60" s="196"/>
      <c r="DB60" s="195"/>
      <c r="DC60" s="196"/>
      <c r="DD60" s="196"/>
      <c r="DE60" s="196"/>
      <c r="DF60" s="196"/>
      <c r="DG60" s="196"/>
      <c r="DH60" s="196"/>
      <c r="DI60" s="196"/>
      <c r="DJ60" s="196"/>
      <c r="DK60" s="196"/>
      <c r="DL60" s="196"/>
      <c r="DM60" s="196"/>
      <c r="DN60" s="196"/>
      <c r="DO60" s="196"/>
      <c r="DP60" s="196"/>
      <c r="DQ60" s="196"/>
      <c r="DR60" s="196"/>
      <c r="DS60" s="196"/>
      <c r="DT60" s="196"/>
      <c r="DU60" s="196"/>
      <c r="DV60" s="196"/>
      <c r="DW60" s="196"/>
      <c r="DX60" s="196"/>
      <c r="DY60" s="196"/>
      <c r="DZ60" s="196"/>
      <c r="EA60" s="196"/>
      <c r="EB60" s="196"/>
      <c r="EC60" s="196"/>
      <c r="ED60" s="196"/>
      <c r="EE60" s="196"/>
      <c r="EF60" s="196"/>
      <c r="EG60" s="196"/>
      <c r="EH60" s="196"/>
      <c r="EI60" s="196"/>
      <c r="EJ60" s="196"/>
      <c r="EK60" s="196"/>
      <c r="EL60" s="196"/>
      <c r="EM60" s="196"/>
      <c r="EN60" s="196"/>
      <c r="EO60" s="196"/>
      <c r="EP60" s="196"/>
      <c r="EQ60" s="196"/>
      <c r="ER60" s="196"/>
      <c r="ES60" s="196"/>
      <c r="ET60" s="196"/>
      <c r="EU60" s="196"/>
      <c r="EV60" s="196"/>
      <c r="EW60" s="196"/>
      <c r="EX60" s="196"/>
      <c r="EY60" s="196"/>
      <c r="EZ60" s="196"/>
      <c r="FA60" s="196"/>
      <c r="FB60" s="196"/>
      <c r="FC60" s="196"/>
      <c r="FD60" s="196"/>
      <c r="FE60" s="196"/>
      <c r="FF60" s="196"/>
      <c r="FG60" s="196"/>
      <c r="FH60" s="196"/>
      <c r="FI60" s="196"/>
      <c r="FJ60" s="196"/>
      <c r="FK60" s="196"/>
      <c r="FL60" s="196"/>
      <c r="FM60" s="196"/>
      <c r="FN60" s="196"/>
      <c r="FO60" s="196"/>
      <c r="FP60" s="197"/>
      <c r="FQ60" s="197"/>
    </row>
    <row r="61" spans="1:173">
      <c r="AA61" s="665"/>
      <c r="AB61" s="665"/>
      <c r="AC61" s="665"/>
      <c r="AD61" s="665"/>
      <c r="AE61" s="665"/>
      <c r="AF61" s="187"/>
      <c r="AG61" s="187"/>
      <c r="AH61" s="187"/>
      <c r="AI61" s="187"/>
      <c r="AJ61" s="187"/>
      <c r="AK61" s="187"/>
      <c r="AL61" s="187"/>
      <c r="AM61" s="187"/>
      <c r="AN61" s="187"/>
      <c r="AO61" s="187"/>
      <c r="AP61" s="187"/>
      <c r="AQ61" s="187"/>
      <c r="AR61" s="187"/>
      <c r="AS61" s="187"/>
      <c r="AT61" s="187"/>
      <c r="AU61" s="187"/>
      <c r="BE61" s="186"/>
      <c r="CD61" s="186"/>
      <c r="CM61" s="186"/>
      <c r="CN61" s="713"/>
      <c r="CO61" s="713"/>
      <c r="CP61" s="713"/>
      <c r="CQ61" s="713"/>
      <c r="CR61" s="186"/>
      <c r="CS61" s="713"/>
      <c r="CT61" s="713"/>
      <c r="CU61" s="713"/>
      <c r="CV61" s="713"/>
      <c r="CW61" s="186"/>
      <c r="CX61" s="713"/>
      <c r="CY61" s="713"/>
      <c r="CZ61" s="713"/>
      <c r="DA61" s="713"/>
      <c r="DB61" s="712"/>
      <c r="DC61" s="188"/>
      <c r="DD61" s="713"/>
      <c r="DE61" s="713"/>
      <c r="DF61" s="713"/>
      <c r="DG61" s="712"/>
      <c r="DH61" s="188"/>
      <c r="DI61" s="713"/>
      <c r="DJ61" s="713"/>
      <c r="DK61" s="713"/>
      <c r="DL61" s="712"/>
      <c r="DM61" s="713"/>
      <c r="DN61" s="712"/>
      <c r="DO61" s="712"/>
      <c r="DP61" s="712"/>
      <c r="DQ61" s="712"/>
      <c r="DR61" s="712"/>
      <c r="DS61" s="712"/>
      <c r="DT61" s="712"/>
      <c r="DU61" s="712"/>
      <c r="DW61" s="184"/>
      <c r="DX61" s="712"/>
      <c r="DY61" s="712"/>
      <c r="DZ61" s="712"/>
      <c r="EB61" s="712"/>
      <c r="EC61" s="712"/>
      <c r="ED61" s="712"/>
      <c r="EE61" s="712"/>
      <c r="EG61" s="712"/>
      <c r="EH61" s="712"/>
      <c r="EI61" s="712"/>
      <c r="EJ61" s="712"/>
      <c r="EL61" s="712"/>
      <c r="EM61" s="712"/>
      <c r="EN61" s="193"/>
      <c r="EO61" s="193"/>
      <c r="EQ61" s="712"/>
      <c r="ER61" s="712"/>
      <c r="ES61" s="712"/>
      <c r="ET61" s="712"/>
      <c r="EV61" s="712"/>
      <c r="EW61" s="712"/>
      <c r="EX61" s="712"/>
      <c r="EY61" s="712"/>
      <c r="FA61" s="712"/>
      <c r="FB61" s="712"/>
      <c r="FC61" s="712"/>
      <c r="FD61" s="712"/>
      <c r="FF61" s="712"/>
      <c r="FG61" s="712"/>
      <c r="FH61" s="712"/>
      <c r="FI61" s="712"/>
      <c r="FK61" s="712"/>
      <c r="FL61" s="712"/>
      <c r="FM61" s="712"/>
      <c r="FN61" s="712"/>
    </row>
    <row r="62" spans="1:173">
      <c r="A62" s="171" t="s">
        <v>422</v>
      </c>
      <c r="B62" s="665"/>
      <c r="C62" s="665"/>
      <c r="D62" s="665"/>
      <c r="E62" s="665"/>
      <c r="F62" s="665"/>
      <c r="G62" s="665"/>
      <c r="H62" s="665"/>
      <c r="I62" s="665"/>
      <c r="J62" s="665"/>
      <c r="K62" s="714"/>
      <c r="L62" s="199">
        <v>51.823</v>
      </c>
      <c r="M62" s="199">
        <v>46.756999999999998</v>
      </c>
      <c r="N62" s="199">
        <v>55.2</v>
      </c>
      <c r="O62" s="199">
        <v>61.56</v>
      </c>
      <c r="P62" s="715">
        <f>O62</f>
        <v>61.56</v>
      </c>
      <c r="Q62" s="199">
        <v>269.8</v>
      </c>
      <c r="R62" s="199">
        <v>289.20499999999998</v>
      </c>
      <c r="S62" s="199">
        <v>694.88300000000004</v>
      </c>
      <c r="T62" s="199">
        <v>674.27499999999998</v>
      </c>
      <c r="U62" s="715">
        <f>T62</f>
        <v>674.27499999999998</v>
      </c>
      <c r="V62" s="199">
        <v>627.30100000000004</v>
      </c>
      <c r="W62" s="199">
        <v>681.07799999999997</v>
      </c>
      <c r="X62" s="199">
        <v>398.49099999999999</v>
      </c>
      <c r="Y62" s="199">
        <v>333</v>
      </c>
      <c r="Z62" s="715">
        <f>Y62</f>
        <v>333</v>
      </c>
      <c r="AA62" s="199">
        <v>307.15100000000001</v>
      </c>
      <c r="AB62" s="199">
        <v>246.816</v>
      </c>
      <c r="AC62" s="199">
        <v>322.53500000000003</v>
      </c>
      <c r="AD62" s="199">
        <v>346.99400000000003</v>
      </c>
      <c r="AE62" s="715">
        <f>AD62</f>
        <v>346.99400000000003</v>
      </c>
      <c r="AF62" s="199">
        <v>278.79599999999999</v>
      </c>
      <c r="AG62" s="199">
        <v>274.29700000000003</v>
      </c>
      <c r="AH62" s="199">
        <v>231.81299999999999</v>
      </c>
      <c r="AI62" s="199">
        <v>214.422</v>
      </c>
      <c r="AJ62" s="715">
        <f>AI62</f>
        <v>214.422</v>
      </c>
      <c r="AK62" s="199">
        <v>196.67500000000001</v>
      </c>
      <c r="AL62" s="199">
        <v>180.57900000000001</v>
      </c>
      <c r="AM62" s="199">
        <v>156.68700000000001</v>
      </c>
      <c r="AN62" s="712">
        <v>208.512</v>
      </c>
      <c r="AO62" s="715">
        <f>AN62</f>
        <v>208.512</v>
      </c>
      <c r="AP62" s="712">
        <v>281.00400000000002</v>
      </c>
      <c r="AQ62" s="712">
        <v>242.17</v>
      </c>
      <c r="AR62" s="712">
        <f>786.178-AR64</f>
        <v>364.30799999999999</v>
      </c>
      <c r="AS62" s="712">
        <v>551.75599999999997</v>
      </c>
      <c r="AT62" s="715">
        <f>AS62</f>
        <v>551.75599999999997</v>
      </c>
      <c r="AU62" s="712">
        <v>487.76299999999998</v>
      </c>
      <c r="AV62" s="712">
        <v>388.423</v>
      </c>
      <c r="AW62" s="712">
        <v>741.74599999999998</v>
      </c>
      <c r="AX62" s="712">
        <v>544.41399999999999</v>
      </c>
      <c r="AY62" s="715">
        <f>AX62</f>
        <v>544.41399999999999</v>
      </c>
      <c r="AZ62" s="712">
        <v>678.95100000000002</v>
      </c>
      <c r="BA62" s="712">
        <v>914.745</v>
      </c>
      <c r="BB62" s="712">
        <v>1056.702</v>
      </c>
      <c r="BC62" s="712">
        <f>1809.478-BC64</f>
        <v>726.96900000000005</v>
      </c>
      <c r="BD62" s="715">
        <f>BC62</f>
        <v>726.96900000000005</v>
      </c>
      <c r="BE62" s="712">
        <v>803.30799999999999</v>
      </c>
      <c r="BF62" s="712">
        <f>1657.23-BF64</f>
        <v>719.14300000000003</v>
      </c>
      <c r="BG62" s="712">
        <v>461.25299999999999</v>
      </c>
      <c r="BH62" s="712">
        <v>417.68799999999999</v>
      </c>
      <c r="BI62" s="715">
        <f>BH62</f>
        <v>417.68799999999999</v>
      </c>
      <c r="BJ62" s="712">
        <v>512.274</v>
      </c>
      <c r="BK62" s="712">
        <v>523.78499999999997</v>
      </c>
      <c r="BL62" s="712">
        <f>1634.079-BL64</f>
        <v>691.7589999999999</v>
      </c>
      <c r="BM62" s="712">
        <v>447.221</v>
      </c>
      <c r="BN62" s="715">
        <f>BM62</f>
        <v>447.221</v>
      </c>
      <c r="BO62" s="712">
        <v>447.262</v>
      </c>
      <c r="BP62" s="712">
        <v>377.00299999999999</v>
      </c>
      <c r="BQ62" s="712">
        <f>1987.22-BQ64</f>
        <v>451.17399999999998</v>
      </c>
      <c r="BR62" s="712">
        <v>665.36099999999999</v>
      </c>
      <c r="BS62" s="715">
        <f>BR62</f>
        <v>665.36099999999999</v>
      </c>
      <c r="BT62" s="712">
        <v>683.63300000000004</v>
      </c>
      <c r="BU62" s="712">
        <v>532.61400000000003</v>
      </c>
      <c r="BV62" s="712">
        <v>566.81600000000003</v>
      </c>
      <c r="BW62" s="712">
        <f>3129.576-BW64</f>
        <v>667.8760000000002</v>
      </c>
      <c r="BX62" s="715">
        <f>BW62</f>
        <v>667.8760000000002</v>
      </c>
      <c r="BY62" s="712">
        <v>369.13499999999999</v>
      </c>
      <c r="BZ62" s="712">
        <v>499.61799999999999</v>
      </c>
      <c r="CA62" s="712">
        <v>525.38800000000003</v>
      </c>
      <c r="CB62" s="712">
        <v>732.78599999999994</v>
      </c>
      <c r="CC62" s="715">
        <f>CB62</f>
        <v>732.78599999999994</v>
      </c>
      <c r="CD62" s="712">
        <v>561.423</v>
      </c>
      <c r="CE62" s="712">
        <v>591.32100000000003</v>
      </c>
      <c r="CF62" s="712">
        <v>562.08399999999995</v>
      </c>
      <c r="CG62" s="712">
        <v>1151.587</v>
      </c>
      <c r="CH62" s="715">
        <f>CG62</f>
        <v>1151.587</v>
      </c>
      <c r="CI62" s="712">
        <v>509.16500000000002</v>
      </c>
      <c r="CJ62" s="712">
        <v>515.09199999999998</v>
      </c>
      <c r="CK62" s="712">
        <f>CJ62+CK150</f>
        <v>394.68299999999982</v>
      </c>
      <c r="CL62" s="712">
        <f>CK62+CL150</f>
        <v>496.65399999999988</v>
      </c>
      <c r="CM62" s="715">
        <f>CL62</f>
        <v>496.65399999999988</v>
      </c>
      <c r="CN62" s="712">
        <f>CL62+CN150</f>
        <v>463.65399999999988</v>
      </c>
      <c r="CO62" s="712">
        <f>CN62+CO150</f>
        <v>434.65399999999988</v>
      </c>
      <c r="CP62" s="712">
        <f>CO62+CP150</f>
        <v>470.65399999999988</v>
      </c>
      <c r="CQ62" s="712">
        <f>CP62+CQ150</f>
        <v>595.65399999999988</v>
      </c>
      <c r="CR62" s="715">
        <f>CQ62</f>
        <v>595.65399999999988</v>
      </c>
      <c r="CS62" s="712">
        <f>CQ62+CS150</f>
        <v>546.65399999999988</v>
      </c>
      <c r="CT62" s="712">
        <f>CS62+CT150</f>
        <v>425.65399999999988</v>
      </c>
      <c r="CU62" s="712">
        <f>CT62+CU150</f>
        <v>1939.654</v>
      </c>
      <c r="CV62" s="712">
        <f>CU62+CV150</f>
        <v>1765.654</v>
      </c>
      <c r="CW62" s="715">
        <f>CV62</f>
        <v>1765.654</v>
      </c>
      <c r="CX62" s="712">
        <f>CV62+CX150</f>
        <v>1988.654</v>
      </c>
      <c r="CY62" s="712">
        <f>CX62+CY150</f>
        <v>1986.654</v>
      </c>
      <c r="CZ62" s="712">
        <f>CY62+CZ150</f>
        <v>2802.654</v>
      </c>
      <c r="DA62" s="712">
        <f>CZ62+DA150</f>
        <v>4001.654</v>
      </c>
      <c r="DB62" s="715">
        <f>DA62</f>
        <v>4001.654</v>
      </c>
      <c r="DC62" s="712">
        <f>DA62+DC150</f>
        <v>764.654</v>
      </c>
      <c r="DD62" s="712">
        <f>DC62+DD150</f>
        <v>717.654</v>
      </c>
      <c r="DE62" s="712">
        <f>DD62+DE150</f>
        <v>720.654</v>
      </c>
      <c r="DF62" s="712">
        <f>DE62+DF150</f>
        <v>782.654</v>
      </c>
      <c r="DG62" s="715">
        <f>DF62</f>
        <v>782.654</v>
      </c>
      <c r="DH62" s="712">
        <f>DF62+DH150</f>
        <v>2772.654</v>
      </c>
      <c r="DI62" s="712">
        <f>DH62+DI150</f>
        <v>7188.6540000000005</v>
      </c>
      <c r="DJ62" s="712">
        <f>DI62+DJ150</f>
        <v>9768.6540000000005</v>
      </c>
      <c r="DK62" s="712">
        <v>10897</v>
      </c>
      <c r="DL62" s="715">
        <f>DK62</f>
        <v>10897</v>
      </c>
      <c r="DM62" s="712">
        <v>15495</v>
      </c>
      <c r="DN62" s="712">
        <v>3275</v>
      </c>
      <c r="DO62" s="712">
        <v>2252</v>
      </c>
      <c r="DP62" s="712">
        <v>848</v>
      </c>
      <c r="DQ62" s="715">
        <f>DP62</f>
        <v>848</v>
      </c>
      <c r="DR62" s="712">
        <v>979</v>
      </c>
      <c r="DS62" s="712">
        <v>5629</v>
      </c>
      <c r="DT62" s="712">
        <v>1289</v>
      </c>
      <c r="DU62" s="712">
        <v>1991</v>
      </c>
      <c r="DV62" s="715">
        <f>DU62</f>
        <v>1991</v>
      </c>
      <c r="DW62" s="712">
        <f>3887+1</f>
        <v>3888</v>
      </c>
      <c r="DX62" s="712">
        <v>3014</v>
      </c>
      <c r="DY62" s="712">
        <v>2801</v>
      </c>
      <c r="DZ62" s="712">
        <v>3390</v>
      </c>
      <c r="EA62" s="715">
        <f>DZ62</f>
        <v>3390</v>
      </c>
      <c r="EB62" s="712">
        <v>5080</v>
      </c>
      <c r="EC62" s="712">
        <v>5883</v>
      </c>
      <c r="ED62" s="712">
        <v>5520</v>
      </c>
      <c r="EE62" s="712">
        <v>7281</v>
      </c>
      <c r="EF62" s="715">
        <f>EE62</f>
        <v>7281</v>
      </c>
      <c r="EG62" s="712">
        <f>7281+307</f>
        <v>7588</v>
      </c>
      <c r="EH62" s="712">
        <f>7281+307+984</f>
        <v>8572</v>
      </c>
      <c r="EI62" s="712">
        <v>9108</v>
      </c>
      <c r="EJ62" s="712">
        <v>8589</v>
      </c>
      <c r="EK62" s="715">
        <f>EJ62</f>
        <v>8589</v>
      </c>
      <c r="EL62" s="712">
        <v>15234</v>
      </c>
      <c r="EM62" s="712">
        <f>15234-3595</f>
        <v>11639</v>
      </c>
      <c r="EN62" s="712">
        <v>11486</v>
      </c>
      <c r="EO62" s="712">
        <v>10605</v>
      </c>
      <c r="EP62" s="715">
        <f>EO62</f>
        <v>10605</v>
      </c>
      <c r="EQ62" s="712">
        <v>13237</v>
      </c>
      <c r="ER62" s="712">
        <f>EQ62+ER150</f>
        <v>11407.927737907878</v>
      </c>
      <c r="ES62" s="712">
        <f>ER62+ES150</f>
        <v>23538.437821717387</v>
      </c>
      <c r="ET62" s="712">
        <f>ES62+ET150</f>
        <v>48882.312446095151</v>
      </c>
      <c r="EU62" s="715">
        <f>ET62</f>
        <v>48882.312446095151</v>
      </c>
      <c r="EV62" s="712">
        <f>ET62+EV150</f>
        <v>81336.435729121498</v>
      </c>
      <c r="EW62" s="712">
        <f>EV62+EW150</f>
        <v>113122.69022577748</v>
      </c>
      <c r="EX62" s="712">
        <f>EW62+EX150</f>
        <v>149596.53635727114</v>
      </c>
      <c r="EY62" s="712">
        <f>EX62+EY150</f>
        <v>200227.41308994842</v>
      </c>
      <c r="EZ62" s="715">
        <f>EY62</f>
        <v>200227.41308994842</v>
      </c>
      <c r="FA62" s="712">
        <f>EY62+FA150</f>
        <v>251910.14000718214</v>
      </c>
      <c r="FB62" s="712">
        <f>FA62+FB150</f>
        <v>304904.35863026307</v>
      </c>
      <c r="FC62" s="712">
        <f>FB62+FC150</f>
        <v>359997.59426888864</v>
      </c>
      <c r="FD62" s="712">
        <f>FC62+FD150</f>
        <v>426655.1725307717</v>
      </c>
      <c r="FE62" s="715">
        <f>FD62</f>
        <v>426655.1725307717</v>
      </c>
      <c r="FF62" s="712">
        <f>FD62+FF150</f>
        <v>489863.22281227808</v>
      </c>
      <c r="FG62" s="712">
        <f>FF62+FG150</f>
        <v>556513.35581943463</v>
      </c>
      <c r="FH62" s="712">
        <f>FG62+FH150</f>
        <v>623918.90091406833</v>
      </c>
      <c r="FI62" s="712">
        <f>FH62+FI150</f>
        <v>698987.28465366852</v>
      </c>
      <c r="FJ62" s="715">
        <f>FI62</f>
        <v>698987.28465366852</v>
      </c>
      <c r="FK62" s="712">
        <f>FI62+FK150</f>
        <v>766062.52506915713</v>
      </c>
      <c r="FL62" s="712">
        <f>FK62+FL150</f>
        <v>833339.50395513687</v>
      </c>
      <c r="FM62" s="712">
        <f>FL62+FM150</f>
        <v>903618.72749413829</v>
      </c>
      <c r="FN62" s="712">
        <f>FM62+FN150</f>
        <v>987071.9758150978</v>
      </c>
      <c r="FO62" s="715">
        <f>FN62</f>
        <v>987071.9758150978</v>
      </c>
      <c r="FP62" s="715"/>
    </row>
    <row r="63" spans="1:173">
      <c r="A63" s="171" t="s">
        <v>423</v>
      </c>
      <c r="B63" s="665"/>
      <c r="C63" s="665"/>
      <c r="D63" s="665"/>
      <c r="E63" s="665"/>
      <c r="F63" s="665"/>
      <c r="G63" s="665"/>
      <c r="H63" s="665"/>
      <c r="I63" s="665"/>
      <c r="J63" s="665"/>
      <c r="K63" s="714"/>
      <c r="L63" s="199"/>
      <c r="M63" s="199"/>
      <c r="N63" s="199"/>
      <c r="O63" s="199"/>
      <c r="P63" s="715">
        <f>O63</f>
        <v>0</v>
      </c>
      <c r="Q63" s="199"/>
      <c r="R63" s="199"/>
      <c r="S63" s="199"/>
      <c r="T63" s="199">
        <v>24.5</v>
      </c>
      <c r="U63" s="715">
        <f>T63</f>
        <v>24.5</v>
      </c>
      <c r="V63" s="199">
        <v>28.05</v>
      </c>
      <c r="W63" s="199">
        <v>28.05</v>
      </c>
      <c r="X63" s="199">
        <v>7.05</v>
      </c>
      <c r="Y63" s="199">
        <v>7</v>
      </c>
      <c r="Z63" s="715">
        <f>Y63</f>
        <v>7</v>
      </c>
      <c r="AA63" s="199">
        <v>7</v>
      </c>
      <c r="AB63" s="199">
        <v>0</v>
      </c>
      <c r="AC63" s="199">
        <v>0</v>
      </c>
      <c r="AD63" s="199">
        <v>0</v>
      </c>
      <c r="AE63" s="715">
        <f>AD63</f>
        <v>0</v>
      </c>
      <c r="AF63" s="199">
        <v>0</v>
      </c>
      <c r="AG63" s="199">
        <v>0</v>
      </c>
      <c r="AH63" s="199">
        <v>0</v>
      </c>
      <c r="AI63" s="199">
        <v>0</v>
      </c>
      <c r="AJ63" s="715">
        <f>AI63</f>
        <v>0</v>
      </c>
      <c r="AK63" s="199">
        <v>0</v>
      </c>
      <c r="AL63" s="199">
        <v>0</v>
      </c>
      <c r="AM63" s="199">
        <v>0</v>
      </c>
      <c r="AN63" s="199">
        <v>0</v>
      </c>
      <c r="AO63" s="715">
        <f>AN63</f>
        <v>0</v>
      </c>
      <c r="AP63" s="199">
        <v>0</v>
      </c>
      <c r="AQ63" s="712">
        <v>0</v>
      </c>
      <c r="AR63" s="199">
        <v>0</v>
      </c>
      <c r="AS63" s="199">
        <v>0</v>
      </c>
      <c r="AT63" s="715">
        <f>AS63</f>
        <v>0</v>
      </c>
      <c r="AU63" s="712">
        <f>AS63</f>
        <v>0</v>
      </c>
      <c r="AV63" s="712">
        <f>AU63</f>
        <v>0</v>
      </c>
      <c r="AW63" s="712">
        <v>0</v>
      </c>
      <c r="AX63" s="712">
        <f t="shared" ref="AX63:BF63" si="54">AW63</f>
        <v>0</v>
      </c>
      <c r="AY63" s="715">
        <f>AX63</f>
        <v>0</v>
      </c>
      <c r="AZ63" s="712">
        <f>AX63</f>
        <v>0</v>
      </c>
      <c r="BA63" s="712">
        <f t="shared" si="54"/>
        <v>0</v>
      </c>
      <c r="BB63" s="712">
        <f t="shared" si="54"/>
        <v>0</v>
      </c>
      <c r="BC63" s="712">
        <f t="shared" si="54"/>
        <v>0</v>
      </c>
      <c r="BD63" s="715">
        <f>BC63</f>
        <v>0</v>
      </c>
      <c r="BE63" s="712">
        <f>BC63</f>
        <v>0</v>
      </c>
      <c r="BF63" s="712">
        <f t="shared" si="54"/>
        <v>0</v>
      </c>
      <c r="BG63" s="712">
        <v>0</v>
      </c>
      <c r="BH63" s="712">
        <f>BG63</f>
        <v>0</v>
      </c>
      <c r="BI63" s="715">
        <f>BH63</f>
        <v>0</v>
      </c>
      <c r="BJ63" s="712">
        <f>BH63</f>
        <v>0</v>
      </c>
      <c r="BK63" s="712">
        <f>BJ63</f>
        <v>0</v>
      </c>
      <c r="BL63" s="712">
        <v>0</v>
      </c>
      <c r="BM63" s="712">
        <f>BL63</f>
        <v>0</v>
      </c>
      <c r="BN63" s="715">
        <f>BM63</f>
        <v>0</v>
      </c>
      <c r="BO63" s="712">
        <f>BM63</f>
        <v>0</v>
      </c>
      <c r="BP63" s="712">
        <f>BO63</f>
        <v>0</v>
      </c>
      <c r="BQ63" s="712">
        <v>0</v>
      </c>
      <c r="BR63" s="712">
        <f>BQ63</f>
        <v>0</v>
      </c>
      <c r="BS63" s="715">
        <f>BR63</f>
        <v>0</v>
      </c>
      <c r="BT63" s="712">
        <f>BR63</f>
        <v>0</v>
      </c>
      <c r="BU63" s="712">
        <f>BT63</f>
        <v>0</v>
      </c>
      <c r="BV63" s="712">
        <v>0</v>
      </c>
      <c r="BW63" s="712">
        <f>BV63</f>
        <v>0</v>
      </c>
      <c r="BX63" s="715">
        <f>BW63</f>
        <v>0</v>
      </c>
      <c r="BY63" s="712">
        <f>BW63</f>
        <v>0</v>
      </c>
      <c r="BZ63" s="712">
        <f>BY63</f>
        <v>0</v>
      </c>
      <c r="CA63" s="712">
        <v>0</v>
      </c>
      <c r="CB63" s="712">
        <f>CA63</f>
        <v>0</v>
      </c>
      <c r="CC63" s="715">
        <f>CB63</f>
        <v>0</v>
      </c>
      <c r="CD63" s="712">
        <f>CB63</f>
        <v>0</v>
      </c>
      <c r="CE63" s="712">
        <v>0</v>
      </c>
      <c r="CF63" s="712">
        <v>0</v>
      </c>
      <c r="CG63" s="712">
        <f>CF63</f>
        <v>0</v>
      </c>
      <c r="CH63" s="715">
        <f>CG63</f>
        <v>0</v>
      </c>
      <c r="CI63" s="712">
        <f>CG63</f>
        <v>0</v>
      </c>
      <c r="CJ63" s="712">
        <f>CI63</f>
        <v>0</v>
      </c>
      <c r="CK63" s="712">
        <f t="shared" ref="CK63:CP63" si="55">CJ63</f>
        <v>0</v>
      </c>
      <c r="CL63" s="712">
        <f t="shared" si="55"/>
        <v>0</v>
      </c>
      <c r="CM63" s="715">
        <f>CL63</f>
        <v>0</v>
      </c>
      <c r="CN63" s="712">
        <f>CL63</f>
        <v>0</v>
      </c>
      <c r="CO63" s="712">
        <f>CN63</f>
        <v>0</v>
      </c>
      <c r="CP63" s="712">
        <f t="shared" si="55"/>
        <v>0</v>
      </c>
      <c r="CQ63" s="712">
        <f>CP63</f>
        <v>0</v>
      </c>
      <c r="CR63" s="715">
        <f>CQ63</f>
        <v>0</v>
      </c>
      <c r="CS63" s="712">
        <f>CQ63</f>
        <v>0</v>
      </c>
      <c r="CT63" s="712">
        <f>CS63</f>
        <v>0</v>
      </c>
      <c r="CU63" s="712">
        <f>CT63</f>
        <v>0</v>
      </c>
      <c r="CV63" s="712">
        <f>CU63</f>
        <v>0</v>
      </c>
      <c r="CW63" s="715">
        <f>CV63</f>
        <v>0</v>
      </c>
      <c r="CX63" s="712">
        <f>CV63</f>
        <v>0</v>
      </c>
      <c r="CY63" s="712">
        <f>CX63</f>
        <v>0</v>
      </c>
      <c r="CZ63" s="712">
        <f>CY63</f>
        <v>0</v>
      </c>
      <c r="DA63" s="712">
        <f>CZ63</f>
        <v>0</v>
      </c>
      <c r="DB63" s="715">
        <f>DA63</f>
        <v>0</v>
      </c>
      <c r="DC63" s="712">
        <f>DA63</f>
        <v>0</v>
      </c>
      <c r="DD63" s="712">
        <f>DC63</f>
        <v>0</v>
      </c>
      <c r="DE63" s="712">
        <v>0</v>
      </c>
      <c r="DF63" s="712">
        <v>0</v>
      </c>
      <c r="DG63" s="715">
        <f>DF63</f>
        <v>0</v>
      </c>
      <c r="DH63" s="712">
        <v>0</v>
      </c>
      <c r="DI63" s="712">
        <v>0</v>
      </c>
      <c r="DJ63" s="712">
        <v>0</v>
      </c>
      <c r="DK63" s="712">
        <f>DJ63</f>
        <v>0</v>
      </c>
      <c r="DL63" s="715">
        <f>DK63</f>
        <v>0</v>
      </c>
      <c r="DM63" s="712">
        <f>DK63</f>
        <v>0</v>
      </c>
      <c r="DN63" s="712">
        <f>DM63</f>
        <v>0</v>
      </c>
      <c r="DO63" s="712">
        <f>DN63</f>
        <v>0</v>
      </c>
      <c r="DP63" s="712">
        <f>DO63</f>
        <v>0</v>
      </c>
      <c r="DQ63" s="715">
        <f>DP63</f>
        <v>0</v>
      </c>
      <c r="DR63" s="712">
        <f>DP63</f>
        <v>0</v>
      </c>
      <c r="DS63" s="712">
        <f>DR63</f>
        <v>0</v>
      </c>
      <c r="DT63" s="712">
        <f>DS63</f>
        <v>0</v>
      </c>
      <c r="DU63" s="712">
        <f>DT63</f>
        <v>0</v>
      </c>
      <c r="DV63" s="715">
        <f>DU63</f>
        <v>0</v>
      </c>
      <c r="DW63" s="712">
        <f>DU63</f>
        <v>0</v>
      </c>
      <c r="DX63" s="712">
        <f>DW63</f>
        <v>0</v>
      </c>
      <c r="DY63" s="712">
        <f>DX63</f>
        <v>0</v>
      </c>
      <c r="DZ63" s="712">
        <f>DY63</f>
        <v>0</v>
      </c>
      <c r="EA63" s="715">
        <f>DZ63</f>
        <v>0</v>
      </c>
      <c r="EB63" s="712">
        <f>EA63</f>
        <v>0</v>
      </c>
      <c r="EC63" s="712">
        <f>EB63</f>
        <v>0</v>
      </c>
      <c r="ED63" s="712">
        <f>EC63</f>
        <v>0</v>
      </c>
      <c r="EE63" s="712">
        <f>ED63</f>
        <v>0</v>
      </c>
      <c r="EF63" s="715">
        <f>EE63</f>
        <v>0</v>
      </c>
      <c r="EG63" s="712">
        <f>EF63</f>
        <v>0</v>
      </c>
      <c r="EH63" s="712">
        <f>EG63</f>
        <v>0</v>
      </c>
      <c r="EI63" s="712">
        <f>EH63</f>
        <v>0</v>
      </c>
      <c r="EJ63" s="712">
        <f>EI63</f>
        <v>0</v>
      </c>
      <c r="EK63" s="715">
        <f>EJ63</f>
        <v>0</v>
      </c>
      <c r="EL63" s="712">
        <f>EK63</f>
        <v>0</v>
      </c>
      <c r="EM63" s="712">
        <f>EL63</f>
        <v>0</v>
      </c>
      <c r="EN63" s="712">
        <f>EM63</f>
        <v>0</v>
      </c>
      <c r="EO63" s="712">
        <f>EN63</f>
        <v>0</v>
      </c>
      <c r="EP63" s="715">
        <f>EO63</f>
        <v>0</v>
      </c>
      <c r="EQ63" s="712">
        <f>EP63</f>
        <v>0</v>
      </c>
      <c r="ER63" s="712">
        <f t="shared" ref="ER63:ET64" si="56">EQ63</f>
        <v>0</v>
      </c>
      <c r="ES63" s="712">
        <f t="shared" si="56"/>
        <v>0</v>
      </c>
      <c r="ET63" s="712">
        <f t="shared" si="56"/>
        <v>0</v>
      </c>
      <c r="EU63" s="715">
        <f>ET63</f>
        <v>0</v>
      </c>
      <c r="EV63" s="712">
        <f>ET63</f>
        <v>0</v>
      </c>
      <c r="EW63" s="712">
        <f t="shared" ref="EW63:EY64" si="57">EV63</f>
        <v>0</v>
      </c>
      <c r="EX63" s="712">
        <f t="shared" si="57"/>
        <v>0</v>
      </c>
      <c r="EY63" s="712">
        <f t="shared" si="57"/>
        <v>0</v>
      </c>
      <c r="EZ63" s="715">
        <f>EY63</f>
        <v>0</v>
      </c>
      <c r="FA63" s="712">
        <f>EY63</f>
        <v>0</v>
      </c>
      <c r="FB63" s="712">
        <f t="shared" ref="FB63:FD64" si="58">FA63</f>
        <v>0</v>
      </c>
      <c r="FC63" s="712">
        <f t="shared" si="58"/>
        <v>0</v>
      </c>
      <c r="FD63" s="712">
        <f t="shared" si="58"/>
        <v>0</v>
      </c>
      <c r="FE63" s="715">
        <f>FD63</f>
        <v>0</v>
      </c>
      <c r="FF63" s="712">
        <f>FD63</f>
        <v>0</v>
      </c>
      <c r="FG63" s="712">
        <f t="shared" ref="FG63:FI64" si="59">FF63</f>
        <v>0</v>
      </c>
      <c r="FH63" s="712">
        <f t="shared" si="59"/>
        <v>0</v>
      </c>
      <c r="FI63" s="712">
        <f t="shared" si="59"/>
        <v>0</v>
      </c>
      <c r="FJ63" s="715">
        <f>FI63</f>
        <v>0</v>
      </c>
      <c r="FK63" s="712">
        <f>FI63</f>
        <v>0</v>
      </c>
      <c r="FL63" s="712">
        <f t="shared" ref="FL63:FN64" si="60">FK63</f>
        <v>0</v>
      </c>
      <c r="FM63" s="712">
        <f t="shared" si="60"/>
        <v>0</v>
      </c>
      <c r="FN63" s="712">
        <f t="shared" si="60"/>
        <v>0</v>
      </c>
      <c r="FO63" s="715">
        <f>FN63</f>
        <v>0</v>
      </c>
      <c r="FP63" s="715"/>
    </row>
    <row r="64" spans="1:173">
      <c r="A64" s="171" t="s">
        <v>424</v>
      </c>
      <c r="B64" s="665"/>
      <c r="C64" s="665"/>
      <c r="D64" s="665"/>
      <c r="E64" s="665"/>
      <c r="F64" s="665"/>
      <c r="G64" s="665"/>
      <c r="H64" s="665"/>
      <c r="I64" s="665"/>
      <c r="J64" s="665"/>
      <c r="K64" s="714"/>
      <c r="L64" s="199"/>
      <c r="M64" s="199"/>
      <c r="N64" s="199"/>
      <c r="O64" s="199"/>
      <c r="P64" s="715">
        <f>O64</f>
        <v>0</v>
      </c>
      <c r="Q64" s="199"/>
      <c r="R64" s="199"/>
      <c r="S64" s="199"/>
      <c r="T64" s="199"/>
      <c r="U64" s="715">
        <f>T64</f>
        <v>0</v>
      </c>
      <c r="V64" s="199"/>
      <c r="W64" s="199"/>
      <c r="X64" s="199">
        <v>318.67399999999998</v>
      </c>
      <c r="Y64" s="199">
        <v>458.37700000000001</v>
      </c>
      <c r="Z64" s="715">
        <f>Y64</f>
        <v>458.37700000000001</v>
      </c>
      <c r="AA64" s="199">
        <v>521.24599999999998</v>
      </c>
      <c r="AB64" s="199">
        <v>579.59500000000003</v>
      </c>
      <c r="AC64" s="199">
        <v>589.04200000000003</v>
      </c>
      <c r="AD64" s="199">
        <v>681.41899999999998</v>
      </c>
      <c r="AE64" s="715">
        <f>AD64</f>
        <v>681.41899999999998</v>
      </c>
      <c r="AF64" s="199">
        <v>771.54200000000003</v>
      </c>
      <c r="AG64" s="199">
        <v>737.29</v>
      </c>
      <c r="AH64" s="199">
        <v>380.31299999999999</v>
      </c>
      <c r="AI64" s="199">
        <v>389.62099999999998</v>
      </c>
      <c r="AJ64" s="715">
        <f>AI64</f>
        <v>389.62099999999998</v>
      </c>
      <c r="AK64" s="199">
        <v>460.62799999999999</v>
      </c>
      <c r="AL64" s="199">
        <v>432.745</v>
      </c>
      <c r="AM64" s="199">
        <v>431.16300000000001</v>
      </c>
      <c r="AN64" s="199">
        <v>461.53300000000002</v>
      </c>
      <c r="AO64" s="715">
        <f>AN64</f>
        <v>461.53300000000002</v>
      </c>
      <c r="AP64" s="199">
        <v>450.50799999999998</v>
      </c>
      <c r="AQ64" s="712">
        <v>475.37599999999998</v>
      </c>
      <c r="AR64" s="712">
        <v>421.87</v>
      </c>
      <c r="AS64" s="712">
        <v>398.41800000000001</v>
      </c>
      <c r="AT64" s="715">
        <f>AS64</f>
        <v>398.41800000000001</v>
      </c>
      <c r="AU64" s="712">
        <v>467.29</v>
      </c>
      <c r="AV64" s="712">
        <v>462.74400000000003</v>
      </c>
      <c r="AW64" s="712">
        <v>431.84899999999999</v>
      </c>
      <c r="AX64" s="712">
        <v>573.43600000000004</v>
      </c>
      <c r="AY64" s="715">
        <f>AX64</f>
        <v>573.43600000000004</v>
      </c>
      <c r="AZ64" s="712">
        <v>628.07299999999998</v>
      </c>
      <c r="BA64" s="712">
        <v>656.81799999999998</v>
      </c>
      <c r="BB64" s="712">
        <v>796.25099999999998</v>
      </c>
      <c r="BC64" s="712">
        <v>1082.509</v>
      </c>
      <c r="BD64" s="715">
        <f>BC64</f>
        <v>1082.509</v>
      </c>
      <c r="BE64" s="712">
        <v>818.33100000000002</v>
      </c>
      <c r="BF64" s="712">
        <v>938.08699999999999</v>
      </c>
      <c r="BG64" s="712">
        <v>843.63499999999999</v>
      </c>
      <c r="BH64" s="712">
        <v>837.702</v>
      </c>
      <c r="BI64" s="715">
        <f>BH64</f>
        <v>837.702</v>
      </c>
      <c r="BJ64" s="712">
        <f>1338.147-BJ62</f>
        <v>825.87299999999993</v>
      </c>
      <c r="BK64" s="712">
        <v>942.32</v>
      </c>
      <c r="BL64" s="712">
        <f>BK64</f>
        <v>942.32</v>
      </c>
      <c r="BM64" s="712">
        <v>1281.0060000000001</v>
      </c>
      <c r="BN64" s="715">
        <f>BM64</f>
        <v>1281.0060000000001</v>
      </c>
      <c r="BO64" s="712">
        <v>1317.634</v>
      </c>
      <c r="BP64" s="712">
        <v>1395.4970000000001</v>
      </c>
      <c r="BQ64" s="712">
        <v>1536.046</v>
      </c>
      <c r="BR64" s="712">
        <v>1825.202</v>
      </c>
      <c r="BS64" s="715">
        <f>BR64</f>
        <v>1825.202</v>
      </c>
      <c r="BT64" s="712">
        <v>2042.9079999999999</v>
      </c>
      <c r="BU64" s="712">
        <v>1941.8820000000001</v>
      </c>
      <c r="BV64" s="712">
        <v>2181.538</v>
      </c>
      <c r="BW64" s="712">
        <v>2461.6999999999998</v>
      </c>
      <c r="BX64" s="715">
        <f>BW64</f>
        <v>2461.6999999999998</v>
      </c>
      <c r="BY64" s="712">
        <f>3130.812-BY62</f>
        <v>2761.6769999999997</v>
      </c>
      <c r="BZ64" s="712">
        <v>2778.482</v>
      </c>
      <c r="CA64" s="712">
        <v>2909.384</v>
      </c>
      <c r="CB64" s="712">
        <v>2995.0970000000002</v>
      </c>
      <c r="CC64" s="715">
        <f>CB64</f>
        <v>2995.0970000000002</v>
      </c>
      <c r="CD64" s="712">
        <v>3151.9279999999999</v>
      </c>
      <c r="CE64" s="712">
        <v>2344.5720000000001</v>
      </c>
      <c r="CF64" s="712">
        <v>2470.87</v>
      </c>
      <c r="CG64" s="712">
        <v>3520.223</v>
      </c>
      <c r="CH64" s="715">
        <f>CG64</f>
        <v>3520.223</v>
      </c>
      <c r="CI64" s="712">
        <v>3838.652</v>
      </c>
      <c r="CJ64" s="712">
        <v>3870.962</v>
      </c>
      <c r="CK64" s="712">
        <f>4240.797-CK62</f>
        <v>3846.1139999999996</v>
      </c>
      <c r="CL64" s="712">
        <f>4623.339-CL62</f>
        <v>4126.6850000000004</v>
      </c>
      <c r="CM64" s="715">
        <f>CL64</f>
        <v>4126.6850000000004</v>
      </c>
      <c r="CN64" s="712">
        <f>4792-CN62</f>
        <v>4328.3460000000005</v>
      </c>
      <c r="CO64" s="712">
        <f>4505-CO62</f>
        <v>4070.346</v>
      </c>
      <c r="CP64" s="712">
        <f>4728-CP62</f>
        <v>4257.3460000000005</v>
      </c>
      <c r="CQ64" s="712">
        <f>5037-CQ62</f>
        <v>4441.3460000000005</v>
      </c>
      <c r="CR64" s="715">
        <f>CQ64</f>
        <v>4441.3460000000005</v>
      </c>
      <c r="CS64" s="712">
        <f>4754-CS62</f>
        <v>4207.3460000000005</v>
      </c>
      <c r="CT64" s="712">
        <f>4879-CT62</f>
        <v>4453.3460000000005</v>
      </c>
      <c r="CU64" s="712">
        <f>6671-CU62</f>
        <v>4731.3459999999995</v>
      </c>
      <c r="CV64" s="712">
        <f>6798-CV62</f>
        <v>5032.3459999999995</v>
      </c>
      <c r="CW64" s="715">
        <f>CV64</f>
        <v>5032.3459999999995</v>
      </c>
      <c r="CX64" s="712">
        <f>6206-CX62</f>
        <v>4217.3459999999995</v>
      </c>
      <c r="CY64" s="712">
        <f>5877-CY62</f>
        <v>3890.346</v>
      </c>
      <c r="CZ64" s="712">
        <f>6320-CZ62</f>
        <v>3517.346</v>
      </c>
      <c r="DA64" s="712">
        <f>7108-DA62</f>
        <v>3106.346</v>
      </c>
      <c r="DB64" s="715">
        <f>DA64</f>
        <v>3106.346</v>
      </c>
      <c r="DC64" s="712">
        <f>7300-DC62</f>
        <v>6535.3459999999995</v>
      </c>
      <c r="DD64" s="712">
        <f>7943-DD62</f>
        <v>7225.3459999999995</v>
      </c>
      <c r="DE64" s="712">
        <f>7591-DE62</f>
        <v>6870.3459999999995</v>
      </c>
      <c r="DF64" s="712">
        <f>7422-DF62</f>
        <v>6639.3459999999995</v>
      </c>
      <c r="DG64" s="715">
        <f>DF64</f>
        <v>6639.3459999999995</v>
      </c>
      <c r="DH64" s="712">
        <f>7802-DH62</f>
        <v>5029.3459999999995</v>
      </c>
      <c r="DI64" s="712">
        <f>8475-DI62</f>
        <v>1286.3459999999995</v>
      </c>
      <c r="DJ64" s="712">
        <f>9769-DJ62</f>
        <v>0.34599999999954889</v>
      </c>
      <c r="DK64" s="712">
        <f>10897-DK62</f>
        <v>0</v>
      </c>
      <c r="DL64" s="715">
        <f>DK64</f>
        <v>0</v>
      </c>
      <c r="DM64" s="712">
        <f>16354-DM62</f>
        <v>859</v>
      </c>
      <c r="DN64" s="712">
        <f>10981-DN62</f>
        <v>7706</v>
      </c>
      <c r="DO64" s="712">
        <f>10139-DO62</f>
        <v>7887</v>
      </c>
      <c r="DP64" s="712">
        <f>11561-DP62</f>
        <v>10713</v>
      </c>
      <c r="DQ64" s="715">
        <f>DP64</f>
        <v>10713</v>
      </c>
      <c r="DR64" s="712">
        <f>12667-DR62</f>
        <v>11688</v>
      </c>
      <c r="DS64" s="712">
        <f>19654-DS62</f>
        <v>14025</v>
      </c>
      <c r="DT64" s="712">
        <f>19298-DT62</f>
        <v>18009</v>
      </c>
      <c r="DU64" s="712">
        <f>21208-DU62</f>
        <v>19217</v>
      </c>
      <c r="DV64" s="715">
        <f>DU64</f>
        <v>19217</v>
      </c>
      <c r="DW64" s="712">
        <f>20338-DW62</f>
        <v>16450</v>
      </c>
      <c r="DX64" s="712">
        <f>17037-DX62</f>
        <v>14023</v>
      </c>
      <c r="DY64" s="712">
        <f>13143-DY62</f>
        <v>10342</v>
      </c>
      <c r="DZ64" s="712">
        <f>13296-DZ62</f>
        <v>9906</v>
      </c>
      <c r="EA64" s="715">
        <f>DZ64</f>
        <v>9906</v>
      </c>
      <c r="EB64" s="712">
        <f>15320-EB62</f>
        <v>10240</v>
      </c>
      <c r="EC64" s="712">
        <f>16023-EC62</f>
        <v>10140</v>
      </c>
      <c r="ED64" s="712">
        <f>18281-ED62</f>
        <v>12761</v>
      </c>
      <c r="EE64" s="712">
        <f>25984-EE62</f>
        <v>18703</v>
      </c>
      <c r="EF64" s="715">
        <f>EE64</f>
        <v>18703</v>
      </c>
      <c r="EG64" s="712">
        <f>31438-EG62</f>
        <v>23850</v>
      </c>
      <c r="EH64" s="712">
        <f>34800-EH62</f>
        <v>26228</v>
      </c>
      <c r="EI64" s="712">
        <f>38487-EI62</f>
        <v>29379</v>
      </c>
      <c r="EJ64" s="712">
        <f>43210-EJ62</f>
        <v>34621</v>
      </c>
      <c r="EK64" s="715">
        <f>EJ64</f>
        <v>34621</v>
      </c>
      <c r="EL64" s="712">
        <f>53691-EL62</f>
        <v>38457</v>
      </c>
      <c r="EM64" s="712">
        <f>56791-EM62</f>
        <v>45152</v>
      </c>
      <c r="EN64" s="712">
        <f>60608-EN62</f>
        <v>49122</v>
      </c>
      <c r="EO64" s="712">
        <f>62556-EO62</f>
        <v>51951</v>
      </c>
      <c r="EP64" s="715">
        <f>EO64</f>
        <v>51951</v>
      </c>
      <c r="EQ64" s="712">
        <f>37098+30237</f>
        <v>67335</v>
      </c>
      <c r="ER64" s="712">
        <f t="shared" si="56"/>
        <v>67335</v>
      </c>
      <c r="ES64" s="712">
        <f t="shared" si="56"/>
        <v>67335</v>
      </c>
      <c r="ET64" s="712">
        <f t="shared" si="56"/>
        <v>67335</v>
      </c>
      <c r="EU64" s="715">
        <f>ET64</f>
        <v>67335</v>
      </c>
      <c r="EV64" s="712">
        <f>ET64</f>
        <v>67335</v>
      </c>
      <c r="EW64" s="712">
        <f t="shared" si="57"/>
        <v>67335</v>
      </c>
      <c r="EX64" s="712">
        <f t="shared" si="57"/>
        <v>67335</v>
      </c>
      <c r="EY64" s="712">
        <f t="shared" si="57"/>
        <v>67335</v>
      </c>
      <c r="EZ64" s="715">
        <f>EY64</f>
        <v>67335</v>
      </c>
      <c r="FA64" s="712">
        <f>EY64</f>
        <v>67335</v>
      </c>
      <c r="FB64" s="712">
        <f t="shared" si="58"/>
        <v>67335</v>
      </c>
      <c r="FC64" s="712">
        <f t="shared" si="58"/>
        <v>67335</v>
      </c>
      <c r="FD64" s="712">
        <f t="shared" si="58"/>
        <v>67335</v>
      </c>
      <c r="FE64" s="715">
        <f>FD64</f>
        <v>67335</v>
      </c>
      <c r="FF64" s="712">
        <f>FD64</f>
        <v>67335</v>
      </c>
      <c r="FG64" s="712">
        <f t="shared" si="59"/>
        <v>67335</v>
      </c>
      <c r="FH64" s="712">
        <f t="shared" si="59"/>
        <v>67335</v>
      </c>
      <c r="FI64" s="712">
        <f t="shared" si="59"/>
        <v>67335</v>
      </c>
      <c r="FJ64" s="715">
        <f>FI64</f>
        <v>67335</v>
      </c>
      <c r="FK64" s="712">
        <f>FI64</f>
        <v>67335</v>
      </c>
      <c r="FL64" s="712">
        <f t="shared" si="60"/>
        <v>67335</v>
      </c>
      <c r="FM64" s="712">
        <f t="shared" si="60"/>
        <v>67335</v>
      </c>
      <c r="FN64" s="712">
        <f t="shared" si="60"/>
        <v>67335</v>
      </c>
      <c r="FO64" s="715">
        <f>FN64</f>
        <v>67335</v>
      </c>
      <c r="FP64" s="715"/>
    </row>
    <row r="65" spans="1:172">
      <c r="A65" s="171" t="s">
        <v>255</v>
      </c>
      <c r="B65" s="665"/>
      <c r="C65" s="665"/>
      <c r="D65" s="665"/>
      <c r="E65" s="665"/>
      <c r="F65" s="665"/>
      <c r="G65" s="665"/>
      <c r="H65" s="665"/>
      <c r="I65" s="665"/>
      <c r="J65" s="665"/>
      <c r="K65" s="714"/>
      <c r="L65" s="199">
        <v>34.198999999999998</v>
      </c>
      <c r="M65" s="199">
        <v>50.179000000000002</v>
      </c>
      <c r="N65" s="199">
        <v>56.418999999999997</v>
      </c>
      <c r="O65" s="199">
        <v>67.224000000000004</v>
      </c>
      <c r="P65" s="715">
        <f>O65</f>
        <v>67.224000000000004</v>
      </c>
      <c r="Q65" s="199">
        <v>71.998000000000005</v>
      </c>
      <c r="R65" s="199">
        <v>85.091999999999999</v>
      </c>
      <c r="S65" s="199">
        <v>104.352</v>
      </c>
      <c r="T65" s="199">
        <v>104.988</v>
      </c>
      <c r="U65" s="715">
        <f>T65</f>
        <v>104.988</v>
      </c>
      <c r="V65" s="199">
        <v>86.629000000000005</v>
      </c>
      <c r="W65" s="199">
        <v>112.846</v>
      </c>
      <c r="X65" s="199">
        <v>117.664</v>
      </c>
      <c r="Y65" s="199">
        <v>147.34800000000001</v>
      </c>
      <c r="Z65" s="715">
        <f>Y65</f>
        <v>147.34800000000001</v>
      </c>
      <c r="AA65" s="199">
        <v>151.429</v>
      </c>
      <c r="AB65" s="199">
        <v>133.03800000000001</v>
      </c>
      <c r="AC65" s="199">
        <v>149.86099999999999</v>
      </c>
      <c r="AD65" s="199">
        <v>154.501</v>
      </c>
      <c r="AE65" s="715">
        <f>AD65</f>
        <v>154.501</v>
      </c>
      <c r="AF65" s="199">
        <v>155.751</v>
      </c>
      <c r="AG65" s="199">
        <v>190.21299999999999</v>
      </c>
      <c r="AH65" s="199">
        <v>157.839</v>
      </c>
      <c r="AI65" s="199">
        <v>196.631</v>
      </c>
      <c r="AJ65" s="715">
        <f>AI65</f>
        <v>196.631</v>
      </c>
      <c r="AK65" s="199">
        <v>205.30799999999999</v>
      </c>
      <c r="AL65" s="199">
        <v>246.39599999999999</v>
      </c>
      <c r="AM65" s="712">
        <v>307.40899999999999</v>
      </c>
      <c r="AN65" s="712">
        <v>296.279</v>
      </c>
      <c r="AO65" s="715">
        <f>AN65</f>
        <v>296.279</v>
      </c>
      <c r="AP65" s="712">
        <v>255.25200000000001</v>
      </c>
      <c r="AQ65" s="712">
        <v>355.39299999999997</v>
      </c>
      <c r="AR65" s="712">
        <v>351.73700000000002</v>
      </c>
      <c r="AS65" s="712">
        <v>318.18599999999998</v>
      </c>
      <c r="AT65" s="715">
        <f>AS65</f>
        <v>318.18599999999998</v>
      </c>
      <c r="AU65" s="712">
        <v>391.27</v>
      </c>
      <c r="AV65" s="712">
        <v>459.63600000000002</v>
      </c>
      <c r="AW65" s="712">
        <v>439.25200000000001</v>
      </c>
      <c r="AX65" s="712">
        <v>518.67999999999995</v>
      </c>
      <c r="AY65" s="715">
        <f>AX65</f>
        <v>518.67999999999995</v>
      </c>
      <c r="AZ65" s="712">
        <v>471.51900000000001</v>
      </c>
      <c r="BA65" s="712">
        <v>508.435</v>
      </c>
      <c r="BB65" s="712">
        <v>552.40700000000004</v>
      </c>
      <c r="BC65" s="712">
        <v>666.49400000000003</v>
      </c>
      <c r="BD65" s="715">
        <f>BC65</f>
        <v>666.49400000000003</v>
      </c>
      <c r="BE65" s="712">
        <v>651.79999999999995</v>
      </c>
      <c r="BF65" s="712">
        <v>679.41600000000005</v>
      </c>
      <c r="BG65" s="712">
        <v>607.83399999999995</v>
      </c>
      <c r="BH65" s="712">
        <v>318.435</v>
      </c>
      <c r="BI65" s="715">
        <f>BH65</f>
        <v>318.435</v>
      </c>
      <c r="BJ65" s="712">
        <v>304.39299999999997</v>
      </c>
      <c r="BK65" s="712">
        <v>351.96</v>
      </c>
      <c r="BL65" s="712">
        <v>397.82</v>
      </c>
      <c r="BM65" s="712">
        <v>374.96300000000002</v>
      </c>
      <c r="BN65" s="715">
        <f>BM65</f>
        <v>374.96300000000002</v>
      </c>
      <c r="BO65" s="712">
        <v>529.66300000000001</v>
      </c>
      <c r="BP65" s="712">
        <v>395.93400000000003</v>
      </c>
      <c r="BQ65" s="712">
        <v>399.50200000000001</v>
      </c>
      <c r="BR65" s="712">
        <v>348.77</v>
      </c>
      <c r="BS65" s="715">
        <f>BR65</f>
        <v>348.77</v>
      </c>
      <c r="BT65" s="712">
        <v>343.202</v>
      </c>
      <c r="BU65" s="712">
        <v>419.94400000000002</v>
      </c>
      <c r="BV65" s="712">
        <v>371.26100000000002</v>
      </c>
      <c r="BW65" s="712">
        <v>336.14299999999997</v>
      </c>
      <c r="BX65" s="715">
        <f>BW65</f>
        <v>336.14299999999997</v>
      </c>
      <c r="BY65" s="712">
        <v>411.15499999999997</v>
      </c>
      <c r="BZ65" s="712">
        <v>445.31200000000001</v>
      </c>
      <c r="CA65" s="712">
        <v>444.94400000000002</v>
      </c>
      <c r="CB65" s="712">
        <v>454.25200000000001</v>
      </c>
      <c r="CC65" s="715">
        <f>CB65</f>
        <v>454.25200000000001</v>
      </c>
      <c r="CD65" s="712">
        <v>346.99799999999999</v>
      </c>
      <c r="CE65" s="712">
        <v>418.12299999999999</v>
      </c>
      <c r="CF65" s="712">
        <v>447.63099999999997</v>
      </c>
      <c r="CG65" s="712">
        <v>426.35700000000003</v>
      </c>
      <c r="CH65" s="715">
        <f>CG65</f>
        <v>426.35700000000003</v>
      </c>
      <c r="CI65" s="712">
        <v>396.43799999999999</v>
      </c>
      <c r="CJ65" s="712">
        <v>469.625</v>
      </c>
      <c r="CK65" s="712">
        <v>563.4</v>
      </c>
      <c r="CL65" s="712">
        <v>473.637</v>
      </c>
      <c r="CM65" s="715">
        <f>CL65</f>
        <v>473.637</v>
      </c>
      <c r="CN65" s="712">
        <v>455</v>
      </c>
      <c r="CO65" s="712">
        <v>514</v>
      </c>
      <c r="CP65" s="712">
        <v>536</v>
      </c>
      <c r="CQ65" s="712">
        <v>505</v>
      </c>
      <c r="CR65" s="715">
        <f>CQ65</f>
        <v>505</v>
      </c>
      <c r="CS65" s="712">
        <v>523</v>
      </c>
      <c r="CT65" s="712">
        <v>644</v>
      </c>
      <c r="CU65" s="712">
        <v>833</v>
      </c>
      <c r="CV65" s="712">
        <v>826</v>
      </c>
      <c r="CW65" s="715">
        <f>CV65</f>
        <v>826</v>
      </c>
      <c r="CX65" s="712">
        <v>976</v>
      </c>
      <c r="CY65" s="712">
        <v>1213</v>
      </c>
      <c r="CZ65" s="712">
        <v>1167</v>
      </c>
      <c r="DA65" s="712">
        <v>1265</v>
      </c>
      <c r="DB65" s="715">
        <f>DA65</f>
        <v>1265</v>
      </c>
      <c r="DC65" s="712">
        <v>1220</v>
      </c>
      <c r="DD65" s="712">
        <v>1662</v>
      </c>
      <c r="DE65" s="712">
        <v>2219</v>
      </c>
      <c r="DF65" s="712">
        <v>1424</v>
      </c>
      <c r="DG65" s="715">
        <f>DF65</f>
        <v>1424</v>
      </c>
      <c r="DH65" s="712">
        <v>1242</v>
      </c>
      <c r="DI65" s="712">
        <v>1561</v>
      </c>
      <c r="DJ65" s="712">
        <v>1455</v>
      </c>
      <c r="DK65" s="712">
        <v>1657</v>
      </c>
      <c r="DL65" s="715">
        <f>DK65</f>
        <v>1657</v>
      </c>
      <c r="DM65" s="712">
        <v>1907</v>
      </c>
      <c r="DN65" s="712">
        <v>2084</v>
      </c>
      <c r="DO65" s="712">
        <v>2546</v>
      </c>
      <c r="DP65" s="712">
        <v>2429</v>
      </c>
      <c r="DQ65" s="715">
        <f>DP65</f>
        <v>2429</v>
      </c>
      <c r="DR65" s="712">
        <v>3024</v>
      </c>
      <c r="DS65" s="712">
        <v>3586</v>
      </c>
      <c r="DT65" s="712">
        <v>3954</v>
      </c>
      <c r="DU65" s="712">
        <v>4650</v>
      </c>
      <c r="DV65" s="715">
        <f>DU65</f>
        <v>4650</v>
      </c>
      <c r="DW65" s="712">
        <v>5438</v>
      </c>
      <c r="DX65" s="712">
        <v>5317</v>
      </c>
      <c r="DY65" s="712">
        <v>4908</v>
      </c>
      <c r="DZ65" s="712">
        <v>3827</v>
      </c>
      <c r="EA65" s="715">
        <f>DZ65</f>
        <v>3827</v>
      </c>
      <c r="EB65" s="712">
        <v>4080</v>
      </c>
      <c r="EC65" s="712">
        <v>7066</v>
      </c>
      <c r="ED65" s="712">
        <v>8309</v>
      </c>
      <c r="EE65" s="712">
        <v>9999</v>
      </c>
      <c r="EF65" s="715">
        <f>EE65</f>
        <v>9999</v>
      </c>
      <c r="EG65" s="712">
        <v>12365</v>
      </c>
      <c r="EH65" s="712">
        <v>14132</v>
      </c>
      <c r="EI65" s="712">
        <v>17693</v>
      </c>
      <c r="EJ65" s="712">
        <v>23065</v>
      </c>
      <c r="EK65" s="715">
        <f>EJ65</f>
        <v>23065</v>
      </c>
      <c r="EL65" s="712">
        <v>22132</v>
      </c>
      <c r="EM65" s="712">
        <v>27808</v>
      </c>
      <c r="EN65" s="712">
        <v>33391</v>
      </c>
      <c r="EO65" s="712">
        <v>38466</v>
      </c>
      <c r="EP65" s="715">
        <f>EO65</f>
        <v>38466</v>
      </c>
      <c r="EQ65" s="712">
        <v>40710</v>
      </c>
      <c r="ER65" s="712">
        <f>ER66/91*ER7</f>
        <v>56238.826944629109</v>
      </c>
      <c r="ES65" s="712">
        <f>ES66/91*ES7</f>
        <v>66880.840689354067</v>
      </c>
      <c r="ET65" s="712">
        <f>ET66/91*ET7</f>
        <v>75870.965449708398</v>
      </c>
      <c r="EU65" s="715">
        <f>ET65</f>
        <v>75870.965449708398</v>
      </c>
      <c r="EV65" s="712">
        <f>EV66/91*EV7</f>
        <v>75303.136858245343</v>
      </c>
      <c r="EW65" s="712">
        <f>EW66/91*EW7</f>
        <v>82669.594495710597</v>
      </c>
      <c r="EX65" s="712">
        <f>EX66/91*EX7</f>
        <v>92413.82668132284</v>
      </c>
      <c r="EY65" s="712">
        <f>EY66/91*EY7</f>
        <v>98580.387336489322</v>
      </c>
      <c r="EZ65" s="715">
        <f>EY65</f>
        <v>98580.387336489322</v>
      </c>
      <c r="FA65" s="712">
        <f>FA66/91*FA7</f>
        <v>101136.37147438076</v>
      </c>
      <c r="FB65" s="712">
        <f>FB66/91*FB7</f>
        <v>104254.69470592408</v>
      </c>
      <c r="FC65" s="712">
        <f>FC66/91*FC7</f>
        <v>111559.0916714371</v>
      </c>
      <c r="FD65" s="712">
        <f>FD66/91*FD7</f>
        <v>117128.36097075832</v>
      </c>
      <c r="FE65" s="715">
        <f>FD65</f>
        <v>117128.36097075832</v>
      </c>
      <c r="FF65" s="712">
        <f>FF66/91*FF7</f>
        <v>117963.60084043854</v>
      </c>
      <c r="FG65" s="712">
        <f>FG66/91*FG7</f>
        <v>119316.14802507029</v>
      </c>
      <c r="FH65" s="712">
        <f>FH66/91*FH7</f>
        <v>123081.12127391298</v>
      </c>
      <c r="FI65" s="712">
        <f>FI66/91*FI7</f>
        <v>125690.69948365771</v>
      </c>
      <c r="FJ65" s="715">
        <f>FI65</f>
        <v>125690.69948365771</v>
      </c>
      <c r="FK65" s="712">
        <f>FK66/91*FK7</f>
        <v>127792.01696814156</v>
      </c>
      <c r="FL65" s="712">
        <f>FL66/91*FL7</f>
        <v>131715.19993910432</v>
      </c>
      <c r="FM65" s="712">
        <f>FM66/91*FM7</f>
        <v>139660.4893089968</v>
      </c>
      <c r="FN65" s="712">
        <f>FN66/91*FN7</f>
        <v>145298.06341379703</v>
      </c>
      <c r="FO65" s="715">
        <f>FN65</f>
        <v>145298.06341379703</v>
      </c>
      <c r="FP65" s="715"/>
    </row>
    <row r="66" spans="1:172" s="720" customFormat="1">
      <c r="A66" s="716" t="s">
        <v>425</v>
      </c>
      <c r="B66" s="717"/>
      <c r="C66" s="717"/>
      <c r="D66" s="717"/>
      <c r="E66" s="717"/>
      <c r="F66" s="717"/>
      <c r="G66" s="717"/>
      <c r="H66" s="717"/>
      <c r="I66" s="717"/>
      <c r="J66" s="717"/>
      <c r="K66" s="718"/>
      <c r="L66" s="715">
        <f>L65/(L7/91)</f>
        <v>43.821411473147649</v>
      </c>
      <c r="M66" s="715">
        <f>M65/(M7/91)</f>
        <v>58.52941025673892</v>
      </c>
      <c r="N66" s="715">
        <f>N65/(N7/91)</f>
        <v>52.920981291552856</v>
      </c>
      <c r="O66" s="715">
        <f>O65/(O7/91)</f>
        <v>47.622778404888869</v>
      </c>
      <c r="P66" s="718"/>
      <c r="Q66" s="715">
        <f>Q65/(Q7/91)</f>
        <v>44.125037883124669</v>
      </c>
      <c r="R66" s="715">
        <f>R65/(R7/91)</f>
        <v>45.732715954594312</v>
      </c>
      <c r="S66" s="715">
        <f>S65/(S7/91)</f>
        <v>48.040553051343934</v>
      </c>
      <c r="T66" s="715">
        <f>T65/(T7/91)</f>
        <v>43.467160457879125</v>
      </c>
      <c r="U66" s="718"/>
      <c r="V66" s="715">
        <f>V65/(V7/91)</f>
        <v>32.719767403250714</v>
      </c>
      <c r="W66" s="715">
        <f>W65/(W7/91)</f>
        <v>39.51509764309764</v>
      </c>
      <c r="X66" s="715">
        <f>X65/(X7/91)</f>
        <v>29.337337249572577</v>
      </c>
      <c r="Y66" s="715">
        <f>Y65/(Y7/91)</f>
        <v>26.620979654071572</v>
      </c>
      <c r="Z66" s="718"/>
      <c r="AA66" s="715">
        <f>AA65/(AA7/91)</f>
        <v>23.640282721884358</v>
      </c>
      <c r="AB66" s="715">
        <f>AB65/(AB7/91)</f>
        <v>28.333449571129339</v>
      </c>
      <c r="AC66" s="715">
        <f>AC65/(AC7/91)</f>
        <v>31.692364003123373</v>
      </c>
      <c r="AD66" s="715">
        <f>AD65/(AD7/91)</f>
        <v>32.804443894836069</v>
      </c>
      <c r="AE66" s="718"/>
      <c r="AF66" s="715">
        <f>AF65/(AF7/91)</f>
        <v>34.997372729225674</v>
      </c>
      <c r="AG66" s="715">
        <f>AG65/(AG7/91)</f>
        <v>37.64758990286532</v>
      </c>
      <c r="AH66" s="715">
        <f>AH65/(AH7/91)</f>
        <v>29.550020676076851</v>
      </c>
      <c r="AI66" s="715">
        <f>AI65/(AI7/91)</f>
        <v>37.900234898404847</v>
      </c>
      <c r="AJ66" s="718"/>
      <c r="AK66" s="715">
        <f>AK65/(AK7/91)</f>
        <v>39.5906548987614</v>
      </c>
      <c r="AL66" s="715">
        <f>AL65/(AL7/91)</f>
        <v>49.164554741580616</v>
      </c>
      <c r="AM66" s="715">
        <f>AM65/(AM7/91)</f>
        <v>54.256608435756249</v>
      </c>
      <c r="AN66" s="715">
        <f>AN65/(AN7/91)</f>
        <v>47.594936060839295</v>
      </c>
      <c r="AO66" s="718"/>
      <c r="AP66" s="715">
        <f>AP65/(AP7/91)</f>
        <v>39.784347242252238</v>
      </c>
      <c r="AQ66" s="715">
        <f>AQ65/(AQ7/91)</f>
        <v>56.26320083783915</v>
      </c>
      <c r="AR66" s="715">
        <f>AR65/(AR7/91)</f>
        <v>54.863291139240516</v>
      </c>
      <c r="AS66" s="715">
        <f>AS65/(AS7/91)</f>
        <v>45.698052757672649</v>
      </c>
      <c r="AT66" s="718"/>
      <c r="AU66" s="715">
        <f>AU65/(AU7/91)</f>
        <v>52.22235911335612</v>
      </c>
      <c r="AV66" s="715">
        <f>AV65/(AV7/91)</f>
        <v>60.837411038822204</v>
      </c>
      <c r="AW66" s="715">
        <f>AW65/(AW7/91)</f>
        <v>48.712278751895013</v>
      </c>
      <c r="AX66" s="715">
        <f>AX65/(AX7/91)</f>
        <v>53.705006297838239</v>
      </c>
      <c r="AY66" s="718"/>
      <c r="AZ66" s="715">
        <f>AZ65/(AZ7/91)</f>
        <v>50.822273416402147</v>
      </c>
      <c r="BA66" s="715">
        <f>BA65/(BA7/91)</f>
        <v>49.470661949226567</v>
      </c>
      <c r="BB66" s="715">
        <f>BB65/(BB7/91)</f>
        <v>45.060211707274227</v>
      </c>
      <c r="BC66" s="715">
        <f>BC65/(BC7/91)</f>
        <v>50.427738561439391</v>
      </c>
      <c r="BD66" s="718"/>
      <c r="BE66" s="715">
        <f>BE65/(BE7/91)</f>
        <v>51.425712769683749</v>
      </c>
      <c r="BF66" s="715">
        <f>BF65/(BF7/91)</f>
        <v>69.260130215218069</v>
      </c>
      <c r="BG66" s="715">
        <f>BG65/(BG7/91)</f>
        <v>61.619323682260998</v>
      </c>
      <c r="BH66" s="715">
        <f>BH65/(BH7/91)</f>
        <v>60.22692979174461</v>
      </c>
      <c r="BI66" s="718"/>
      <c r="BJ66" s="715">
        <f>BJ65/(BJ7/91)</f>
        <v>41.702002767109626</v>
      </c>
      <c r="BK66" s="715">
        <f>BK65/(BK7/91)</f>
        <v>41.246020707773141</v>
      </c>
      <c r="BL66" s="715">
        <f>BL65/(BL7/91)</f>
        <v>40.081243924420342</v>
      </c>
      <c r="BM66" s="715">
        <f>BM65/(BM7/91)</f>
        <v>34.729821636498357</v>
      </c>
      <c r="BN66" s="718"/>
      <c r="BO66" s="715">
        <f>BO65/(BO7/91)</f>
        <v>48.112105752271134</v>
      </c>
      <c r="BP66" s="715">
        <f>BP65/(BP7/91)</f>
        <v>44.41523505685349</v>
      </c>
      <c r="BQ66" s="715">
        <f>BQ65/(BQ7/91)</f>
        <v>43.078759396714347</v>
      </c>
      <c r="BR66" s="715">
        <f>BR65/(BR7/91)</f>
        <v>35.806553877812576</v>
      </c>
      <c r="BS66" s="718"/>
      <c r="BT66" s="715">
        <f>BT65/(BT7/91)</f>
        <v>32.463737956569332</v>
      </c>
      <c r="BU66" s="715">
        <f>BU65/(BU7/91)</f>
        <v>37.593964488542738</v>
      </c>
      <c r="BV66" s="715">
        <f>BV65/(BV7/91)</f>
        <v>31.687661558085875</v>
      </c>
      <c r="BW66" s="715">
        <f>BW65/(BW7/91)</f>
        <v>32.091067505670409</v>
      </c>
      <c r="BX66" s="718"/>
      <c r="BY66" s="715">
        <f>BY65/(BY7/91)</f>
        <v>40.454141469622442</v>
      </c>
      <c r="BZ66" s="715">
        <f>BZ65/(BZ7/91)</f>
        <v>38.805473680178494</v>
      </c>
      <c r="CA66" s="715">
        <f>CA65/(CA7/91)</f>
        <v>33.626416191211767</v>
      </c>
      <c r="CB66" s="715">
        <f>CB65/(CB7/91)</f>
        <v>37.344708022932473</v>
      </c>
      <c r="CC66" s="718"/>
      <c r="CD66" s="715">
        <f>CD65/(CD7/91)</f>
        <v>33.073769899417535</v>
      </c>
      <c r="CE66" s="715">
        <f>CE65/(CE7/91)</f>
        <v>38.935441519875404</v>
      </c>
      <c r="CF66" s="715">
        <f>CF65/(CF7/91)</f>
        <v>38.648668316939712</v>
      </c>
      <c r="CG66" s="715">
        <f>CG65/(CG7/91)</f>
        <v>33.908299816992916</v>
      </c>
      <c r="CH66" s="718"/>
      <c r="CI66" s="715">
        <f>CI65/(CI7/91)</f>
        <v>32.713350810265261</v>
      </c>
      <c r="CJ66" s="715">
        <f>CJ65/(CJ7/91)</f>
        <v>38.751310272536685</v>
      </c>
      <c r="CK66" s="715">
        <f>CK65/(CK7/91)</f>
        <v>41.839524327923861</v>
      </c>
      <c r="CL66" s="715">
        <f>CL65/(CL7/91)</f>
        <v>34.466600933696064</v>
      </c>
      <c r="CM66" s="718"/>
      <c r="CN66" s="715">
        <f>CN65/(CN7/91)</f>
        <v>35.973066898349266</v>
      </c>
      <c r="CO66" s="715">
        <f>CO65/(CO7/91)</f>
        <v>40.567215958369474</v>
      </c>
      <c r="CP66" s="715">
        <f>CP65/(CP7/91)</f>
        <v>37.376245210727966</v>
      </c>
      <c r="CQ66" s="715">
        <f>CQ65/(CQ7/91)</f>
        <v>32.801570306923622</v>
      </c>
      <c r="CR66" s="718"/>
      <c r="CS66" s="715">
        <f>CS65/(CS7/91)</f>
        <v>36.469731800766283</v>
      </c>
      <c r="CT66" s="715">
        <f>CT65/(CT7/91)</f>
        <v>41.03921568627451</v>
      </c>
      <c r="CU66" s="715">
        <f>CU65/(CU7/91)</f>
        <v>37.825848303393215</v>
      </c>
      <c r="CV66" s="715">
        <f>CV65/(CV7/91)</f>
        <v>34.590888173032674</v>
      </c>
      <c r="CW66" s="718"/>
      <c r="CX66" s="715">
        <f>CX65/(CX7/91)</f>
        <v>45.852348993288594</v>
      </c>
      <c r="CY66" s="715">
        <f>CY65/(CY7/91)</f>
        <v>49.499103139013449</v>
      </c>
      <c r="CZ66" s="715">
        <f>CZ65/(CZ7/91)</f>
        <v>40.287177541729896</v>
      </c>
      <c r="DA66" s="715">
        <f>DA65/(DA7/91)</f>
        <v>39.544829955341804</v>
      </c>
      <c r="DB66" s="718"/>
      <c r="DC66" s="715">
        <f>DC65/(DC7/91)</f>
        <v>34.61802307452448</v>
      </c>
      <c r="DD66" s="715">
        <f>DD65/(DD7/91)</f>
        <v>48.428434197886645</v>
      </c>
      <c r="DE66" s="715">
        <f>DE65/(DE7/91)</f>
        <v>63.479723357434771</v>
      </c>
      <c r="DF66" s="715">
        <f>DF65/(DF7/91)</f>
        <v>58.768253968253973</v>
      </c>
      <c r="DG66" s="718"/>
      <c r="DH66" s="715">
        <f>DH65/(DH7/91)</f>
        <v>50.910810810810815</v>
      </c>
      <c r="DI66" s="715">
        <f>DI65/(DI7/91)</f>
        <v>55.079875920899575</v>
      </c>
      <c r="DJ66" s="715">
        <f>DJ65/(DJ7/91)</f>
        <v>43.929993364299932</v>
      </c>
      <c r="DK66" s="715">
        <f>DK65/(DK7/91)</f>
        <v>48.562640901771331</v>
      </c>
      <c r="DL66" s="718"/>
      <c r="DM66" s="715">
        <f>DM65/(DM7/91)</f>
        <v>56.343181818181819</v>
      </c>
      <c r="DN66" s="715">
        <f>DN65/(DN7/91)</f>
        <v>49.054319710294884</v>
      </c>
      <c r="DO66" s="715">
        <f>DO65/(DO7/91)</f>
        <v>49.02369868810834</v>
      </c>
      <c r="DP66" s="715">
        <f>DP65/(DP7/91)</f>
        <v>44.181291225264843</v>
      </c>
      <c r="DQ66" s="718"/>
      <c r="DR66" s="715">
        <f>DR65/(DR7/91)</f>
        <v>48.610492845786965</v>
      </c>
      <c r="DS66" s="715">
        <f>DS65/(DS7/91)</f>
        <v>50.149992315967417</v>
      </c>
      <c r="DT66" s="715">
        <f>DT65/(DT7/91)</f>
        <v>50.656623961706323</v>
      </c>
      <c r="DU66" s="715">
        <f>DU65/(DU7/91)</f>
        <v>55.364385712416585</v>
      </c>
      <c r="DV66" s="718"/>
      <c r="DW66" s="715">
        <f>DW65/(DW7/91)</f>
        <v>59.707770270270267</v>
      </c>
      <c r="DX66" s="715">
        <f>DX65/(DX7/91)</f>
        <v>72.172881861575178</v>
      </c>
      <c r="DY66" s="715">
        <f>DY65/(DY7/91)</f>
        <v>75.303995953464849</v>
      </c>
      <c r="DZ66" s="715">
        <f>DZ65/(DZ7/91)</f>
        <v>57.553627499586852</v>
      </c>
      <c r="EA66" s="718"/>
      <c r="EB66" s="715">
        <f>EB65/(EB7/91)</f>
        <v>51.624026696329253</v>
      </c>
      <c r="EC66" s="715">
        <f>EC65/(EC7/91)</f>
        <v>47.60538979788258</v>
      </c>
      <c r="ED66" s="715">
        <f>ED65/(ED7/91)</f>
        <v>41.728421633554085</v>
      </c>
      <c r="EE66" s="715">
        <f>EE65/(EE7/91)</f>
        <v>41.166764692575669</v>
      </c>
      <c r="EF66" s="718"/>
      <c r="EG66" s="715">
        <f>EG65/(EG7/91)</f>
        <v>43.204384887114109</v>
      </c>
      <c r="EH66" s="715">
        <f>EH65/(EH7/91)</f>
        <v>42.809986684420771</v>
      </c>
      <c r="EI66" s="715">
        <f>EI65/(EI7/91)</f>
        <v>45.894276267031529</v>
      </c>
      <c r="EJ66" s="715">
        <f>EJ65/(EJ7/91)</f>
        <v>53.365411507462312</v>
      </c>
      <c r="EK66" s="718"/>
      <c r="EL66" s="715">
        <f>EL65/(EL7/91)</f>
        <v>45.708592437928374</v>
      </c>
      <c r="EM66" s="715">
        <f>EM65/(EM7/91)</f>
        <v>54.137047258413027</v>
      </c>
      <c r="EN66" s="715">
        <f>EN65/(EN7/91)</f>
        <v>53.30282777251518</v>
      </c>
      <c r="EO66" s="715">
        <f>EO65/(EO7/91)</f>
        <v>51.380598000792638</v>
      </c>
      <c r="EP66" s="718"/>
      <c r="EQ66" s="715">
        <f>EQ65/(EQ7/91)</f>
        <v>45.391288366109173</v>
      </c>
      <c r="ER66" s="719">
        <v>55</v>
      </c>
      <c r="ES66" s="719">
        <v>55</v>
      </c>
      <c r="ET66" s="719">
        <v>55</v>
      </c>
      <c r="EU66" s="718"/>
      <c r="EV66" s="719">
        <v>50</v>
      </c>
      <c r="EW66" s="719">
        <v>50</v>
      </c>
      <c r="EX66" s="719">
        <v>50</v>
      </c>
      <c r="EY66" s="719">
        <v>50</v>
      </c>
      <c r="EZ66" s="718"/>
      <c r="FA66" s="719">
        <v>50</v>
      </c>
      <c r="FB66" s="719">
        <v>50</v>
      </c>
      <c r="FC66" s="719">
        <v>50</v>
      </c>
      <c r="FD66" s="719">
        <v>50</v>
      </c>
      <c r="FE66" s="718"/>
      <c r="FF66" s="719">
        <v>50</v>
      </c>
      <c r="FG66" s="719">
        <v>50</v>
      </c>
      <c r="FH66" s="719">
        <v>50</v>
      </c>
      <c r="FI66" s="719">
        <v>50</v>
      </c>
      <c r="FJ66" s="718"/>
      <c r="FK66" s="719">
        <v>50</v>
      </c>
      <c r="FL66" s="719">
        <v>50</v>
      </c>
      <c r="FM66" s="719">
        <v>50</v>
      </c>
      <c r="FN66" s="719">
        <v>50</v>
      </c>
      <c r="FO66" s="718"/>
      <c r="FP66" s="718"/>
    </row>
    <row r="67" spans="1:172">
      <c r="A67" s="171" t="s">
        <v>426</v>
      </c>
      <c r="B67" s="665"/>
      <c r="C67" s="665"/>
      <c r="D67" s="665"/>
      <c r="E67" s="665"/>
      <c r="F67" s="665"/>
      <c r="G67" s="665"/>
      <c r="H67" s="665"/>
      <c r="I67" s="665"/>
      <c r="J67" s="665"/>
      <c r="K67" s="714"/>
      <c r="L67" s="712">
        <v>15.193</v>
      </c>
      <c r="M67" s="712">
        <v>8.4410000000000007</v>
      </c>
      <c r="N67" s="712">
        <v>11.734</v>
      </c>
      <c r="O67" s="712">
        <v>37.631</v>
      </c>
      <c r="P67" s="715">
        <f>O67</f>
        <v>37.631</v>
      </c>
      <c r="Q67" s="712">
        <v>55.241</v>
      </c>
      <c r="R67" s="712">
        <v>68.135000000000005</v>
      </c>
      <c r="S67" s="712">
        <v>93.191999999999993</v>
      </c>
      <c r="T67" s="712">
        <v>89.905000000000001</v>
      </c>
      <c r="U67" s="715">
        <f>T67</f>
        <v>89.905000000000001</v>
      </c>
      <c r="V67" s="712">
        <v>86.77</v>
      </c>
      <c r="W67" s="712">
        <v>89.61</v>
      </c>
      <c r="X67" s="712">
        <v>120.488</v>
      </c>
      <c r="Y67" s="712">
        <v>213.87700000000001</v>
      </c>
      <c r="Z67" s="715">
        <f>Y67</f>
        <v>213.87700000000001</v>
      </c>
      <c r="AA67" s="712">
        <v>253.92699999999999</v>
      </c>
      <c r="AB67" s="712">
        <v>285.35000000000002</v>
      </c>
      <c r="AC67" s="712">
        <v>205.04300000000001</v>
      </c>
      <c r="AD67" s="712">
        <v>145.04599999999999</v>
      </c>
      <c r="AE67" s="715">
        <f>AD67</f>
        <v>145.04599999999999</v>
      </c>
      <c r="AF67" s="712">
        <v>165.785</v>
      </c>
      <c r="AG67" s="712">
        <v>217.85900000000001</v>
      </c>
      <c r="AH67" s="712">
        <v>260.81900000000002</v>
      </c>
      <c r="AI67" s="712">
        <v>234.238</v>
      </c>
      <c r="AJ67" s="715">
        <f>AI67</f>
        <v>234.238</v>
      </c>
      <c r="AK67" s="712">
        <v>234.79599999999999</v>
      </c>
      <c r="AL67" s="712">
        <v>266.98500000000001</v>
      </c>
      <c r="AM67" s="712">
        <v>297.55099999999999</v>
      </c>
      <c r="AN67" s="712">
        <v>315.51799999999997</v>
      </c>
      <c r="AO67" s="715">
        <f>AN67</f>
        <v>315.51799999999997</v>
      </c>
      <c r="AP67" s="712">
        <v>307.75900000000001</v>
      </c>
      <c r="AQ67" s="712">
        <v>300.95499999999998</v>
      </c>
      <c r="AR67" s="712">
        <v>284.84699999999998</v>
      </c>
      <c r="AS67" s="712">
        <v>254.792</v>
      </c>
      <c r="AT67" s="715">
        <f>AS67</f>
        <v>254.792</v>
      </c>
      <c r="AU67" s="712">
        <v>346.43099999999998</v>
      </c>
      <c r="AV67" s="712">
        <v>378.661</v>
      </c>
      <c r="AW67" s="712">
        <v>373.55799999999999</v>
      </c>
      <c r="AX67" s="712">
        <v>354.68</v>
      </c>
      <c r="AY67" s="715">
        <f>AX67</f>
        <v>354.68</v>
      </c>
      <c r="AZ67" s="712">
        <v>332.63499999999999</v>
      </c>
      <c r="BA67" s="712">
        <v>276.30500000000001</v>
      </c>
      <c r="BB67" s="712">
        <v>306.14299999999997</v>
      </c>
      <c r="BC67" s="712">
        <v>358.52100000000002</v>
      </c>
      <c r="BD67" s="715">
        <f>BC67</f>
        <v>358.52100000000002</v>
      </c>
      <c r="BE67" s="712">
        <v>420.12599999999998</v>
      </c>
      <c r="BF67" s="712">
        <v>432.279</v>
      </c>
      <c r="BG67" s="712">
        <v>523.98800000000006</v>
      </c>
      <c r="BH67" s="712">
        <v>537.83399999999995</v>
      </c>
      <c r="BI67" s="715">
        <f>BH67</f>
        <v>537.83399999999995</v>
      </c>
      <c r="BJ67" s="712">
        <v>327.25900000000001</v>
      </c>
      <c r="BK67" s="712">
        <v>279.21600000000001</v>
      </c>
      <c r="BL67" s="712">
        <v>277.64299999999997</v>
      </c>
      <c r="BM67" s="712">
        <v>330.67399999999998</v>
      </c>
      <c r="BN67" s="715">
        <f>BM67</f>
        <v>330.67399999999998</v>
      </c>
      <c r="BO67" s="712">
        <v>388.13900000000001</v>
      </c>
      <c r="BP67" s="712">
        <v>434.22699999999998</v>
      </c>
      <c r="BQ67" s="712">
        <v>377.81200000000001</v>
      </c>
      <c r="BR67" s="712">
        <v>345.52499999999998</v>
      </c>
      <c r="BS67" s="715">
        <f>BR67</f>
        <v>345.52499999999998</v>
      </c>
      <c r="BT67" s="712">
        <v>380.964</v>
      </c>
      <c r="BU67" s="712">
        <v>361.911</v>
      </c>
      <c r="BV67" s="712">
        <v>319.60199999999998</v>
      </c>
      <c r="BW67" s="712">
        <v>340.29700000000003</v>
      </c>
      <c r="BX67" s="715">
        <f>BW67</f>
        <v>340.29700000000003</v>
      </c>
      <c r="BY67" s="712">
        <v>342.70699999999999</v>
      </c>
      <c r="BZ67" s="712">
        <v>387.185</v>
      </c>
      <c r="CA67" s="712">
        <v>428.983</v>
      </c>
      <c r="CB67" s="712">
        <v>419.68599999999998</v>
      </c>
      <c r="CC67" s="715">
        <f>CB67</f>
        <v>419.68599999999998</v>
      </c>
      <c r="CD67" s="712">
        <v>377.59699999999998</v>
      </c>
      <c r="CE67" s="712">
        <v>378.28</v>
      </c>
      <c r="CF67" s="712">
        <v>380.31900000000002</v>
      </c>
      <c r="CG67" s="712">
        <v>387.76499999999999</v>
      </c>
      <c r="CH67" s="715">
        <f>CG67</f>
        <v>387.76499999999999</v>
      </c>
      <c r="CI67" s="712">
        <v>393.28</v>
      </c>
      <c r="CJ67" s="712">
        <v>387.43400000000003</v>
      </c>
      <c r="CK67" s="712">
        <v>408.08100000000002</v>
      </c>
      <c r="CL67" s="712">
        <v>482.89299999999997</v>
      </c>
      <c r="CM67" s="715">
        <f>CL67</f>
        <v>482.89299999999997</v>
      </c>
      <c r="CN67" s="712">
        <v>438</v>
      </c>
      <c r="CO67" s="712">
        <v>441</v>
      </c>
      <c r="CP67" s="712">
        <v>425</v>
      </c>
      <c r="CQ67" s="712">
        <v>418</v>
      </c>
      <c r="CR67" s="715">
        <f>CQ67</f>
        <v>418</v>
      </c>
      <c r="CS67" s="712">
        <v>394</v>
      </c>
      <c r="CT67" s="712">
        <v>521</v>
      </c>
      <c r="CU67" s="712">
        <v>679</v>
      </c>
      <c r="CV67" s="712">
        <v>794</v>
      </c>
      <c r="CW67" s="715">
        <f>CV67</f>
        <v>794</v>
      </c>
      <c r="CX67" s="712">
        <v>821</v>
      </c>
      <c r="CY67" s="712">
        <v>855</v>
      </c>
      <c r="CZ67" s="712">
        <v>857</v>
      </c>
      <c r="DA67" s="712">
        <v>796</v>
      </c>
      <c r="DB67" s="715">
        <f>DA67</f>
        <v>796</v>
      </c>
      <c r="DC67" s="712">
        <v>797</v>
      </c>
      <c r="DD67" s="712">
        <v>1090</v>
      </c>
      <c r="DE67" s="712">
        <v>1417</v>
      </c>
      <c r="DF67" s="712">
        <v>1575</v>
      </c>
      <c r="DG67" s="715">
        <f>DF67</f>
        <v>1575</v>
      </c>
      <c r="DH67" s="712">
        <v>1426</v>
      </c>
      <c r="DI67" s="712">
        <v>1204</v>
      </c>
      <c r="DJ67" s="712">
        <v>1047</v>
      </c>
      <c r="DK67" s="712">
        <v>979</v>
      </c>
      <c r="DL67" s="715">
        <f>DK67</f>
        <v>979</v>
      </c>
      <c r="DM67" s="712">
        <v>1128</v>
      </c>
      <c r="DN67" s="712">
        <v>1401</v>
      </c>
      <c r="DO67" s="712">
        <v>1495</v>
      </c>
      <c r="DP67" s="712">
        <v>1826</v>
      </c>
      <c r="DQ67" s="715">
        <f>DP67</f>
        <v>1826</v>
      </c>
      <c r="DR67" s="712">
        <v>1992</v>
      </c>
      <c r="DS67" s="712">
        <v>2114</v>
      </c>
      <c r="DT67" s="712">
        <v>2233</v>
      </c>
      <c r="DU67" s="712">
        <v>2605</v>
      </c>
      <c r="DV67" s="715">
        <f>DU67</f>
        <v>2605</v>
      </c>
      <c r="DW67" s="712">
        <v>3163</v>
      </c>
      <c r="DX67" s="712">
        <v>3889</v>
      </c>
      <c r="DY67" s="712">
        <v>4454</v>
      </c>
      <c r="DZ67" s="712">
        <v>5159</v>
      </c>
      <c r="EA67" s="715">
        <f>DZ67</f>
        <v>5159</v>
      </c>
      <c r="EB67" s="712">
        <v>4611</v>
      </c>
      <c r="EC67" s="712">
        <v>4319</v>
      </c>
      <c r="ED67" s="712">
        <v>4779</v>
      </c>
      <c r="EE67" s="712">
        <v>5282</v>
      </c>
      <c r="EF67" s="715">
        <f>EE67</f>
        <v>5282</v>
      </c>
      <c r="EG67" s="712">
        <v>5864</v>
      </c>
      <c r="EH67" s="712">
        <v>6675</v>
      </c>
      <c r="EI67" s="712">
        <v>7654</v>
      </c>
      <c r="EJ67" s="712">
        <v>10080</v>
      </c>
      <c r="EK67" s="715">
        <f>EJ67</f>
        <v>10080</v>
      </c>
      <c r="EL67" s="712">
        <v>11333</v>
      </c>
      <c r="EM67" s="712">
        <v>14962</v>
      </c>
      <c r="EN67" s="712">
        <v>19784</v>
      </c>
      <c r="EO67" s="712">
        <v>21403</v>
      </c>
      <c r="EP67" s="715">
        <f>EO67</f>
        <v>21403</v>
      </c>
      <c r="EQ67" s="712">
        <v>25797</v>
      </c>
      <c r="ER67" s="712">
        <f>ER71/91*(ER10+ER11)</f>
        <v>29429.089489315869</v>
      </c>
      <c r="ES67" s="712">
        <f>ES71/91*(ES10+ES11)</f>
        <v>35081.381423635255</v>
      </c>
      <c r="ET67" s="712">
        <f>ET71/91*(ET10+ET11)</f>
        <v>37947.856812080769</v>
      </c>
      <c r="EU67" s="715">
        <f>ET67</f>
        <v>37947.856812080769</v>
      </c>
      <c r="EV67" s="712">
        <f>EV71/91*(EV10+EV11)</f>
        <v>41268.815982481072</v>
      </c>
      <c r="EW67" s="712">
        <f>EW71/91*(EW10+EW11)</f>
        <v>45247.444496738884</v>
      </c>
      <c r="EX67" s="712">
        <f>EX71/91*(EX10+EX11)</f>
        <v>50515.734080647657</v>
      </c>
      <c r="EY67" s="712">
        <f>EY71/91*(EY10+EY11)</f>
        <v>51376.730537202624</v>
      </c>
      <c r="EZ67" s="715">
        <f>EY67</f>
        <v>51376.730537202624</v>
      </c>
      <c r="FA67" s="712">
        <f>FA71/91*(FA10+FA11)</f>
        <v>55108.241491815024</v>
      </c>
      <c r="FB67" s="712">
        <f>FB71/91*(FB10+FB11)</f>
        <v>56831.272118150548</v>
      </c>
      <c r="FC67" s="712">
        <f>FC71/91*(FC10+FC11)</f>
        <v>60813.828683692962</v>
      </c>
      <c r="FD67" s="712">
        <f>FD71/91*(FD10+FD11)</f>
        <v>60936.066582390064</v>
      </c>
      <c r="FE67" s="715">
        <f>FD67</f>
        <v>60936.066582390064</v>
      </c>
      <c r="FF67" s="712">
        <f>FF71/91*(FF10+FF11)</f>
        <v>64202.449045543224</v>
      </c>
      <c r="FG67" s="712">
        <f>FG71/91*(FG10+FG11)</f>
        <v>64990.716501886061</v>
      </c>
      <c r="FH67" s="712">
        <f>FH71/91*(FH10+FH11)</f>
        <v>67096.947842635796</v>
      </c>
      <c r="FI67" s="712">
        <f>FI71/91*(FI10+FI11)</f>
        <v>65437.411347754911</v>
      </c>
      <c r="FJ67" s="715">
        <f>FI67</f>
        <v>65437.411347754911</v>
      </c>
      <c r="FK67" s="712">
        <f>FK71/91*(FK10+FK11)</f>
        <v>69587.890617866913</v>
      </c>
      <c r="FL67" s="712">
        <f>FL71/91*(FL10+FL11)</f>
        <v>71752.057227172714</v>
      </c>
      <c r="FM67" s="712">
        <f>FM71/91*(FM10+FM11)</f>
        <v>76093.923937708169</v>
      </c>
      <c r="FN67" s="712">
        <f>FN71/91*(FN10+FN11)</f>
        <v>75572.666695029358</v>
      </c>
      <c r="FO67" s="715">
        <f>FN67</f>
        <v>75572.666695029358</v>
      </c>
      <c r="FP67" s="715"/>
    </row>
    <row r="68" spans="1:172">
      <c r="A68" s="721" t="s">
        <v>427</v>
      </c>
      <c r="B68" s="665"/>
      <c r="C68" s="665"/>
      <c r="D68" s="665"/>
      <c r="E68" s="665"/>
      <c r="F68" s="665"/>
      <c r="G68" s="665"/>
      <c r="H68" s="665"/>
      <c r="I68" s="665"/>
      <c r="J68" s="665"/>
      <c r="K68" s="714"/>
      <c r="L68" s="712"/>
      <c r="M68" s="712"/>
      <c r="N68" s="712"/>
      <c r="O68" s="712"/>
      <c r="P68" s="715"/>
      <c r="Q68" s="712"/>
      <c r="R68" s="712"/>
      <c r="S68" s="712"/>
      <c r="T68" s="712"/>
      <c r="U68" s="715"/>
      <c r="V68" s="712"/>
      <c r="W68" s="712"/>
      <c r="X68" s="712"/>
      <c r="Y68" s="712"/>
      <c r="Z68" s="715"/>
      <c r="AA68" s="712"/>
      <c r="AB68" s="712"/>
      <c r="AC68" s="712"/>
      <c r="AD68" s="712"/>
      <c r="AE68" s="715"/>
      <c r="AF68" s="712"/>
      <c r="AG68" s="712"/>
      <c r="AH68" s="712"/>
      <c r="AI68" s="712"/>
      <c r="AJ68" s="715"/>
      <c r="AK68" s="712"/>
      <c r="AL68" s="712"/>
      <c r="AM68" s="712"/>
      <c r="AN68" s="712"/>
      <c r="AO68" s="715"/>
      <c r="AP68" s="712"/>
      <c r="AQ68" s="712"/>
      <c r="AR68" s="712"/>
      <c r="AS68" s="712"/>
      <c r="AT68" s="715"/>
      <c r="AU68" s="712"/>
      <c r="AV68" s="712"/>
      <c r="AW68" s="712"/>
      <c r="AX68" s="712"/>
      <c r="AY68" s="715"/>
      <c r="AZ68" s="712"/>
      <c r="BA68" s="712"/>
      <c r="BB68" s="712"/>
      <c r="BC68" s="712"/>
      <c r="BD68" s="715"/>
      <c r="BE68" s="712"/>
      <c r="BF68" s="712"/>
      <c r="BG68" s="712"/>
      <c r="BH68" s="712"/>
      <c r="BI68" s="715"/>
      <c r="BJ68" s="712"/>
      <c r="BK68" s="712"/>
      <c r="BL68" s="712"/>
      <c r="BM68" s="712"/>
      <c r="BN68" s="715"/>
      <c r="BO68" s="712"/>
      <c r="BP68" s="712"/>
      <c r="BQ68" s="712"/>
      <c r="BR68" s="712"/>
      <c r="BS68" s="715"/>
      <c r="BT68" s="712"/>
      <c r="BU68" s="712"/>
      <c r="BV68" s="712"/>
      <c r="BW68" s="712"/>
      <c r="BX68" s="715"/>
      <c r="BY68" s="712"/>
      <c r="BZ68" s="712"/>
      <c r="CA68" s="712"/>
      <c r="CB68" s="712"/>
      <c r="CC68" s="715"/>
      <c r="CD68" s="712"/>
      <c r="CE68" s="712"/>
      <c r="CF68" s="712"/>
      <c r="CG68" s="712"/>
      <c r="CH68" s="715"/>
      <c r="CI68" s="712"/>
      <c r="CJ68" s="712"/>
      <c r="CK68" s="712"/>
      <c r="CL68" s="712"/>
      <c r="CM68" s="715"/>
      <c r="CN68" s="712"/>
      <c r="CO68" s="712"/>
      <c r="CP68" s="712"/>
      <c r="CQ68" s="712"/>
      <c r="CR68" s="715"/>
      <c r="CS68" s="712"/>
      <c r="CT68" s="712"/>
      <c r="CU68" s="712"/>
      <c r="CV68" s="712"/>
      <c r="CW68" s="715"/>
      <c r="CX68" s="712"/>
      <c r="CY68" s="712"/>
      <c r="CZ68" s="712"/>
      <c r="DA68" s="712"/>
      <c r="DB68" s="715"/>
      <c r="DC68" s="712"/>
      <c r="DD68" s="712"/>
      <c r="DE68" s="712"/>
      <c r="DF68" s="712"/>
      <c r="DG68" s="715"/>
      <c r="DH68" s="712"/>
      <c r="DI68" s="712"/>
      <c r="DJ68" s="712"/>
      <c r="DK68" s="712"/>
      <c r="DL68" s="715"/>
      <c r="DM68" s="712"/>
      <c r="DN68" s="712"/>
      <c r="DO68" s="712"/>
      <c r="DP68" s="712"/>
      <c r="DQ68" s="715"/>
      <c r="DR68" s="722">
        <v>734</v>
      </c>
      <c r="DS68" s="722">
        <v>825</v>
      </c>
      <c r="DT68" s="722">
        <v>755</v>
      </c>
      <c r="DU68" s="722">
        <v>791</v>
      </c>
      <c r="DV68" s="715"/>
      <c r="DW68" s="722">
        <v>1119</v>
      </c>
      <c r="DX68" s="722">
        <v>1534</v>
      </c>
      <c r="DY68" s="722">
        <v>1936</v>
      </c>
      <c r="DZ68" s="722">
        <v>2430</v>
      </c>
      <c r="EA68" s="715"/>
      <c r="EB68" s="722">
        <v>1809</v>
      </c>
      <c r="EC68" s="722">
        <v>1632</v>
      </c>
      <c r="ED68" s="722">
        <v>1663</v>
      </c>
      <c r="EE68" s="722">
        <v>1719</v>
      </c>
      <c r="EF68" s="715"/>
      <c r="EG68" s="722">
        <v>1991</v>
      </c>
      <c r="EH68" s="722">
        <v>1895</v>
      </c>
      <c r="EI68" s="722">
        <v>1846</v>
      </c>
      <c r="EJ68" s="722">
        <v>3408</v>
      </c>
      <c r="EK68" s="715"/>
      <c r="EL68" s="722">
        <v>2525</v>
      </c>
      <c r="EM68" s="722"/>
      <c r="EN68" s="722"/>
      <c r="EO68" s="722"/>
      <c r="EP68" s="715"/>
      <c r="EQ68" s="722"/>
      <c r="ER68" s="712"/>
      <c r="ES68" s="712"/>
      <c r="ET68" s="712"/>
      <c r="EU68" s="715"/>
      <c r="EV68" s="712"/>
      <c r="EW68" s="712"/>
      <c r="EX68" s="712"/>
      <c r="EY68" s="712"/>
      <c r="EZ68" s="715"/>
      <c r="FA68" s="712"/>
      <c r="FB68" s="712"/>
      <c r="FC68" s="712"/>
      <c r="FD68" s="712"/>
      <c r="FE68" s="715"/>
      <c r="FF68" s="712"/>
      <c r="FG68" s="712"/>
      <c r="FH68" s="712"/>
      <c r="FI68" s="712"/>
      <c r="FJ68" s="715"/>
      <c r="FK68" s="712"/>
      <c r="FL68" s="712"/>
      <c r="FM68" s="712"/>
      <c r="FN68" s="712"/>
      <c r="FO68" s="715"/>
      <c r="FP68" s="715"/>
    </row>
    <row r="69" spans="1:172">
      <c r="A69" s="721" t="s">
        <v>428</v>
      </c>
      <c r="B69" s="665"/>
      <c r="C69" s="665"/>
      <c r="D69" s="665"/>
      <c r="E69" s="665"/>
      <c r="F69" s="665"/>
      <c r="G69" s="665"/>
      <c r="H69" s="665"/>
      <c r="I69" s="665"/>
      <c r="J69" s="665"/>
      <c r="K69" s="714"/>
      <c r="L69" s="712"/>
      <c r="M69" s="712"/>
      <c r="N69" s="712"/>
      <c r="O69" s="712"/>
      <c r="P69" s="715"/>
      <c r="Q69" s="712"/>
      <c r="R69" s="712"/>
      <c r="S69" s="712"/>
      <c r="T69" s="712"/>
      <c r="U69" s="715"/>
      <c r="V69" s="712"/>
      <c r="W69" s="712"/>
      <c r="X69" s="712"/>
      <c r="Y69" s="712"/>
      <c r="Z69" s="715"/>
      <c r="AA69" s="712"/>
      <c r="AB69" s="712"/>
      <c r="AC69" s="712"/>
      <c r="AD69" s="712"/>
      <c r="AE69" s="715"/>
      <c r="AF69" s="712"/>
      <c r="AG69" s="712"/>
      <c r="AH69" s="712"/>
      <c r="AI69" s="712"/>
      <c r="AJ69" s="715"/>
      <c r="AK69" s="712"/>
      <c r="AL69" s="712"/>
      <c r="AM69" s="712"/>
      <c r="AN69" s="712"/>
      <c r="AO69" s="715"/>
      <c r="AP69" s="712"/>
      <c r="AQ69" s="712"/>
      <c r="AR69" s="712"/>
      <c r="AS69" s="712"/>
      <c r="AT69" s="715"/>
      <c r="AU69" s="712"/>
      <c r="AV69" s="712"/>
      <c r="AW69" s="712"/>
      <c r="AX69" s="712"/>
      <c r="AY69" s="715"/>
      <c r="AZ69" s="712"/>
      <c r="BA69" s="712"/>
      <c r="BB69" s="712"/>
      <c r="BC69" s="712"/>
      <c r="BD69" s="715"/>
      <c r="BE69" s="712"/>
      <c r="BF69" s="712"/>
      <c r="BG69" s="712"/>
      <c r="BH69" s="712"/>
      <c r="BI69" s="715"/>
      <c r="BJ69" s="712"/>
      <c r="BK69" s="712"/>
      <c r="BL69" s="712"/>
      <c r="BM69" s="712"/>
      <c r="BN69" s="715"/>
      <c r="BO69" s="712"/>
      <c r="BP69" s="712"/>
      <c r="BQ69" s="712"/>
      <c r="BR69" s="712"/>
      <c r="BS69" s="715"/>
      <c r="BT69" s="712"/>
      <c r="BU69" s="712"/>
      <c r="BV69" s="712"/>
      <c r="BW69" s="712"/>
      <c r="BX69" s="715"/>
      <c r="BY69" s="712"/>
      <c r="BZ69" s="712"/>
      <c r="CA69" s="712"/>
      <c r="CB69" s="712"/>
      <c r="CC69" s="715"/>
      <c r="CD69" s="712"/>
      <c r="CE69" s="712"/>
      <c r="CF69" s="712"/>
      <c r="CG69" s="712"/>
      <c r="CH69" s="715"/>
      <c r="CI69" s="712"/>
      <c r="CJ69" s="712"/>
      <c r="CK69" s="712"/>
      <c r="CL69" s="712"/>
      <c r="CM69" s="715"/>
      <c r="CN69" s="712"/>
      <c r="CO69" s="712"/>
      <c r="CP69" s="712"/>
      <c r="CQ69" s="712"/>
      <c r="CR69" s="715"/>
      <c r="CS69" s="712"/>
      <c r="CT69" s="712"/>
      <c r="CU69" s="712"/>
      <c r="CV69" s="712"/>
      <c r="CW69" s="715"/>
      <c r="CX69" s="712"/>
      <c r="CY69" s="712"/>
      <c r="CZ69" s="712"/>
      <c r="DA69" s="712"/>
      <c r="DB69" s="715"/>
      <c r="DC69" s="712"/>
      <c r="DD69" s="712"/>
      <c r="DE69" s="712"/>
      <c r="DF69" s="712"/>
      <c r="DG69" s="715"/>
      <c r="DH69" s="712"/>
      <c r="DI69" s="712"/>
      <c r="DJ69" s="712"/>
      <c r="DK69" s="712"/>
      <c r="DL69" s="715"/>
      <c r="DM69" s="712"/>
      <c r="DN69" s="712"/>
      <c r="DO69" s="712"/>
      <c r="DP69" s="712"/>
      <c r="DQ69" s="715"/>
      <c r="DR69" s="722">
        <v>504</v>
      </c>
      <c r="DS69" s="722">
        <v>553</v>
      </c>
      <c r="DT69" s="722">
        <v>538</v>
      </c>
      <c r="DU69" s="722">
        <v>692</v>
      </c>
      <c r="DV69" s="715"/>
      <c r="DW69" s="722">
        <v>672</v>
      </c>
      <c r="DX69" s="722">
        <v>767</v>
      </c>
      <c r="DY69" s="722">
        <v>788</v>
      </c>
      <c r="DZ69" s="722">
        <v>466</v>
      </c>
      <c r="EA69" s="715"/>
      <c r="EB69" s="722">
        <v>930</v>
      </c>
      <c r="EC69" s="722">
        <v>1058</v>
      </c>
      <c r="ED69" s="722">
        <v>1338</v>
      </c>
      <c r="EE69" s="722">
        <v>1505</v>
      </c>
      <c r="EF69" s="715"/>
      <c r="EG69" s="722">
        <v>1625</v>
      </c>
      <c r="EH69" s="722">
        <v>2111</v>
      </c>
      <c r="EI69" s="722">
        <v>2881</v>
      </c>
      <c r="EJ69" s="722">
        <v>3399</v>
      </c>
      <c r="EK69" s="715"/>
      <c r="EL69" s="722">
        <v>5339</v>
      </c>
      <c r="EM69" s="722"/>
      <c r="EN69" s="722"/>
      <c r="EO69" s="722"/>
      <c r="EP69" s="715"/>
      <c r="EQ69" s="722"/>
      <c r="ER69" s="712"/>
      <c r="ES69" s="712"/>
      <c r="ET69" s="712"/>
      <c r="EU69" s="715"/>
      <c r="EV69" s="712"/>
      <c r="EW69" s="712"/>
      <c r="EX69" s="712"/>
      <c r="EY69" s="712"/>
      <c r="EZ69" s="715"/>
      <c r="FA69" s="712"/>
      <c r="FB69" s="712"/>
      <c r="FC69" s="712"/>
      <c r="FD69" s="712"/>
      <c r="FE69" s="715"/>
      <c r="FF69" s="712"/>
      <c r="FG69" s="712"/>
      <c r="FH69" s="712"/>
      <c r="FI69" s="712"/>
      <c r="FJ69" s="715"/>
      <c r="FK69" s="712"/>
      <c r="FL69" s="712"/>
      <c r="FM69" s="712"/>
      <c r="FN69" s="712"/>
      <c r="FO69" s="715"/>
      <c r="FP69" s="715"/>
    </row>
    <row r="70" spans="1:172">
      <c r="A70" s="721" t="s">
        <v>429</v>
      </c>
      <c r="B70" s="665"/>
      <c r="C70" s="665"/>
      <c r="D70" s="665"/>
      <c r="E70" s="665"/>
      <c r="F70" s="665"/>
      <c r="G70" s="665"/>
      <c r="H70" s="665"/>
      <c r="I70" s="665"/>
      <c r="J70" s="665"/>
      <c r="K70" s="714"/>
      <c r="L70" s="712"/>
      <c r="M70" s="712"/>
      <c r="N70" s="712"/>
      <c r="O70" s="712"/>
      <c r="P70" s="715"/>
      <c r="Q70" s="712"/>
      <c r="R70" s="712"/>
      <c r="S70" s="712"/>
      <c r="T70" s="712"/>
      <c r="U70" s="715"/>
      <c r="V70" s="712"/>
      <c r="W70" s="712"/>
      <c r="X70" s="712"/>
      <c r="Y70" s="712"/>
      <c r="Z70" s="715"/>
      <c r="AA70" s="712"/>
      <c r="AB70" s="712"/>
      <c r="AC70" s="712"/>
      <c r="AD70" s="712"/>
      <c r="AE70" s="715"/>
      <c r="AF70" s="712"/>
      <c r="AG70" s="712"/>
      <c r="AH70" s="712"/>
      <c r="AI70" s="712"/>
      <c r="AJ70" s="715"/>
      <c r="AK70" s="712"/>
      <c r="AL70" s="712"/>
      <c r="AM70" s="712"/>
      <c r="AN70" s="712"/>
      <c r="AO70" s="715"/>
      <c r="AP70" s="712"/>
      <c r="AQ70" s="712"/>
      <c r="AR70" s="712"/>
      <c r="AS70" s="712"/>
      <c r="AT70" s="715"/>
      <c r="AU70" s="712"/>
      <c r="AV70" s="712"/>
      <c r="AW70" s="712"/>
      <c r="AX70" s="712"/>
      <c r="AY70" s="715"/>
      <c r="AZ70" s="712"/>
      <c r="BA70" s="712"/>
      <c r="BB70" s="712"/>
      <c r="BC70" s="712"/>
      <c r="BD70" s="715"/>
      <c r="BE70" s="712"/>
      <c r="BF70" s="712"/>
      <c r="BG70" s="712"/>
      <c r="BH70" s="712"/>
      <c r="BI70" s="715"/>
      <c r="BJ70" s="712"/>
      <c r="BK70" s="712"/>
      <c r="BL70" s="712"/>
      <c r="BM70" s="712"/>
      <c r="BN70" s="715"/>
      <c r="BO70" s="712"/>
      <c r="BP70" s="712"/>
      <c r="BQ70" s="712"/>
      <c r="BR70" s="712"/>
      <c r="BS70" s="715"/>
      <c r="BT70" s="712"/>
      <c r="BU70" s="712"/>
      <c r="BV70" s="712"/>
      <c r="BW70" s="712"/>
      <c r="BX70" s="715"/>
      <c r="BY70" s="712"/>
      <c r="BZ70" s="712"/>
      <c r="CA70" s="712"/>
      <c r="CB70" s="712"/>
      <c r="CC70" s="715"/>
      <c r="CD70" s="712"/>
      <c r="CE70" s="712"/>
      <c r="CF70" s="712"/>
      <c r="CG70" s="712"/>
      <c r="CH70" s="715"/>
      <c r="CI70" s="712"/>
      <c r="CJ70" s="712"/>
      <c r="CK70" s="712"/>
      <c r="CL70" s="712"/>
      <c r="CM70" s="715"/>
      <c r="CN70" s="712"/>
      <c r="CO70" s="712"/>
      <c r="CP70" s="712"/>
      <c r="CQ70" s="712"/>
      <c r="CR70" s="715"/>
      <c r="CS70" s="712"/>
      <c r="CT70" s="712"/>
      <c r="CU70" s="712"/>
      <c r="CV70" s="712"/>
      <c r="CW70" s="715"/>
      <c r="CX70" s="712"/>
      <c r="CY70" s="712"/>
      <c r="CZ70" s="712"/>
      <c r="DA70" s="712"/>
      <c r="DB70" s="715"/>
      <c r="DC70" s="712"/>
      <c r="DD70" s="712"/>
      <c r="DE70" s="712"/>
      <c r="DF70" s="712"/>
      <c r="DG70" s="715"/>
      <c r="DH70" s="712"/>
      <c r="DI70" s="712"/>
      <c r="DJ70" s="712"/>
      <c r="DK70" s="712"/>
      <c r="DL70" s="715"/>
      <c r="DM70" s="712"/>
      <c r="DN70" s="712"/>
      <c r="DO70" s="712"/>
      <c r="DP70" s="712"/>
      <c r="DQ70" s="715"/>
      <c r="DR70" s="722">
        <v>754</v>
      </c>
      <c r="DS70" s="722">
        <v>736</v>
      </c>
      <c r="DT70" s="722">
        <v>940</v>
      </c>
      <c r="DU70" s="722">
        <v>1122</v>
      </c>
      <c r="DV70" s="715"/>
      <c r="DW70" s="722">
        <v>1372</v>
      </c>
      <c r="DX70" s="722">
        <v>1588</v>
      </c>
      <c r="DY70" s="722">
        <v>1730</v>
      </c>
      <c r="DZ70" s="722">
        <v>2263</v>
      </c>
      <c r="EA70" s="715"/>
      <c r="EB70" s="722">
        <v>1872</v>
      </c>
      <c r="EC70" s="722">
        <v>1629</v>
      </c>
      <c r="ED70" s="722">
        <v>1778</v>
      </c>
      <c r="EE70" s="722">
        <v>2058</v>
      </c>
      <c r="EF70" s="715"/>
      <c r="EG70" s="722">
        <v>2248</v>
      </c>
      <c r="EH70" s="722">
        <v>2669</v>
      </c>
      <c r="EI70" s="722">
        <v>2927</v>
      </c>
      <c r="EJ70" s="722">
        <v>3273</v>
      </c>
      <c r="EK70" s="715"/>
      <c r="EL70" s="722">
        <v>3469</v>
      </c>
      <c r="EM70" s="722"/>
      <c r="EN70" s="722"/>
      <c r="EO70" s="722"/>
      <c r="EP70" s="715"/>
      <c r="EQ70" s="722"/>
      <c r="ER70" s="712"/>
      <c r="ES70" s="712"/>
      <c r="ET70" s="712"/>
      <c r="EU70" s="715"/>
      <c r="EV70" s="712"/>
      <c r="EW70" s="712"/>
      <c r="EX70" s="712"/>
      <c r="EY70" s="712"/>
      <c r="EZ70" s="715"/>
      <c r="FA70" s="712"/>
      <c r="FB70" s="712"/>
      <c r="FC70" s="712"/>
      <c r="FD70" s="712"/>
      <c r="FE70" s="715"/>
      <c r="FF70" s="712"/>
      <c r="FG70" s="712"/>
      <c r="FH70" s="712"/>
      <c r="FI70" s="712"/>
      <c r="FJ70" s="715"/>
      <c r="FK70" s="712"/>
      <c r="FL70" s="712"/>
      <c r="FM70" s="712"/>
      <c r="FN70" s="712"/>
      <c r="FO70" s="715"/>
      <c r="FP70" s="715"/>
    </row>
    <row r="71" spans="1:172">
      <c r="A71" s="716" t="s">
        <v>430</v>
      </c>
      <c r="B71" s="718"/>
      <c r="C71" s="718"/>
      <c r="D71" s="718"/>
      <c r="E71" s="718"/>
      <c r="F71" s="718"/>
      <c r="G71" s="718"/>
      <c r="H71" s="718"/>
      <c r="I71" s="718"/>
      <c r="J71" s="718"/>
      <c r="K71" s="718"/>
      <c r="L71" s="715">
        <f>L67/(L10+L11)*91</f>
        <v>30.091041657598051</v>
      </c>
      <c r="M71" s="715">
        <f>M67/(M10+M11)*91</f>
        <v>15.604489588623668</v>
      </c>
      <c r="N71" s="715">
        <f>N67/(N10+N11)*91</f>
        <v>18.816748021921864</v>
      </c>
      <c r="O71" s="715">
        <f>O67/(O10+O11)*91</f>
        <v>42.410841672446253</v>
      </c>
      <c r="P71" s="718"/>
      <c r="Q71" s="715">
        <f>Q67/(Q10+Q11)*91</f>
        <v>51.843271729714118</v>
      </c>
      <c r="R71" s="715">
        <f>R67/(R10+R11)*91</f>
        <v>58.863092638654187</v>
      </c>
      <c r="S71" s="715">
        <f>S67/(S10+S11)*91</f>
        <v>68.515225207028877</v>
      </c>
      <c r="T71" s="715">
        <f>T67/(T10+T11)*91</f>
        <v>60.019330653207348</v>
      </c>
      <c r="U71" s="718"/>
      <c r="V71" s="715">
        <f>V67/(V10+V11)*91</f>
        <v>53.82020557282295</v>
      </c>
      <c r="W71" s="715">
        <f>W67/(W10+W11)*91</f>
        <v>51.729998223755999</v>
      </c>
      <c r="X71" s="715">
        <f>X67/(X10+X11)*91</f>
        <v>47.36081690481538</v>
      </c>
      <c r="Y71" s="715">
        <f>Y67/(Y10+Y11)*91</f>
        <v>61.909131393199885</v>
      </c>
      <c r="Z71" s="718"/>
      <c r="AA71" s="715">
        <f>AA67/(AA10+AA11)*91</f>
        <v>61.498262096130304</v>
      </c>
      <c r="AB71" s="715">
        <f>AB67/(AB10+AB11)*91</f>
        <v>84.587257274832808</v>
      </c>
      <c r="AC71" s="715">
        <f>AC67/(AC10+AC11)*91</f>
        <v>57.927865361092316</v>
      </c>
      <c r="AD71" s="715">
        <f>AD67/(AD10+AD11)*91</f>
        <v>43.786818028012014</v>
      </c>
      <c r="AE71" s="718"/>
      <c r="AF71" s="715">
        <f>AF67/(AF10+AF11)*91</f>
        <v>54.186861340085841</v>
      </c>
      <c r="AG71" s="715">
        <f>AG67/(AG10+AG11)*91</f>
        <v>60.112701637355975</v>
      </c>
      <c r="AH71" s="715">
        <f>AH67/(AH10+AH11)*91</f>
        <v>67.439517755968396</v>
      </c>
      <c r="AI71" s="715">
        <f>AI67/(AI10+AI11)*91</f>
        <v>63.835772085027884</v>
      </c>
      <c r="AJ71" s="718"/>
      <c r="AK71" s="715">
        <f>AK67/(AK10+AK11)*91</f>
        <v>66.135828569129188</v>
      </c>
      <c r="AL71" s="715">
        <f>AL67/(AL10+AL11)*91</f>
        <v>76.892707489366003</v>
      </c>
      <c r="AM71" s="715">
        <f>AM67/(AM10+AM11)*91</f>
        <v>77.6185140275592</v>
      </c>
      <c r="AN71" s="715">
        <f>AN67/(AN10+AN11)*91</f>
        <v>77.046264567529192</v>
      </c>
      <c r="AO71" s="718"/>
      <c r="AP71" s="715">
        <f>AP67/(AP10+AP11)*91</f>
        <v>74.944055682070584</v>
      </c>
      <c r="AQ71" s="715">
        <f>AQ67/(AQ10+AQ11)*91</f>
        <v>76.654328002283933</v>
      </c>
      <c r="AR71" s="715">
        <f>AR67/(AR10+AR11)*91</f>
        <v>72.966350173259713</v>
      </c>
      <c r="AS71" s="715">
        <f>AS67/(AS10+AS11)*91</f>
        <v>61.229638158415952</v>
      </c>
      <c r="AT71" s="718"/>
      <c r="AU71" s="715">
        <f>AU67/(AU10+AU11)*91</f>
        <v>80.189505359495726</v>
      </c>
      <c r="AV71" s="715">
        <f>AV67/(AV10+AV11)*91</f>
        <v>87.149558285342863</v>
      </c>
      <c r="AW71" s="715">
        <f>AW67/(AW10+AW11)*91</f>
        <v>72.230367804857323</v>
      </c>
      <c r="AX71" s="715">
        <f>AX67/(AX10+AX11)*91</f>
        <v>65.446147045524128</v>
      </c>
      <c r="AY71" s="718"/>
      <c r="AZ71" s="715">
        <f>AZ67/(AZ10+AZ11)*91</f>
        <v>65.216647060597836</v>
      </c>
      <c r="BA71" s="715">
        <f>BA67/(BA10+BA11)*91</f>
        <v>49.179880726282661</v>
      </c>
      <c r="BB71" s="715">
        <f>BB67/(BB10+BB11)*91</f>
        <v>46.428283592536545</v>
      </c>
      <c r="BC71" s="715">
        <f>BC67/(BC10+BC11)*91</f>
        <v>49.952170538006811</v>
      </c>
      <c r="BD71" s="718"/>
      <c r="BE71" s="715">
        <f>BE67/(BE10+BE11)*91</f>
        <v>59.872782654315671</v>
      </c>
      <c r="BF71" s="715">
        <f>BF67/(BF10+BF11)*91</f>
        <v>71.940433975548856</v>
      </c>
      <c r="BG71" s="715">
        <f>BG67/(BG10+BG11)*91</f>
        <v>82.337972620149486</v>
      </c>
      <c r="BH71" s="715">
        <f>BH67/(BH10+BH11)*91</f>
        <v>144.17273193234237</v>
      </c>
      <c r="BI71" s="718"/>
      <c r="BJ71" s="715">
        <f>BJ67/(BJ10+BJ11)*91</f>
        <v>64.303800502242396</v>
      </c>
      <c r="BK71" s="715">
        <f>BK67/(BK10+BK11)*91</f>
        <v>50.837240198157673</v>
      </c>
      <c r="BL71" s="715">
        <f>BL67/(BL10+BL11)*91</f>
        <v>47.177815579846801</v>
      </c>
      <c r="BM71" s="715">
        <f>BM67/(BM10+BM11)*91</f>
        <v>55.338654239775479</v>
      </c>
      <c r="BN71" s="718"/>
      <c r="BO71" s="715">
        <f>BO67/(BO10+BO11)*91</f>
        <v>64.756724895313099</v>
      </c>
      <c r="BP71" s="715">
        <f>BP67/(BP10+BP11)*91</f>
        <v>79.711163290789386</v>
      </c>
      <c r="BQ71" s="715">
        <f>BQ67/(BQ10+BQ11)*91</f>
        <v>76.08917118512781</v>
      </c>
      <c r="BR71" s="715">
        <f>BR67/(BR10+BR11)*91</f>
        <v>68.351332668140529</v>
      </c>
      <c r="BS71" s="718"/>
      <c r="BT71" s="715">
        <f>BT67/(BT10+BT11)*91</f>
        <v>72.597090062319907</v>
      </c>
      <c r="BU71" s="715">
        <f>BU67/(BU10+BU11)*91</f>
        <v>67.04333992219577</v>
      </c>
      <c r="BV71" s="715">
        <f>BV67/(BV10+BV11)*91</f>
        <v>57.087132922312307</v>
      </c>
      <c r="BW71" s="715">
        <f>BW67/(BW10+BW11)*91</f>
        <v>67.927873721431695</v>
      </c>
      <c r="BX71" s="718"/>
      <c r="BY71" s="715">
        <f>BY67/(BY10+BY11)*91</f>
        <v>67.574124672544443</v>
      </c>
      <c r="BZ71" s="715">
        <f>BZ67/(BZ10+BZ11)*91</f>
        <v>69.970737820002341</v>
      </c>
      <c r="CA71" s="715">
        <f>CA67/(CA10+CA11)*91</f>
        <v>68.794282159548303</v>
      </c>
      <c r="CB71" s="715">
        <f>CB67/(CB10+CB11)*91</f>
        <v>73.261895261845396</v>
      </c>
      <c r="CC71" s="718"/>
      <c r="CD71" s="715">
        <f>CD67/(CD10+CD11)*91</f>
        <v>78.77948556873335</v>
      </c>
      <c r="CE71" s="715">
        <f>CE67/(CE10+CE11)*91</f>
        <v>80.164597936703856</v>
      </c>
      <c r="CF71" s="715">
        <f>CF67/(CF10+CF11)*91</f>
        <v>73.706488312263602</v>
      </c>
      <c r="CG71" s="715">
        <f>CG67/(CG10+CG11)*91</f>
        <v>66.414612616410821</v>
      </c>
      <c r="CH71" s="718"/>
      <c r="CI71" s="715">
        <f>CI67/(CI10+CI11)*91</f>
        <v>71.780097676424276</v>
      </c>
      <c r="CJ71" s="715">
        <f>CJ67/(CJ10+CJ11)*91</f>
        <v>72.866578485067691</v>
      </c>
      <c r="CK71" s="715">
        <f>CK67/(CK10+CK11)*91</f>
        <v>67.680798054982475</v>
      </c>
      <c r="CL71" s="715">
        <f>CL67/(CL10+CL11)*91</f>
        <v>79.764722432480013</v>
      </c>
      <c r="CM71" s="718"/>
      <c r="CN71" s="715">
        <f>CN67/(CN10+CN11)*91</f>
        <v>80.036144578313241</v>
      </c>
      <c r="CO71" s="715">
        <f>CO67/(CO10+CO11)*91</f>
        <v>79.625</v>
      </c>
      <c r="CP71" s="715">
        <f>CP67/(CP10+CP11)*91</f>
        <v>67.732049036777582</v>
      </c>
      <c r="CQ71" s="715">
        <f>CQ67/(CQ10+CQ11)*91</f>
        <v>62.872727272727275</v>
      </c>
      <c r="CR71" s="718"/>
      <c r="CS71" s="715">
        <f>CS67/(CS10+CS11)*91</f>
        <v>65.908088235294116</v>
      </c>
      <c r="CT71" s="715">
        <f>CT67/(CT10+CT11)*91</f>
        <v>78.755813953488371</v>
      </c>
      <c r="CU71" s="715">
        <f>CU67/(CU10+CU11)*91</f>
        <v>75.260657734470158</v>
      </c>
      <c r="CV71" s="715">
        <f>CV67/(CV10+CV11)*91</f>
        <v>83.05057471264368</v>
      </c>
      <c r="CW71" s="718"/>
      <c r="CX71" s="715">
        <f>CX67/(CX10+CX11)*91</f>
        <v>94.931385006353239</v>
      </c>
      <c r="CY71" s="715">
        <f>CY67/(CY10+CY11)*91</f>
        <v>83.841594827586206</v>
      </c>
      <c r="CZ71" s="715">
        <f>CZ67/(CZ10+CZ11)*91</f>
        <v>73.089971883786319</v>
      </c>
      <c r="DA71" s="715">
        <f>DA67/(DA10+DA11)*91</f>
        <v>65.316501352569873</v>
      </c>
      <c r="DB71" s="718"/>
      <c r="DC71" s="715">
        <f>DC67/(DC10+DC11)*91</f>
        <v>63.676031606672524</v>
      </c>
      <c r="DD71" s="715">
        <f>DD67/(DD10+DD11)*91</f>
        <v>86.402439024390247</v>
      </c>
      <c r="DE71" s="715">
        <f>DE67/(DE10+DE11)*91</f>
        <v>103.48876404494382</v>
      </c>
      <c r="DF71" s="715">
        <f>DF67/(DF10+DF11)*91</f>
        <v>146.69907881269191</v>
      </c>
      <c r="DG71" s="718"/>
      <c r="DH71" s="715">
        <f>DH67/(DH10+DH11)*91</f>
        <v>141.97592997811816</v>
      </c>
      <c r="DI71" s="715">
        <f>DI67/(DI10+DI11)*91</f>
        <v>105.75675675675674</v>
      </c>
      <c r="DJ71" s="715">
        <f>DJ67/(DJ10+DJ11)*91</f>
        <v>86.773224043715842</v>
      </c>
      <c r="DK71" s="715">
        <f>DK67/(DK10+DK11)*91</f>
        <v>81.958601655933762</v>
      </c>
      <c r="DL71" s="718"/>
      <c r="DM71" s="715">
        <f>DM67/(DM10+DM11)*91</f>
        <v>95.486511627906978</v>
      </c>
      <c r="DN71" s="715">
        <f>DN67/(DN10+DN11)*91</f>
        <v>95.930022573363445</v>
      </c>
      <c r="DO71" s="715">
        <f>DO67/(DO10+DO11)*91</f>
        <v>82.004219409282697</v>
      </c>
      <c r="DP71" s="715">
        <f>DP67/(DP10+DP11)*91</f>
        <v>94.789503707929271</v>
      </c>
      <c r="DQ71" s="718"/>
      <c r="DR71" s="715">
        <f>DR67/(DR10+DR11)*91</f>
        <v>93.439175257731947</v>
      </c>
      <c r="DS71" s="715">
        <f>DS67/(DS10+DS11)*91</f>
        <v>87.363306085376934</v>
      </c>
      <c r="DT71" s="715">
        <f>DT67/(DT10+DT11)*91</f>
        <v>85.164710813076283</v>
      </c>
      <c r="DU71" s="715">
        <f>DU67/(DU10+DU11)*91</f>
        <v>92.672009382329946</v>
      </c>
      <c r="DV71" s="718"/>
      <c r="DW71" s="715">
        <f>DW67/(DW10+DW11)*91</f>
        <v>104.17408613825552</v>
      </c>
      <c r="DX71" s="715">
        <f>DX67/(DX10+DX11)*91</f>
        <v>96.482824427480921</v>
      </c>
      <c r="DY71" s="715">
        <f>DY67/(DY10+DY11)*91</f>
        <v>153.87775246772969</v>
      </c>
      <c r="DZ71" s="715">
        <f>DZ67/(DZ10+DZ11)*91</f>
        <v>225.48943323727184</v>
      </c>
      <c r="EA71" s="718"/>
      <c r="EB71" s="715">
        <f>EB67/(EB10+EB11)*91</f>
        <v>173.60405461315682</v>
      </c>
      <c r="EC71" s="715">
        <f>EC67/(EC10+EC11)*91</f>
        <v>100.16029561671763</v>
      </c>
      <c r="ED71" s="715">
        <f>ED67/(ED10+ED11)*91</f>
        <v>95.057704918032783</v>
      </c>
      <c r="EE71" s="715">
        <f>EE67/(EE10+EE11)*91</f>
        <v>92.63095008672191</v>
      </c>
      <c r="EF71" s="718"/>
      <c r="EG71" s="715">
        <f>EG67/(EG10+EG11)*91</f>
        <v>96.671014492753628</v>
      </c>
      <c r="EH71" s="715">
        <f>EH67/(EH10+EH11)*91</f>
        <v>82.631614746293025</v>
      </c>
      <c r="EI71" s="715">
        <f>EI67/(EI10+EI11)*91</f>
        <v>79.0594778660613</v>
      </c>
      <c r="EJ71" s="715">
        <f>EJ67/(EJ10+EJ11)*91</f>
        <v>87.443279313632033</v>
      </c>
      <c r="EK71" s="718"/>
      <c r="EL71" s="715">
        <f>EL67/(EL10+EL11)*91</f>
        <v>59.723361130414645</v>
      </c>
      <c r="EM71" s="715">
        <f>EM67/(EM10+EM11)*91</f>
        <v>106.03083871972588</v>
      </c>
      <c r="EN71" s="715">
        <f>EN67/(EN10+EN11)*91</f>
        <v>119.15705870673108</v>
      </c>
      <c r="EO71" s="715">
        <f>EO67/(EO10+EO11)*91</f>
        <v>114.65667863660445</v>
      </c>
      <c r="EP71" s="718"/>
      <c r="EQ71" s="715">
        <f>EQ67/(EQ10+EQ11)*91</f>
        <v>115.17082863170289</v>
      </c>
      <c r="ER71" s="719">
        <v>115</v>
      </c>
      <c r="ES71" s="719">
        <v>115</v>
      </c>
      <c r="ET71" s="719">
        <v>110</v>
      </c>
      <c r="EU71" s="718"/>
      <c r="EV71" s="719">
        <v>110</v>
      </c>
      <c r="EW71" s="719">
        <v>110</v>
      </c>
      <c r="EX71" s="719">
        <v>110</v>
      </c>
      <c r="EY71" s="719">
        <v>105</v>
      </c>
      <c r="EZ71" s="718"/>
      <c r="FA71" s="719">
        <v>110</v>
      </c>
      <c r="FB71" s="719">
        <v>110</v>
      </c>
      <c r="FC71" s="719">
        <v>110</v>
      </c>
      <c r="FD71" s="719">
        <v>105</v>
      </c>
      <c r="FE71" s="718"/>
      <c r="FF71" s="719">
        <v>110</v>
      </c>
      <c r="FG71" s="719">
        <v>110</v>
      </c>
      <c r="FH71" s="719">
        <v>110</v>
      </c>
      <c r="FI71" s="719">
        <v>105</v>
      </c>
      <c r="FJ71" s="718"/>
      <c r="FK71" s="719">
        <v>110</v>
      </c>
      <c r="FL71" s="719">
        <v>110</v>
      </c>
      <c r="FM71" s="719">
        <v>110</v>
      </c>
      <c r="FN71" s="719">
        <v>105</v>
      </c>
      <c r="FO71" s="718"/>
      <c r="FP71" s="718"/>
    </row>
    <row r="72" spans="1:172">
      <c r="A72" s="171" t="s">
        <v>431</v>
      </c>
      <c r="B72" s="665"/>
      <c r="C72" s="665"/>
      <c r="D72" s="665"/>
      <c r="E72" s="665"/>
      <c r="F72" s="665"/>
      <c r="G72" s="665"/>
      <c r="H72" s="665"/>
      <c r="I72" s="665"/>
      <c r="J72" s="665"/>
      <c r="K72" s="714"/>
      <c r="L72" s="199">
        <v>2.16</v>
      </c>
      <c r="M72" s="199">
        <v>2.746</v>
      </c>
      <c r="N72" s="199">
        <v>4.2089999999999996</v>
      </c>
      <c r="O72" s="199">
        <v>6.76</v>
      </c>
      <c r="P72" s="715">
        <f>O72</f>
        <v>6.76</v>
      </c>
      <c r="Q72" s="199">
        <v>16.187000000000001</v>
      </c>
      <c r="R72" s="199">
        <v>24.504000000000001</v>
      </c>
      <c r="S72" s="199">
        <v>33.313000000000002</v>
      </c>
      <c r="T72" s="199">
        <v>36.741</v>
      </c>
      <c r="U72" s="715">
        <f>T72</f>
        <v>36.741</v>
      </c>
      <c r="V72" s="199">
        <v>51.903000000000006</v>
      </c>
      <c r="W72" s="199">
        <v>54.146000000000001</v>
      </c>
      <c r="X72" s="199">
        <v>44.57</v>
      </c>
      <c r="Y72" s="199">
        <f>8.078+66.429</f>
        <v>74.507000000000005</v>
      </c>
      <c r="Z72" s="715">
        <f>Y72</f>
        <v>74.507000000000005</v>
      </c>
      <c r="AA72" s="199">
        <v>78.311000000000007</v>
      </c>
      <c r="AB72" s="199">
        <v>79.680999999999997</v>
      </c>
      <c r="AC72" s="199">
        <f>13.386+66.429</f>
        <v>79.814999999999998</v>
      </c>
      <c r="AD72" s="199">
        <f>12.393+11.249</f>
        <v>23.642000000000003</v>
      </c>
      <c r="AE72" s="715">
        <f>AD72</f>
        <v>23.642000000000003</v>
      </c>
      <c r="AF72" s="199">
        <f>17.666+11.249</f>
        <v>28.914999999999999</v>
      </c>
      <c r="AG72" s="199">
        <f>15.135+11.249</f>
        <v>26.384</v>
      </c>
      <c r="AH72" s="199">
        <f>15.354+11.966</f>
        <v>27.32</v>
      </c>
      <c r="AI72" s="199">
        <f>14.539+3.261</f>
        <v>17.8</v>
      </c>
      <c r="AJ72" s="715">
        <f>AI72</f>
        <v>17.8</v>
      </c>
      <c r="AK72" s="199">
        <f>16.289+3.261</f>
        <v>19.55</v>
      </c>
      <c r="AL72" s="199">
        <f>16.328+3.261</f>
        <v>19.588999999999999</v>
      </c>
      <c r="AM72" s="199">
        <v>18.341000000000001</v>
      </c>
      <c r="AN72" s="199">
        <f>19.819+3.265</f>
        <v>23.084</v>
      </c>
      <c r="AO72" s="715">
        <f>AN72</f>
        <v>23.084</v>
      </c>
      <c r="AP72" s="199">
        <f>21.869+3.265</f>
        <v>25.134</v>
      </c>
      <c r="AQ72" s="199">
        <f>24.756+3.265</f>
        <v>28.021000000000001</v>
      </c>
      <c r="AR72" s="712">
        <f>23.949+3.265</f>
        <v>27.214000000000002</v>
      </c>
      <c r="AS72" s="712">
        <f>24.387+1.393</f>
        <v>25.78</v>
      </c>
      <c r="AT72" s="715">
        <f>AS72</f>
        <v>25.78</v>
      </c>
      <c r="AU72" s="712">
        <f>28.545+2.682</f>
        <v>31.227</v>
      </c>
      <c r="AV72" s="712">
        <f>34.143+2.682</f>
        <v>36.825000000000003</v>
      </c>
      <c r="AW72" s="712">
        <f>36.801+2.682</f>
        <v>39.483000000000004</v>
      </c>
      <c r="AX72" s="712">
        <f>31.141+9.419</f>
        <v>40.56</v>
      </c>
      <c r="AY72" s="715">
        <f>AX72</f>
        <v>40.56</v>
      </c>
      <c r="AZ72" s="712">
        <v>43.055</v>
      </c>
      <c r="BA72" s="712">
        <v>41.101999999999997</v>
      </c>
      <c r="BB72" s="712">
        <v>44.551000000000002</v>
      </c>
      <c r="BC72" s="712">
        <v>54.335999999999999</v>
      </c>
      <c r="BD72" s="715">
        <f>BC72</f>
        <v>54.335999999999999</v>
      </c>
      <c r="BE72" s="712">
        <v>55.427999999999997</v>
      </c>
      <c r="BF72" s="712">
        <v>45.293999999999997</v>
      </c>
      <c r="BG72" s="712">
        <v>43.389000000000003</v>
      </c>
      <c r="BH72" s="712">
        <v>56.298999999999999</v>
      </c>
      <c r="BI72" s="715">
        <f>BH72</f>
        <v>56.298999999999999</v>
      </c>
      <c r="BJ72" s="712">
        <v>50.884999999999998</v>
      </c>
      <c r="BK72" s="712">
        <v>70.623999999999995</v>
      </c>
      <c r="BL72" s="712">
        <v>48.173999999999999</v>
      </c>
      <c r="BM72" s="712">
        <v>46.966000000000001</v>
      </c>
      <c r="BN72" s="715">
        <f>BM72</f>
        <v>46.966000000000001</v>
      </c>
      <c r="BO72" s="712">
        <v>44.281999999999996</v>
      </c>
      <c r="BP72" s="712">
        <v>53.301000000000002</v>
      </c>
      <c r="BQ72" s="712">
        <v>43.167999999999999</v>
      </c>
      <c r="BR72" s="712">
        <v>42.091999999999999</v>
      </c>
      <c r="BS72" s="715">
        <f>BR72</f>
        <v>42.091999999999999</v>
      </c>
      <c r="BT72" s="712">
        <v>46.055999999999997</v>
      </c>
      <c r="BU72" s="712">
        <v>61.206000000000003</v>
      </c>
      <c r="BV72" s="712">
        <v>60.853999999999999</v>
      </c>
      <c r="BW72" s="712">
        <v>99.341999999999999</v>
      </c>
      <c r="BX72" s="715">
        <f>BW72</f>
        <v>99.341999999999999</v>
      </c>
      <c r="BY72" s="712">
        <v>147.44200000000001</v>
      </c>
      <c r="BZ72" s="712">
        <v>103.254</v>
      </c>
      <c r="CA72" s="712">
        <v>116.128</v>
      </c>
      <c r="CB72" s="712">
        <v>173.43700000000001</v>
      </c>
      <c r="CC72" s="715">
        <f>CB72</f>
        <v>173.43700000000001</v>
      </c>
      <c r="CD72" s="712">
        <v>168.67</v>
      </c>
      <c r="CE72" s="712">
        <v>190.31200000000001</v>
      </c>
      <c r="CF72" s="712">
        <v>188.93700000000001</v>
      </c>
      <c r="CG72" s="712">
        <v>138.779</v>
      </c>
      <c r="CH72" s="715">
        <f>CG72</f>
        <v>138.779</v>
      </c>
      <c r="CI72" s="712">
        <f>71.067+65.196</f>
        <v>136.26299999999998</v>
      </c>
      <c r="CJ72" s="712">
        <f>67.776+66.697</f>
        <v>134.47300000000001</v>
      </c>
      <c r="CK72" s="712">
        <v>128.83099999999999</v>
      </c>
      <c r="CL72" s="712">
        <v>133.428</v>
      </c>
      <c r="CM72" s="715">
        <f>CL72</f>
        <v>133.428</v>
      </c>
      <c r="CN72" s="712">
        <v>147</v>
      </c>
      <c r="CO72" s="712">
        <v>148</v>
      </c>
      <c r="CP72" s="712">
        <f>93+52</f>
        <v>145</v>
      </c>
      <c r="CQ72" s="712">
        <v>93</v>
      </c>
      <c r="CR72" s="715">
        <f>CQ72</f>
        <v>93</v>
      </c>
      <c r="CS72" s="712">
        <v>119</v>
      </c>
      <c r="CT72" s="712">
        <v>112</v>
      </c>
      <c r="CU72" s="712">
        <v>124</v>
      </c>
      <c r="CV72" s="712">
        <v>118</v>
      </c>
      <c r="CW72" s="715">
        <f>CV72</f>
        <v>118</v>
      </c>
      <c r="CX72" s="712">
        <v>113</v>
      </c>
      <c r="CY72" s="712">
        <v>125</v>
      </c>
      <c r="CZ72" s="712">
        <v>135</v>
      </c>
      <c r="DA72" s="712">
        <v>86</v>
      </c>
      <c r="DB72" s="715">
        <f>DA72</f>
        <v>86</v>
      </c>
      <c r="DC72" s="712">
        <v>131</v>
      </c>
      <c r="DD72" s="712">
        <v>136</v>
      </c>
      <c r="DE72" s="712">
        <v>159</v>
      </c>
      <c r="DF72" s="712">
        <v>136</v>
      </c>
      <c r="DG72" s="715">
        <f>DF72</f>
        <v>136</v>
      </c>
      <c r="DH72" s="712">
        <v>159</v>
      </c>
      <c r="DI72" s="712">
        <v>151</v>
      </c>
      <c r="DJ72" s="712">
        <v>149</v>
      </c>
      <c r="DK72" s="712">
        <v>157</v>
      </c>
      <c r="DL72" s="715">
        <f>DK72</f>
        <v>157</v>
      </c>
      <c r="DM72" s="712">
        <v>195</v>
      </c>
      <c r="DN72" s="712">
        <v>215</v>
      </c>
      <c r="DO72" s="712">
        <v>213</v>
      </c>
      <c r="DP72" s="712">
        <v>239</v>
      </c>
      <c r="DQ72" s="715">
        <f>DP72</f>
        <v>239</v>
      </c>
      <c r="DR72" s="712">
        <v>444</v>
      </c>
      <c r="DS72" s="712">
        <v>452</v>
      </c>
      <c r="DT72" s="712">
        <v>321</v>
      </c>
      <c r="DU72" s="712">
        <v>366</v>
      </c>
      <c r="DV72" s="715">
        <f>DU72</f>
        <v>366</v>
      </c>
      <c r="DW72" s="712">
        <v>636</v>
      </c>
      <c r="DX72" s="712">
        <v>1175</v>
      </c>
      <c r="DY72" s="712">
        <v>718</v>
      </c>
      <c r="DZ72" s="712">
        <v>791</v>
      </c>
      <c r="EA72" s="715">
        <f>DZ72</f>
        <v>791</v>
      </c>
      <c r="EB72" s="712">
        <v>872</v>
      </c>
      <c r="EC72" s="712">
        <v>1389</v>
      </c>
      <c r="ED72" s="712">
        <v>1289</v>
      </c>
      <c r="EE72" s="712">
        <v>3080</v>
      </c>
      <c r="EF72" s="715">
        <f>EE72</f>
        <v>3080</v>
      </c>
      <c r="EG72" s="712">
        <v>4062</v>
      </c>
      <c r="EH72" s="712">
        <v>4026</v>
      </c>
      <c r="EI72" s="712">
        <v>3806</v>
      </c>
      <c r="EJ72" s="712">
        <v>3771</v>
      </c>
      <c r="EK72" s="715">
        <f>EJ72</f>
        <v>3771</v>
      </c>
      <c r="EL72" s="712">
        <v>2779</v>
      </c>
      <c r="EM72" s="712">
        <v>2658</v>
      </c>
      <c r="EN72" s="712">
        <v>2709</v>
      </c>
      <c r="EO72" s="712">
        <v>3180</v>
      </c>
      <c r="EP72" s="715">
        <f>EO72</f>
        <v>3180</v>
      </c>
      <c r="EQ72" s="712">
        <v>3916</v>
      </c>
      <c r="ER72" s="712">
        <f>EQ72</f>
        <v>3916</v>
      </c>
      <c r="ES72" s="712">
        <f>ER72</f>
        <v>3916</v>
      </c>
      <c r="ET72" s="712">
        <f>ES72</f>
        <v>3916</v>
      </c>
      <c r="EU72" s="715">
        <f>ET72</f>
        <v>3916</v>
      </c>
      <c r="EV72" s="712">
        <f>ET72</f>
        <v>3916</v>
      </c>
      <c r="EW72" s="712">
        <f>EV72</f>
        <v>3916</v>
      </c>
      <c r="EX72" s="712">
        <f>EW72</f>
        <v>3916</v>
      </c>
      <c r="EY72" s="712">
        <f>EX72</f>
        <v>3916</v>
      </c>
      <c r="EZ72" s="715">
        <f>EY72</f>
        <v>3916</v>
      </c>
      <c r="FA72" s="712">
        <f>EY72</f>
        <v>3916</v>
      </c>
      <c r="FB72" s="712">
        <f>FA72</f>
        <v>3916</v>
      </c>
      <c r="FC72" s="712">
        <f>FB72</f>
        <v>3916</v>
      </c>
      <c r="FD72" s="712">
        <f>FC72</f>
        <v>3916</v>
      </c>
      <c r="FE72" s="715">
        <f>FD72</f>
        <v>3916</v>
      </c>
      <c r="FF72" s="712">
        <f>FD72</f>
        <v>3916</v>
      </c>
      <c r="FG72" s="712">
        <f>FF72</f>
        <v>3916</v>
      </c>
      <c r="FH72" s="712">
        <f>FG72</f>
        <v>3916</v>
      </c>
      <c r="FI72" s="712">
        <f>FH72</f>
        <v>3916</v>
      </c>
      <c r="FJ72" s="715">
        <f>FI72</f>
        <v>3916</v>
      </c>
      <c r="FK72" s="712">
        <f>FI72</f>
        <v>3916</v>
      </c>
      <c r="FL72" s="712">
        <f>FK72</f>
        <v>3916</v>
      </c>
      <c r="FM72" s="712">
        <f>FL72</f>
        <v>3916</v>
      </c>
      <c r="FN72" s="712">
        <f>FM72</f>
        <v>3916</v>
      </c>
      <c r="FO72" s="715">
        <f>FN72</f>
        <v>3916</v>
      </c>
      <c r="FP72" s="715"/>
    </row>
    <row r="73" spans="1:172">
      <c r="B73" s="665"/>
      <c r="C73" s="665"/>
      <c r="D73" s="665"/>
      <c r="E73" s="665"/>
      <c r="F73" s="665"/>
      <c r="G73" s="665"/>
      <c r="H73" s="665"/>
      <c r="I73" s="665"/>
      <c r="J73" s="665"/>
      <c r="K73" s="149"/>
      <c r="L73" s="199"/>
      <c r="M73" s="199"/>
      <c r="N73" s="199"/>
      <c r="O73" s="199"/>
      <c r="P73" s="712"/>
      <c r="Q73" s="199"/>
      <c r="R73" s="199"/>
      <c r="S73" s="199"/>
      <c r="T73" s="199"/>
      <c r="U73" s="712"/>
      <c r="V73" s="199"/>
      <c r="W73" s="199"/>
      <c r="X73" s="199"/>
      <c r="Y73" s="199"/>
      <c r="Z73" s="712"/>
      <c r="AA73" s="199"/>
      <c r="AB73" s="199"/>
      <c r="AC73" s="199"/>
      <c r="AD73" s="199"/>
      <c r="AE73" s="712"/>
      <c r="AF73" s="199"/>
      <c r="AG73" s="199"/>
      <c r="AH73" s="199"/>
      <c r="AI73" s="199"/>
      <c r="AJ73" s="712"/>
      <c r="AK73" s="199"/>
      <c r="AL73" s="199"/>
      <c r="AM73" s="712"/>
      <c r="AN73" s="712"/>
      <c r="AO73" s="712"/>
      <c r="AP73" s="712"/>
      <c r="AQ73" s="712"/>
      <c r="AR73" s="712"/>
      <c r="AS73" s="712"/>
      <c r="AT73" s="712"/>
      <c r="AU73" s="712"/>
      <c r="AV73" s="712"/>
      <c r="AW73" s="712"/>
      <c r="AX73" s="712"/>
      <c r="AY73" s="712"/>
      <c r="AZ73" s="712"/>
      <c r="BA73" s="712"/>
      <c r="BB73" s="712"/>
      <c r="BC73" s="712"/>
      <c r="BD73" s="712"/>
      <c r="BE73" s="712"/>
      <c r="BF73" s="712"/>
      <c r="BG73" s="712"/>
      <c r="BH73" s="712"/>
      <c r="BI73" s="712"/>
      <c r="BJ73" s="712"/>
      <c r="BK73" s="712"/>
      <c r="BL73" s="712"/>
      <c r="BM73" s="712"/>
      <c r="BN73" s="712"/>
      <c r="BO73" s="712"/>
      <c r="BP73" s="712"/>
      <c r="BQ73" s="712"/>
      <c r="BR73" s="712"/>
      <c r="BS73" s="712"/>
      <c r="BT73" s="712"/>
      <c r="BU73" s="712"/>
      <c r="BV73" s="712"/>
      <c r="BW73" s="712"/>
      <c r="BX73" s="712"/>
      <c r="BY73" s="712"/>
      <c r="BZ73" s="712"/>
      <c r="CA73" s="712"/>
      <c r="CB73" s="712"/>
      <c r="CC73" s="712"/>
      <c r="CD73" s="712"/>
      <c r="CE73" s="712"/>
      <c r="CF73" s="712"/>
      <c r="CG73" s="712"/>
      <c r="CH73" s="712"/>
      <c r="CI73" s="712"/>
      <c r="CJ73" s="712"/>
      <c r="CK73" s="712"/>
      <c r="CL73" s="712"/>
      <c r="CM73" s="712"/>
      <c r="CN73" s="712"/>
      <c r="CO73" s="712"/>
      <c r="CP73" s="712"/>
      <c r="CQ73" s="712"/>
      <c r="CR73" s="712"/>
      <c r="CS73" s="712"/>
      <c r="CT73" s="712"/>
      <c r="CU73" s="712"/>
      <c r="CV73" s="712"/>
      <c r="CW73" s="712"/>
      <c r="CX73" s="712"/>
      <c r="CY73" s="712"/>
      <c r="CZ73" s="712"/>
      <c r="DA73" s="712"/>
      <c r="DB73" s="712"/>
      <c r="DC73" s="712"/>
      <c r="DD73" s="712"/>
      <c r="DE73" s="712"/>
      <c r="DF73" s="712"/>
      <c r="DG73" s="712"/>
      <c r="DH73" s="712"/>
      <c r="DI73" s="184"/>
      <c r="DJ73" s="712"/>
      <c r="DK73" s="712"/>
      <c r="DL73" s="712"/>
      <c r="DM73" s="712"/>
      <c r="DN73" s="712"/>
      <c r="DO73" s="712"/>
      <c r="DP73" s="712"/>
      <c r="DQ73" s="712"/>
      <c r="DR73" s="712"/>
      <c r="DS73" s="712"/>
      <c r="DT73" s="712"/>
      <c r="DU73" s="712"/>
      <c r="DV73" s="712"/>
      <c r="DW73" s="712"/>
      <c r="DX73" s="712"/>
      <c r="DY73" s="712"/>
      <c r="DZ73" s="712"/>
      <c r="EA73" s="712"/>
      <c r="EB73" s="712"/>
      <c r="EC73" s="712"/>
      <c r="ED73" s="712"/>
      <c r="EE73" s="712"/>
      <c r="EF73" s="712"/>
      <c r="EG73" s="712"/>
      <c r="EH73" s="712"/>
      <c r="EI73" s="712"/>
      <c r="EJ73" s="712"/>
      <c r="EK73" s="712"/>
      <c r="EL73" s="712"/>
      <c r="EM73" s="712"/>
      <c r="EN73" s="712"/>
      <c r="EO73" s="712"/>
      <c r="EP73" s="712"/>
      <c r="EQ73" s="712"/>
      <c r="ER73" s="712"/>
      <c r="ES73" s="712"/>
      <c r="ET73" s="712"/>
      <c r="EU73" s="712"/>
      <c r="EV73" s="712"/>
      <c r="EW73" s="712"/>
      <c r="EX73" s="712"/>
      <c r="EY73" s="712"/>
      <c r="EZ73" s="712"/>
      <c r="FA73" s="712"/>
      <c r="FB73" s="712"/>
      <c r="FC73" s="712"/>
      <c r="FD73" s="712"/>
      <c r="FE73" s="712"/>
      <c r="FF73" s="712"/>
      <c r="FG73" s="712"/>
      <c r="FH73" s="712"/>
      <c r="FI73" s="712"/>
      <c r="FJ73" s="712"/>
      <c r="FK73" s="712"/>
      <c r="FL73" s="712"/>
      <c r="FM73" s="712"/>
      <c r="FN73" s="712"/>
      <c r="FO73" s="712"/>
      <c r="FP73" s="712"/>
    </row>
    <row r="74" spans="1:172" s="169" customFormat="1">
      <c r="A74" s="147" t="s">
        <v>432</v>
      </c>
      <c r="B74" s="723"/>
      <c r="C74" s="723"/>
      <c r="D74" s="723"/>
      <c r="E74" s="723"/>
      <c r="F74" s="723"/>
      <c r="G74" s="723"/>
      <c r="H74" s="723"/>
      <c r="I74" s="723"/>
      <c r="J74" s="723"/>
      <c r="K74" s="714"/>
      <c r="L74" s="199">
        <f t="shared" ref="L74:S74" si="61">L62+L64+L65+L67+L72</f>
        <v>103.37499999999999</v>
      </c>
      <c r="M74" s="199">
        <f t="shared" si="61"/>
        <v>108.123</v>
      </c>
      <c r="N74" s="199">
        <f t="shared" si="61"/>
        <v>127.562</v>
      </c>
      <c r="O74" s="199">
        <f t="shared" si="61"/>
        <v>173.17499999999998</v>
      </c>
      <c r="P74" s="715">
        <f>O74</f>
        <v>173.17499999999998</v>
      </c>
      <c r="Q74" s="199">
        <f t="shared" si="61"/>
        <v>413.226</v>
      </c>
      <c r="R74" s="199">
        <f t="shared" si="61"/>
        <v>466.93599999999998</v>
      </c>
      <c r="S74" s="199">
        <f t="shared" si="61"/>
        <v>925.74</v>
      </c>
      <c r="T74" s="199">
        <f t="shared" ref="T74:BW74" si="62">T62+T63+T64+T65+T67+T72</f>
        <v>930.40899999999988</v>
      </c>
      <c r="U74" s="715">
        <f>T74</f>
        <v>930.40899999999988</v>
      </c>
      <c r="V74" s="199">
        <f t="shared" si="62"/>
        <v>880.65300000000002</v>
      </c>
      <c r="W74" s="199">
        <f t="shared" si="62"/>
        <v>965.7299999999999</v>
      </c>
      <c r="X74" s="199">
        <f t="shared" si="62"/>
        <v>1006.937</v>
      </c>
      <c r="Y74" s="199">
        <f t="shared" si="62"/>
        <v>1234.1089999999999</v>
      </c>
      <c r="Z74" s="715">
        <f>Y74</f>
        <v>1234.1089999999999</v>
      </c>
      <c r="AA74" s="199">
        <f t="shared" si="62"/>
        <v>1319.0639999999999</v>
      </c>
      <c r="AB74" s="199">
        <f t="shared" si="62"/>
        <v>1324.48</v>
      </c>
      <c r="AC74" s="199">
        <f t="shared" si="62"/>
        <v>1346.2960000000003</v>
      </c>
      <c r="AD74" s="199">
        <f t="shared" si="62"/>
        <v>1351.6020000000001</v>
      </c>
      <c r="AE74" s="715">
        <f>AD74</f>
        <v>1351.6020000000001</v>
      </c>
      <c r="AF74" s="199">
        <f t="shared" si="62"/>
        <v>1400.789</v>
      </c>
      <c r="AG74" s="199">
        <f t="shared" si="62"/>
        <v>1446.0429999999999</v>
      </c>
      <c r="AH74" s="199">
        <f t="shared" si="62"/>
        <v>1058.1039999999998</v>
      </c>
      <c r="AI74" s="199">
        <f t="shared" si="62"/>
        <v>1052.712</v>
      </c>
      <c r="AJ74" s="715">
        <f>AI74</f>
        <v>1052.712</v>
      </c>
      <c r="AK74" s="199">
        <f t="shared" si="62"/>
        <v>1116.9569999999999</v>
      </c>
      <c r="AL74" s="199">
        <f t="shared" si="62"/>
        <v>1146.2939999999999</v>
      </c>
      <c r="AM74" s="199">
        <f t="shared" si="62"/>
        <v>1211.1509999999998</v>
      </c>
      <c r="AN74" s="199">
        <f t="shared" si="62"/>
        <v>1304.9260000000002</v>
      </c>
      <c r="AO74" s="715">
        <f>AN74</f>
        <v>1304.9260000000002</v>
      </c>
      <c r="AP74" s="199">
        <f t="shared" si="62"/>
        <v>1319.6569999999999</v>
      </c>
      <c r="AQ74" s="712">
        <f t="shared" si="62"/>
        <v>1401.9149999999997</v>
      </c>
      <c r="AR74" s="712">
        <f t="shared" si="62"/>
        <v>1449.9759999999999</v>
      </c>
      <c r="AS74" s="712">
        <f t="shared" si="62"/>
        <v>1548.9319999999998</v>
      </c>
      <c r="AT74" s="715">
        <f>AS74</f>
        <v>1548.9319999999998</v>
      </c>
      <c r="AU74" s="712">
        <f t="shared" si="62"/>
        <v>1723.981</v>
      </c>
      <c r="AV74" s="712">
        <f t="shared" si="62"/>
        <v>1726.2890000000002</v>
      </c>
      <c r="AW74" s="712">
        <f t="shared" si="62"/>
        <v>2025.8879999999999</v>
      </c>
      <c r="AX74" s="712">
        <f t="shared" si="62"/>
        <v>2031.7699999999998</v>
      </c>
      <c r="AY74" s="715">
        <f>AX74</f>
        <v>2031.7699999999998</v>
      </c>
      <c r="AZ74" s="712">
        <f t="shared" si="62"/>
        <v>2154.2329999999997</v>
      </c>
      <c r="BA74" s="712">
        <f t="shared" si="62"/>
        <v>2397.4049999999997</v>
      </c>
      <c r="BB74" s="712">
        <f t="shared" si="62"/>
        <v>2756.0540000000001</v>
      </c>
      <c r="BC74" s="712">
        <f t="shared" si="62"/>
        <v>2888.8290000000002</v>
      </c>
      <c r="BD74" s="715">
        <f>BC74</f>
        <v>2888.8290000000002</v>
      </c>
      <c r="BE74" s="712">
        <f t="shared" si="62"/>
        <v>2748.9930000000004</v>
      </c>
      <c r="BF74" s="712">
        <f t="shared" si="62"/>
        <v>2814.2190000000001</v>
      </c>
      <c r="BG74" s="712">
        <f t="shared" si="62"/>
        <v>2480.0990000000002</v>
      </c>
      <c r="BH74" s="712">
        <f t="shared" si="62"/>
        <v>2167.9579999999996</v>
      </c>
      <c r="BI74" s="715">
        <f>BH74</f>
        <v>2167.9579999999996</v>
      </c>
      <c r="BJ74" s="712">
        <f t="shared" si="62"/>
        <v>2020.684</v>
      </c>
      <c r="BK74" s="712">
        <f t="shared" si="62"/>
        <v>2167.9049999999997</v>
      </c>
      <c r="BL74" s="712">
        <f t="shared" si="62"/>
        <v>2357.7159999999999</v>
      </c>
      <c r="BM74" s="712">
        <f t="shared" si="62"/>
        <v>2480.83</v>
      </c>
      <c r="BN74" s="715">
        <f>BM74</f>
        <v>2480.83</v>
      </c>
      <c r="BO74" s="712">
        <f t="shared" si="62"/>
        <v>2726.9800000000005</v>
      </c>
      <c r="BP74" s="712">
        <f t="shared" si="62"/>
        <v>2655.962</v>
      </c>
      <c r="BQ74" s="712">
        <f t="shared" si="62"/>
        <v>2807.7020000000002</v>
      </c>
      <c r="BR74" s="712">
        <f t="shared" si="62"/>
        <v>3226.9500000000003</v>
      </c>
      <c r="BS74" s="715">
        <f>BR74</f>
        <v>3226.9500000000003</v>
      </c>
      <c r="BT74" s="712">
        <f t="shared" si="62"/>
        <v>3496.7630000000004</v>
      </c>
      <c r="BU74" s="712">
        <f t="shared" si="62"/>
        <v>3317.5570000000002</v>
      </c>
      <c r="BV74" s="712">
        <f t="shared" si="62"/>
        <v>3500.0709999999999</v>
      </c>
      <c r="BW74" s="712">
        <f t="shared" si="62"/>
        <v>3905.3580000000002</v>
      </c>
      <c r="BX74" s="715">
        <f>BW74</f>
        <v>3905.3580000000002</v>
      </c>
      <c r="BY74" s="712">
        <f>BY62+BY63+BY64+BY65+BY67+BY72</f>
        <v>4032.1159999999995</v>
      </c>
      <c r="BZ74" s="712">
        <f>BZ62+BZ63+BZ64+BZ65+BZ67+BZ72</f>
        <v>4213.8509999999997</v>
      </c>
      <c r="CA74" s="712">
        <f>CA62+CA63+CA64+CA65+CA67+CA72</f>
        <v>4424.8269999999993</v>
      </c>
      <c r="CB74" s="712">
        <f>CB62+CB63+CB64+CB65+CB67+CB72</f>
        <v>4775.2579999999998</v>
      </c>
      <c r="CC74" s="715">
        <f>CB74</f>
        <v>4775.2579999999998</v>
      </c>
      <c r="CD74" s="712">
        <f>CD62+CD63+CD64+CD65+CD67+CD72</f>
        <v>4606.616</v>
      </c>
      <c r="CE74" s="712">
        <f>CE62+CE63+CE64+CE65+CE67+CE72</f>
        <v>3922.6080000000002</v>
      </c>
      <c r="CF74" s="712">
        <f>CF62+CF63+CF64+CF65+CF67+CF72</f>
        <v>4049.8409999999994</v>
      </c>
      <c r="CG74" s="712">
        <f>CG62+CG63+CG64+CG65+CG67+CG72</f>
        <v>5624.7109999999993</v>
      </c>
      <c r="CH74" s="715">
        <f>CG74</f>
        <v>5624.7109999999993</v>
      </c>
      <c r="CI74" s="712">
        <f>CI62+CI63+CI64+CI65+CI67+CI72</f>
        <v>5273.7979999999998</v>
      </c>
      <c r="CJ74" s="712">
        <f>CJ62+CJ63+CJ64+CJ65+CJ67+CJ72</f>
        <v>5377.5860000000002</v>
      </c>
      <c r="CK74" s="712">
        <f>CK62+CK63+CK64+CK65+CK67+CK72</f>
        <v>5341.1089999999995</v>
      </c>
      <c r="CL74" s="712">
        <f>CL62+CL63+CL64+CL65+CL67+CL72</f>
        <v>5713.2969999999996</v>
      </c>
      <c r="CM74" s="715">
        <f>CL74</f>
        <v>5713.2969999999996</v>
      </c>
      <c r="CN74" s="712">
        <f>CN62+CN63+CN64+CN65+CN67+CN72</f>
        <v>5832</v>
      </c>
      <c r="CO74" s="712">
        <f>CO62+CO63+CO64+CO65+CO67+CO72</f>
        <v>5608</v>
      </c>
      <c r="CP74" s="712">
        <f>CP62+CP63+CP64+CP65+CP67+CP72</f>
        <v>5834</v>
      </c>
      <c r="CQ74" s="712">
        <f>CQ62+CQ63+CQ64+CQ65+CQ67+CQ72</f>
        <v>6053</v>
      </c>
      <c r="CR74" s="715">
        <f>CQ74</f>
        <v>6053</v>
      </c>
      <c r="CS74" s="712">
        <f>CS62+CS63+CS64+CS65+CS67+CS72</f>
        <v>5790</v>
      </c>
      <c r="CT74" s="712">
        <f>CT62+CT63+CT64+CT65+CT67+CT72</f>
        <v>6156</v>
      </c>
      <c r="CU74" s="712">
        <f>CU62+CU63+CU64+CU65+CU67+CU72</f>
        <v>8307</v>
      </c>
      <c r="CV74" s="712">
        <f>CV62+CV63+CV64+CV65+CV67+CV72</f>
        <v>8536</v>
      </c>
      <c r="CW74" s="715">
        <f>CV74</f>
        <v>8536</v>
      </c>
      <c r="CX74" s="712">
        <f>CX62+CX63+CX64+CX65+CX67+CX72</f>
        <v>8116</v>
      </c>
      <c r="CY74" s="712">
        <f>CY62+CY63+CY64+CY65+CY67+CY72</f>
        <v>8070</v>
      </c>
      <c r="CZ74" s="712">
        <f>CZ62+CZ63+CZ64+CZ65+CZ67+CZ72</f>
        <v>8479</v>
      </c>
      <c r="DA74" s="712">
        <f>DA62+DA63+DA64+DA65+DA67+DA72</f>
        <v>9255</v>
      </c>
      <c r="DB74" s="715">
        <f>DA74</f>
        <v>9255</v>
      </c>
      <c r="DC74" s="712">
        <f>DC62+DC63+DC64+DC65+DC67+DC72</f>
        <v>9448</v>
      </c>
      <c r="DD74" s="712">
        <f>DD62+DD63+DD64+DD65+DD67+DD72</f>
        <v>10831</v>
      </c>
      <c r="DE74" s="712">
        <f>DE62+DE63+DE64+DE65+DE67+DE72</f>
        <v>11386</v>
      </c>
      <c r="DF74" s="712">
        <f>DF62+DF63+DF64+DF65+DF67+DF72</f>
        <v>10557</v>
      </c>
      <c r="DG74" s="715">
        <f>DF74</f>
        <v>10557</v>
      </c>
      <c r="DH74" s="712">
        <f>DH62+DH63+DH64+DH65+DH67+DH72</f>
        <v>10629</v>
      </c>
      <c r="DI74" s="712">
        <f>DI62+DI63+DI64+DI65+DI67+DI72</f>
        <v>11391</v>
      </c>
      <c r="DJ74" s="712">
        <f>DJ62+DJ63+DJ64+DJ65+DJ67+DJ72</f>
        <v>12420</v>
      </c>
      <c r="DK74" s="712">
        <f>DK62+DK63+DK64+DK65+DK67+DK72</f>
        <v>13690</v>
      </c>
      <c r="DL74" s="715">
        <f>DK74</f>
        <v>13690</v>
      </c>
      <c r="DM74" s="712">
        <f>DM62+DM63+DM64+DM65+DM67+DM72</f>
        <v>19584</v>
      </c>
      <c r="DN74" s="712">
        <f>DN62+DN63+DN64+DN65+DN67+DN72</f>
        <v>14681</v>
      </c>
      <c r="DO74" s="712">
        <f>DO62+DO63+DO64+DO65+DO67+DO72</f>
        <v>14393</v>
      </c>
      <c r="DP74" s="712">
        <f>DP62+DP63+DP64+DP65+DP67+DP72</f>
        <v>16055</v>
      </c>
      <c r="DQ74" s="715">
        <f>DP74</f>
        <v>16055</v>
      </c>
      <c r="DR74" s="712">
        <f>DR62+DR63+DR64+DR65+DR67+DR72</f>
        <v>18127</v>
      </c>
      <c r="DS74" s="712">
        <f>DS62+DS63+DS64+DS65+DS67+DS72</f>
        <v>25806</v>
      </c>
      <c r="DT74" s="712">
        <f>DT62+DT63+DT64+DT65+DT67+DT72</f>
        <v>25806</v>
      </c>
      <c r="DU74" s="712">
        <f>DU62+DU63+DU64+DU65+DU67+DU72</f>
        <v>28829</v>
      </c>
      <c r="DV74" s="715">
        <f>DU74</f>
        <v>28829</v>
      </c>
      <c r="DW74" s="712">
        <f>DW62+DW63+DW64+DW65+DW67+DW72</f>
        <v>29575</v>
      </c>
      <c r="DX74" s="712">
        <f>DX62+DX63+DX64+DX65+DX67+DX72</f>
        <v>27418</v>
      </c>
      <c r="DY74" s="712">
        <f>DY62+DY63+DY64+DY65+DY67+DY72</f>
        <v>23223</v>
      </c>
      <c r="DZ74" s="712">
        <f>DZ62+DZ63+DZ64+DZ65+DZ67+DZ72</f>
        <v>23073</v>
      </c>
      <c r="EA74" s="715">
        <f>DZ74</f>
        <v>23073</v>
      </c>
      <c r="EB74" s="712">
        <f>EB62+EB63+EB64+EB65+EB67+EB72</f>
        <v>24883</v>
      </c>
      <c r="EC74" s="712">
        <f>EC62+EC63+EC64+EC65+EC67+EC72</f>
        <v>28797</v>
      </c>
      <c r="ED74" s="712">
        <f>ED62+ED63+ED64+ED65+ED67+ED72</f>
        <v>32658</v>
      </c>
      <c r="EE74" s="712">
        <f>EE62+EE63+EE64+EE65+EE67+EE72</f>
        <v>44345</v>
      </c>
      <c r="EF74" s="715">
        <f>EE74</f>
        <v>44345</v>
      </c>
      <c r="EG74" s="712">
        <f>EG62+EG63+EG64+EG65+EG67+EG72</f>
        <v>53729</v>
      </c>
      <c r="EH74" s="712">
        <f>EH62+EH63+EH64+EH65+EH67+EH72</f>
        <v>59633</v>
      </c>
      <c r="EI74" s="712">
        <f>EI62+EI63+EI64+EI65+EI67+EI72</f>
        <v>67640</v>
      </c>
      <c r="EJ74" s="712">
        <f>EJ62+EJ63+EJ64+EJ65+EJ67+EJ72</f>
        <v>80126</v>
      </c>
      <c r="EK74" s="715">
        <f>EJ74</f>
        <v>80126</v>
      </c>
      <c r="EL74" s="712">
        <f>EL62+EL63+EL64+EL65+EL67+EL72</f>
        <v>89935</v>
      </c>
      <c r="EM74" s="712">
        <f>EM62+EM63+EM64+EM65+EM67+EM72</f>
        <v>102219</v>
      </c>
      <c r="EN74" s="712">
        <f>EN62+EN63+EN64+EN65+EN67+EN72</f>
        <v>116492</v>
      </c>
      <c r="EO74" s="712">
        <f>EO62+EO63+EO64+EO65+EO67+EO72</f>
        <v>125605</v>
      </c>
      <c r="EP74" s="715">
        <f>EO74</f>
        <v>125605</v>
      </c>
      <c r="EQ74" s="712">
        <f>EQ62+EQ63+EQ64+EQ65+EQ67+EQ72</f>
        <v>150995</v>
      </c>
      <c r="ER74" s="712">
        <f>ER62+ER63+ER64+ER65+ER67+ER72</f>
        <v>168326.84417185286</v>
      </c>
      <c r="ES74" s="712">
        <f>ES62+ES63+ES64+ES65+ES67+ES72</f>
        <v>196751.65993470672</v>
      </c>
      <c r="ET74" s="712">
        <f>ET62+ET63+ET64+ET65+ET67+ET72</f>
        <v>233952.13470788434</v>
      </c>
      <c r="EU74" s="715">
        <f>ET74</f>
        <v>233952.13470788434</v>
      </c>
      <c r="EV74" s="712">
        <f>EV62+EV63+EV64+EV65+EV67+EV72</f>
        <v>269159.38856984791</v>
      </c>
      <c r="EW74" s="712">
        <f>EW62+EW63+EW64+EW65+EW67+EW72</f>
        <v>312290.72921822697</v>
      </c>
      <c r="EX74" s="712">
        <f>EX62+EX63+EX64+EX65+EX67+EX72</f>
        <v>363777.0971192416</v>
      </c>
      <c r="EY74" s="712">
        <f>EY62+EY63+EY64+EY65+EY67+EY72</f>
        <v>421435.53096364037</v>
      </c>
      <c r="EZ74" s="715">
        <f>EY74</f>
        <v>421435.53096364037</v>
      </c>
      <c r="FA74" s="712">
        <f>FA62+FA63+FA64+FA65+FA67+FA72</f>
        <v>479405.75297337794</v>
      </c>
      <c r="FB74" s="712">
        <f>FB62+FB63+FB64+FB65+FB67+FB72</f>
        <v>537241.32545433776</v>
      </c>
      <c r="FC74" s="712">
        <f>FC62+FC63+FC64+FC65+FC67+FC72</f>
        <v>603621.51462401869</v>
      </c>
      <c r="FD74" s="712">
        <f>FD62+FD63+FD64+FD65+FD67+FD72</f>
        <v>675970.60008392017</v>
      </c>
      <c r="FE74" s="715">
        <f>FD74</f>
        <v>675970.60008392017</v>
      </c>
      <c r="FF74" s="712">
        <f>FF62+FF63+FF64+FF65+FF67+FF72</f>
        <v>743280.2726982598</v>
      </c>
      <c r="FG74" s="712">
        <f>FG62+FG63+FG64+FG65+FG67+FG72</f>
        <v>812071.22034639097</v>
      </c>
      <c r="FH74" s="712">
        <f>FH62+FH63+FH64+FH65+FH67+FH72</f>
        <v>885347.97003061709</v>
      </c>
      <c r="FI74" s="712">
        <f>FI62+FI63+FI64+FI65+FI67+FI72</f>
        <v>961366.39548508113</v>
      </c>
      <c r="FJ74" s="715">
        <f>FI74</f>
        <v>961366.39548508113</v>
      </c>
      <c r="FK74" s="712">
        <f>FK62+FK63+FK64+FK65+FK67+FK72</f>
        <v>1034693.4326551656</v>
      </c>
      <c r="FL74" s="712">
        <f>FL62+FL63+FL64+FL65+FL67+FL72</f>
        <v>1108057.7611214139</v>
      </c>
      <c r="FM74" s="712">
        <f>FM62+FM63+FM64+FM65+FM67+FM72</f>
        <v>1190624.1407408433</v>
      </c>
      <c r="FN74" s="712">
        <f>FN62+FN63+FN64+FN65+FN67+FN72</f>
        <v>1279193.7059239242</v>
      </c>
      <c r="FO74" s="715">
        <f>FN74</f>
        <v>1279193.7059239242</v>
      </c>
      <c r="FP74" s="715"/>
    </row>
    <row r="75" spans="1:172">
      <c r="B75" s="665"/>
      <c r="C75" s="665"/>
      <c r="D75" s="665"/>
      <c r="E75" s="665"/>
      <c r="F75" s="665"/>
      <c r="G75" s="665"/>
      <c r="H75" s="665"/>
      <c r="I75" s="665"/>
      <c r="J75" s="665"/>
      <c r="K75" s="149"/>
      <c r="L75" s="199"/>
      <c r="M75" s="199"/>
      <c r="N75" s="199"/>
      <c r="O75" s="199"/>
      <c r="P75" s="712"/>
      <c r="Q75" s="199"/>
      <c r="R75" s="199"/>
      <c r="S75" s="199"/>
      <c r="T75" s="199"/>
      <c r="U75" s="712"/>
      <c r="V75" s="199"/>
      <c r="W75" s="199"/>
      <c r="X75" s="199"/>
      <c r="Y75" s="199"/>
      <c r="Z75" s="712"/>
      <c r="AA75" s="199"/>
      <c r="AB75" s="199"/>
      <c r="AC75" s="199"/>
      <c r="AD75" s="199"/>
      <c r="AE75" s="712"/>
      <c r="AF75" s="199"/>
      <c r="AG75" s="199"/>
      <c r="AH75" s="199"/>
      <c r="AI75" s="199"/>
      <c r="AJ75" s="712"/>
      <c r="AK75" s="199"/>
      <c r="AL75" s="199"/>
      <c r="AM75" s="712"/>
      <c r="AN75" s="712"/>
      <c r="AO75" s="712"/>
      <c r="AP75" s="712"/>
      <c r="AQ75" s="712"/>
      <c r="AR75" s="712"/>
      <c r="AS75" s="712"/>
      <c r="AT75" s="712"/>
      <c r="AU75" s="712"/>
      <c r="AV75" s="712"/>
      <c r="AW75" s="712"/>
      <c r="AX75" s="712"/>
      <c r="AY75" s="712"/>
      <c r="AZ75" s="712"/>
      <c r="BA75" s="712"/>
      <c r="BB75" s="712"/>
      <c r="BC75" s="712"/>
      <c r="BD75" s="712"/>
      <c r="BE75" s="712"/>
      <c r="BF75" s="712"/>
      <c r="BG75" s="712"/>
      <c r="BH75" s="712"/>
      <c r="BI75" s="712"/>
      <c r="BJ75" s="712"/>
      <c r="BK75" s="712"/>
      <c r="BL75" s="712"/>
      <c r="BM75" s="712"/>
      <c r="BN75" s="712"/>
      <c r="BO75" s="712"/>
      <c r="BP75" s="712"/>
      <c r="BQ75" s="712"/>
      <c r="BR75" s="712"/>
      <c r="BS75" s="712"/>
      <c r="BT75" s="712"/>
      <c r="BU75" s="712"/>
      <c r="BV75" s="712"/>
      <c r="BW75" s="712"/>
      <c r="BX75" s="712"/>
      <c r="BY75" s="712"/>
      <c r="BZ75" s="712"/>
      <c r="CA75" s="712"/>
      <c r="CB75" s="712"/>
      <c r="CC75" s="712"/>
      <c r="CD75" s="712"/>
      <c r="CE75" s="712"/>
      <c r="CF75" s="712"/>
      <c r="CG75" s="712"/>
      <c r="CH75" s="712"/>
      <c r="CI75" s="712"/>
      <c r="CJ75" s="712"/>
      <c r="CK75" s="712"/>
      <c r="CL75" s="712"/>
      <c r="CM75" s="712"/>
      <c r="CN75" s="712"/>
      <c r="CO75" s="712"/>
      <c r="CP75" s="712"/>
      <c r="CQ75" s="712"/>
      <c r="CR75" s="712"/>
      <c r="CS75" s="712"/>
      <c r="CT75" s="712"/>
      <c r="CU75" s="712"/>
      <c r="CV75" s="712"/>
      <c r="CW75" s="712"/>
      <c r="CX75" s="712"/>
      <c r="CY75" s="712"/>
      <c r="CZ75" s="712"/>
      <c r="DA75" s="712"/>
      <c r="DB75" s="712"/>
      <c r="DC75" s="712"/>
      <c r="DD75" s="712"/>
      <c r="DE75" s="712"/>
      <c r="DF75" s="712"/>
      <c r="DG75" s="712"/>
      <c r="DH75" s="712"/>
      <c r="DI75" s="712"/>
      <c r="DJ75" s="712"/>
      <c r="DK75" s="712"/>
      <c r="DL75" s="712"/>
      <c r="DM75" s="712"/>
      <c r="DN75" s="712"/>
      <c r="DO75" s="712"/>
      <c r="DP75" s="712"/>
      <c r="DQ75" s="712"/>
      <c r="DR75" s="712"/>
      <c r="DS75" s="712"/>
      <c r="DT75" s="712"/>
      <c r="DU75" s="712"/>
      <c r="DV75" s="712"/>
      <c r="DW75" s="712"/>
      <c r="DX75" s="712"/>
      <c r="DY75" s="712"/>
      <c r="DZ75" s="712"/>
      <c r="EA75" s="712"/>
      <c r="EB75" s="712"/>
      <c r="EC75" s="712"/>
      <c r="ED75" s="712"/>
      <c r="EE75" s="712"/>
      <c r="EF75" s="712"/>
      <c r="EG75" s="712"/>
      <c r="EH75" s="712"/>
      <c r="EI75" s="712"/>
      <c r="EJ75" s="712"/>
      <c r="EK75" s="712"/>
      <c r="EL75" s="712"/>
      <c r="EM75" s="712"/>
      <c r="EN75" s="712"/>
      <c r="EO75" s="712"/>
      <c r="EP75" s="712"/>
      <c r="EQ75" s="712"/>
      <c r="ER75" s="712"/>
      <c r="ES75" s="712"/>
      <c r="ET75" s="712"/>
      <c r="EU75" s="712"/>
      <c r="EV75" s="712"/>
      <c r="EW75" s="712"/>
      <c r="EX75" s="712"/>
      <c r="EY75" s="712"/>
      <c r="EZ75" s="712"/>
      <c r="FA75" s="712"/>
      <c r="FB75" s="712"/>
      <c r="FC75" s="712"/>
      <c r="FD75" s="712"/>
      <c r="FE75" s="712"/>
      <c r="FF75" s="712"/>
      <c r="FG75" s="712"/>
      <c r="FH75" s="712"/>
      <c r="FI75" s="712"/>
      <c r="FJ75" s="712"/>
      <c r="FK75" s="712"/>
      <c r="FL75" s="712"/>
      <c r="FM75" s="712"/>
      <c r="FN75" s="712"/>
      <c r="FO75" s="712"/>
      <c r="FP75" s="712"/>
    </row>
    <row r="76" spans="1:172">
      <c r="A76" s="171" t="s">
        <v>433</v>
      </c>
      <c r="B76" s="665"/>
      <c r="C76" s="665"/>
      <c r="D76" s="665"/>
      <c r="E76" s="665"/>
      <c r="F76" s="665"/>
      <c r="G76" s="665"/>
      <c r="H76" s="665"/>
      <c r="I76" s="665"/>
      <c r="J76" s="665"/>
      <c r="K76" s="714"/>
      <c r="L76" s="199">
        <f t="shared" ref="L76:AC76" si="63">L77+L78</f>
        <v>30.869</v>
      </c>
      <c r="M76" s="199">
        <f t="shared" si="63"/>
        <v>33.015999999999998</v>
      </c>
      <c r="N76" s="199">
        <f t="shared" si="63"/>
        <v>39.239999999999995</v>
      </c>
      <c r="O76" s="199">
        <f t="shared" si="63"/>
        <v>41.33</v>
      </c>
      <c r="P76" s="715">
        <f>O76</f>
        <v>41.33</v>
      </c>
      <c r="Q76" s="199">
        <f t="shared" si="63"/>
        <v>48.448999999999998</v>
      </c>
      <c r="R76" s="199">
        <f t="shared" si="63"/>
        <v>56.162999999999997</v>
      </c>
      <c r="S76" s="199">
        <f t="shared" si="63"/>
        <v>62.010999999999996</v>
      </c>
      <c r="T76" s="199">
        <f t="shared" si="63"/>
        <v>76.245000000000005</v>
      </c>
      <c r="U76" s="715">
        <f>T76</f>
        <v>76.245000000000005</v>
      </c>
      <c r="V76" s="199">
        <f t="shared" si="63"/>
        <v>109.49299999999999</v>
      </c>
      <c r="W76" s="199">
        <f t="shared" si="63"/>
        <v>140.643</v>
      </c>
      <c r="X76" s="199">
        <f t="shared" si="63"/>
        <v>166.392</v>
      </c>
      <c r="Y76" s="199">
        <f t="shared" si="63"/>
        <v>179.09300000000002</v>
      </c>
      <c r="Z76" s="715">
        <f>Y76</f>
        <v>179.09300000000002</v>
      </c>
      <c r="AA76" s="199">
        <f t="shared" si="63"/>
        <v>203.232</v>
      </c>
      <c r="AB76" s="199">
        <f t="shared" si="63"/>
        <v>229.61200000000002</v>
      </c>
      <c r="AC76" s="199">
        <f t="shared" si="63"/>
        <v>240.97800000000001</v>
      </c>
      <c r="AD76" s="712">
        <v>229.083</v>
      </c>
      <c r="AE76" s="715">
        <f>AD76</f>
        <v>229.083</v>
      </c>
      <c r="AF76" s="712">
        <f>AF77+AF78</f>
        <v>242.83499999999998</v>
      </c>
      <c r="AG76" s="712">
        <f>AG77+AG78</f>
        <v>292.87599999999998</v>
      </c>
      <c r="AH76" s="712">
        <f>AH77+AH78</f>
        <v>290.161</v>
      </c>
      <c r="AI76" s="712">
        <v>337.875</v>
      </c>
      <c r="AJ76" s="715">
        <f>AI76</f>
        <v>337.875</v>
      </c>
      <c r="AK76" s="712">
        <v>351.06099999999998</v>
      </c>
      <c r="AL76" s="712">
        <v>367.65</v>
      </c>
      <c r="AM76" s="712">
        <v>385.721</v>
      </c>
      <c r="AN76" s="712">
        <v>388.95499999999998</v>
      </c>
      <c r="AO76" s="715">
        <f>AN76</f>
        <v>388.95499999999998</v>
      </c>
      <c r="AP76" s="712">
        <f>AP78+AP77</f>
        <v>404.12900000000002</v>
      </c>
      <c r="AQ76" s="712">
        <f>AQ78+AQ77</f>
        <v>438.61800000000005</v>
      </c>
      <c r="AR76" s="712">
        <f>AQ76-AR132</f>
        <v>452.08400000000006</v>
      </c>
      <c r="AS76" s="712">
        <f>AS78+AS77</f>
        <v>460.40100000000001</v>
      </c>
      <c r="AT76" s="715">
        <f>AS76</f>
        <v>460.40100000000001</v>
      </c>
      <c r="AU76" s="712">
        <f>SUM(AU77:AU78)</f>
        <v>486.48599999999999</v>
      </c>
      <c r="AV76" s="712">
        <f>SUM(AV77:AV78)</f>
        <v>507.63200000000006</v>
      </c>
      <c r="AW76" s="712">
        <f>SUM(AW77:AW78)</f>
        <v>576.05900000000008</v>
      </c>
      <c r="AX76" s="712">
        <f>SUM(AX77:AX78)</f>
        <v>650.63900000000001</v>
      </c>
      <c r="AY76" s="715">
        <f>AX76</f>
        <v>650.63900000000001</v>
      </c>
      <c r="AZ76" s="712">
        <f>AZ78+AZ77</f>
        <v>692.33500000000004</v>
      </c>
      <c r="BA76" s="712">
        <f t="shared" ref="BA76:CF76" si="64">BA77+BA78</f>
        <v>717.86900000000003</v>
      </c>
      <c r="BB76" s="712">
        <f t="shared" si="64"/>
        <v>809.01300000000003</v>
      </c>
      <c r="BC76" s="712">
        <f t="shared" si="64"/>
        <v>882.81100000000004</v>
      </c>
      <c r="BD76" s="715">
        <f>BC76</f>
        <v>882.81100000000004</v>
      </c>
      <c r="BE76" s="712">
        <f t="shared" si="64"/>
        <v>1086.4169999999999</v>
      </c>
      <c r="BF76" s="712">
        <f t="shared" si="64"/>
        <v>1209.8389999999999</v>
      </c>
      <c r="BG76" s="712">
        <f t="shared" si="64"/>
        <v>1269.335</v>
      </c>
      <c r="BH76" s="712">
        <f t="shared" si="64"/>
        <v>1333.5140000000001</v>
      </c>
      <c r="BI76" s="715">
        <f>BH76</f>
        <v>1333.5140000000001</v>
      </c>
      <c r="BJ76" s="712">
        <f t="shared" si="64"/>
        <v>1356.8690000000001</v>
      </c>
      <c r="BK76" s="712">
        <f t="shared" si="64"/>
        <v>1387.73</v>
      </c>
      <c r="BL76" s="712">
        <f t="shared" si="64"/>
        <v>1418.1120000000001</v>
      </c>
      <c r="BM76" s="712">
        <f t="shared" si="64"/>
        <v>1472.674</v>
      </c>
      <c r="BN76" s="715">
        <f>BM76</f>
        <v>1472.674</v>
      </c>
      <c r="BO76" s="712">
        <f t="shared" si="64"/>
        <v>1496.8790000000001</v>
      </c>
      <c r="BP76" s="712">
        <f t="shared" si="64"/>
        <v>1536.752</v>
      </c>
      <c r="BQ76" s="712">
        <f t="shared" si="64"/>
        <v>1627.0840000000001</v>
      </c>
      <c r="BR76" s="712">
        <f t="shared" si="64"/>
        <v>1702.2360000000001</v>
      </c>
      <c r="BS76" s="715">
        <f>BR76</f>
        <v>1702.2360000000001</v>
      </c>
      <c r="BT76" s="712">
        <f t="shared" si="64"/>
        <v>1688.9349999999999</v>
      </c>
      <c r="BU76" s="712">
        <f t="shared" si="64"/>
        <v>1738.624</v>
      </c>
      <c r="BV76" s="712">
        <f t="shared" si="64"/>
        <v>1791.8850000000002</v>
      </c>
      <c r="BW76" s="712">
        <f t="shared" si="64"/>
        <v>1852.0820000000003</v>
      </c>
      <c r="BX76" s="715">
        <f>BW76</f>
        <v>1852.0820000000003</v>
      </c>
      <c r="BY76" s="712">
        <f t="shared" si="64"/>
        <v>1900.0420000000004</v>
      </c>
      <c r="BZ76" s="712">
        <f t="shared" si="64"/>
        <v>1976.7520000000002</v>
      </c>
      <c r="CA76" s="712">
        <f t="shared" si="64"/>
        <v>2026.384</v>
      </c>
      <c r="CB76" s="712">
        <f t="shared" si="64"/>
        <v>2094.4880000000003</v>
      </c>
      <c r="CC76" s="715">
        <f>CB76</f>
        <v>2094.4880000000003</v>
      </c>
      <c r="CD76" s="712">
        <f t="shared" si="64"/>
        <v>2166.1109999999999</v>
      </c>
      <c r="CE76" s="712">
        <f t="shared" si="64"/>
        <v>2218.8759999999997</v>
      </c>
      <c r="CF76" s="712">
        <f t="shared" si="64"/>
        <v>2298.0720000000001</v>
      </c>
      <c r="CG76" s="712">
        <f>CG77+CG78</f>
        <v>2340.232</v>
      </c>
      <c r="CH76" s="715">
        <f>CG76</f>
        <v>2340.232</v>
      </c>
      <c r="CI76" s="712">
        <f>CI77+CI78</f>
        <v>2383.377</v>
      </c>
      <c r="CJ76" s="712">
        <f>CJ77+CJ78</f>
        <v>2425.0929999999998</v>
      </c>
      <c r="CK76" s="712">
        <f>CK77+CK78</f>
        <v>2489.7829999999999</v>
      </c>
      <c r="CL76" s="712">
        <f>CL77+CL78</f>
        <v>2535.4639999999999</v>
      </c>
      <c r="CM76" s="715">
        <f>CL76</f>
        <v>2535.4639999999999</v>
      </c>
      <c r="CN76" s="712">
        <f>CN77+CN78</f>
        <v>2579.1819999999998</v>
      </c>
      <c r="CO76" s="712">
        <f>CO77+CO78</f>
        <v>2583.1819999999998</v>
      </c>
      <c r="CP76" s="712">
        <f>CP77+CP78</f>
        <v>2611.1819999999998</v>
      </c>
      <c r="CQ76" s="712">
        <f>CQ77+CQ78</f>
        <v>2646.1819999999998</v>
      </c>
      <c r="CR76" s="715">
        <f>CQ76</f>
        <v>2646.1819999999998</v>
      </c>
      <c r="CS76" s="712">
        <f>CS77+CS78</f>
        <v>2704.1819999999998</v>
      </c>
      <c r="CT76" s="712">
        <f>CT77+CT78</f>
        <v>2757.1819999999998</v>
      </c>
      <c r="CU76" s="712">
        <f>CU77+CU78</f>
        <v>2823.1819999999998</v>
      </c>
      <c r="CV76" s="712">
        <f>CV77+CV78</f>
        <v>2888.1819999999998</v>
      </c>
      <c r="CW76" s="715">
        <f>CV76</f>
        <v>2888.1819999999998</v>
      </c>
      <c r="CX76" s="712">
        <f>CX77+CX78</f>
        <v>2953.1819999999998</v>
      </c>
      <c r="CY76" s="712">
        <f>CY77+CY78</f>
        <v>3041.1819999999998</v>
      </c>
      <c r="CZ76" s="712">
        <f>CZ77+CZ78</f>
        <v>3113.1819999999998</v>
      </c>
      <c r="DA76" s="712">
        <f>DA77+DA78</f>
        <v>3563.1819999999998</v>
      </c>
      <c r="DB76" s="715">
        <f>DA76</f>
        <v>3563.1819999999998</v>
      </c>
      <c r="DC76" s="712">
        <f>DC77+DC78</f>
        <v>3689.1819999999998</v>
      </c>
      <c r="DD76" s="712">
        <f>DD77+DD78</f>
        <v>3844.1819999999998</v>
      </c>
      <c r="DE76" s="712">
        <f>DE77+DE78</f>
        <v>4042.1819999999998</v>
      </c>
      <c r="DF76" s="712">
        <f>DF77+DF78</f>
        <v>4232.1819999999998</v>
      </c>
      <c r="DG76" s="715">
        <f>DF76</f>
        <v>4232.1819999999998</v>
      </c>
      <c r="DH76" s="712">
        <f>DH77+DH78</f>
        <v>4392.1819999999998</v>
      </c>
      <c r="DI76" s="712">
        <f>DI77+DI78</f>
        <v>4495.1819999999998</v>
      </c>
      <c r="DJ76" s="712">
        <f>DJ77+DJ78</f>
        <v>4620.1819999999998</v>
      </c>
      <c r="DK76" s="712">
        <f>DK77+DK78</f>
        <v>4883.1819999999998</v>
      </c>
      <c r="DL76" s="715">
        <f>DK76</f>
        <v>4883.1819999999998</v>
      </c>
      <c r="DM76" s="712">
        <f>DM77+DM78</f>
        <v>5031.1819999999998</v>
      </c>
      <c r="DN76" s="712">
        <f>DN77+DN78</f>
        <v>5499.1819999999998</v>
      </c>
      <c r="DO76" s="712">
        <f>DO77+DO78</f>
        <v>5893.1819999999998</v>
      </c>
      <c r="DP76" s="712">
        <f>DP77+DP78</f>
        <v>6270.1819999999998</v>
      </c>
      <c r="DQ76" s="715">
        <f>DP76</f>
        <v>6270.1819999999998</v>
      </c>
      <c r="DR76" s="712">
        <f>DR77+DR78</f>
        <v>6670.1819999999998</v>
      </c>
      <c r="DS76" s="712">
        <f>DS77+DS78</f>
        <v>7052.1819999999998</v>
      </c>
      <c r="DT76" s="712">
        <f>DT77+DT78</f>
        <v>7495.1819999999998</v>
      </c>
      <c r="DU76" s="712">
        <f>DU77+DU78</f>
        <v>8073.1819999999998</v>
      </c>
      <c r="DV76" s="715">
        <f>DU76</f>
        <v>8073.1819999999998</v>
      </c>
      <c r="DW76" s="712">
        <f>DW77+DW78</f>
        <v>8545.1820000000007</v>
      </c>
      <c r="DX76" s="712">
        <f>DX77+DX78</f>
        <v>9240.1820000000007</v>
      </c>
      <c r="DY76" s="712">
        <f>DY77+DY78</f>
        <v>10187.182000000001</v>
      </c>
      <c r="DZ76" s="712">
        <f>DZ77+DZ78</f>
        <v>10646.182000000001</v>
      </c>
      <c r="EA76" s="715">
        <f>DZ76</f>
        <v>10646.182000000001</v>
      </c>
      <c r="EB76" s="712">
        <f>EB77+EB78</f>
        <v>10963.182000000001</v>
      </c>
      <c r="EC76" s="712">
        <f>EC77+EC78</f>
        <v>11387.182000000001</v>
      </c>
      <c r="ED76" s="712">
        <f>ED77+ED78</f>
        <v>11804.182000000001</v>
      </c>
      <c r="EE76" s="712">
        <f>EE77+EE78</f>
        <v>12261.182000000001</v>
      </c>
      <c r="EF76" s="715">
        <f>EE76</f>
        <v>12261.182000000001</v>
      </c>
      <c r="EG76" s="712">
        <f>EG77+EG78</f>
        <v>12763.182000000001</v>
      </c>
      <c r="EH76" s="712">
        <f>EH77+EH78</f>
        <v>14075.182000000001</v>
      </c>
      <c r="EI76" s="712">
        <f>EI77+EI78</f>
        <v>15011.182000000001</v>
      </c>
      <c r="EJ76" s="712">
        <f>EJ77+EJ78</f>
        <v>16494.182000000001</v>
      </c>
      <c r="EK76" s="715">
        <f>EJ76</f>
        <v>16494.182000000001</v>
      </c>
      <c r="EL76" s="712">
        <f>EL77+EL78</f>
        <v>17958.182000000001</v>
      </c>
      <c r="EM76" s="712">
        <f>EM77+EM78</f>
        <v>20631.182000000001</v>
      </c>
      <c r="EN76" s="712">
        <f>EN77+EN78</f>
        <v>22022.182000000001</v>
      </c>
      <c r="EO76" s="712">
        <f>EO77+EO78</f>
        <v>23436.182000000001</v>
      </c>
      <c r="EP76" s="715">
        <f>EO76</f>
        <v>23436.182000000001</v>
      </c>
      <c r="EQ76" s="712">
        <f>EQ77+EQ78</f>
        <v>26453.182000000001</v>
      </c>
      <c r="ER76" s="712">
        <f>EQ76-ER132</f>
        <v>28453.182000000001</v>
      </c>
      <c r="ES76" s="712">
        <f>ER76-ES132</f>
        <v>30453.182000000001</v>
      </c>
      <c r="ET76" s="712">
        <f>ES76-ET132</f>
        <v>32453.182000000001</v>
      </c>
      <c r="EU76" s="715">
        <f>ET76</f>
        <v>32453.182000000001</v>
      </c>
      <c r="EV76" s="712">
        <f>ET76-EV132</f>
        <v>35453.182000000001</v>
      </c>
      <c r="EW76" s="712">
        <f>EV76-EW132</f>
        <v>38453.182000000001</v>
      </c>
      <c r="EX76" s="712">
        <f>EW76-EX132</f>
        <v>41453.182000000001</v>
      </c>
      <c r="EY76" s="712">
        <f>EX76-EY132</f>
        <v>44453.182000000001</v>
      </c>
      <c r="EZ76" s="715">
        <f>EY76</f>
        <v>44453.182000000001</v>
      </c>
      <c r="FA76" s="712">
        <f>EY76-FA132</f>
        <v>47453.182000000001</v>
      </c>
      <c r="FB76" s="712">
        <f>FA76-FB132</f>
        <v>50453.182000000001</v>
      </c>
      <c r="FC76" s="712">
        <f>FB76-FC132</f>
        <v>53453.182000000001</v>
      </c>
      <c r="FD76" s="712">
        <f>FC76-FD132</f>
        <v>56453.182000000001</v>
      </c>
      <c r="FE76" s="715">
        <f>FD76</f>
        <v>56453.182000000001</v>
      </c>
      <c r="FF76" s="712">
        <f>FD76-FF132</f>
        <v>59453.182000000001</v>
      </c>
      <c r="FG76" s="712">
        <f>FF76-FG132</f>
        <v>62453.182000000001</v>
      </c>
      <c r="FH76" s="712">
        <f>FG76-FH132</f>
        <v>65453.182000000001</v>
      </c>
      <c r="FI76" s="712">
        <f>FH76-FI132</f>
        <v>68453.182000000001</v>
      </c>
      <c r="FJ76" s="715">
        <f>FI76</f>
        <v>68453.182000000001</v>
      </c>
      <c r="FK76" s="712">
        <f>FI76-FK132</f>
        <v>71453.182000000001</v>
      </c>
      <c r="FL76" s="712">
        <f>FK76-FL132</f>
        <v>74453.182000000001</v>
      </c>
      <c r="FM76" s="712">
        <f>FL76-FM132</f>
        <v>77453.182000000001</v>
      </c>
      <c r="FN76" s="712">
        <f>FM76-FN132</f>
        <v>80453.182000000001</v>
      </c>
      <c r="FO76" s="715">
        <f>FN76</f>
        <v>80453.182000000001</v>
      </c>
      <c r="FP76" s="715"/>
    </row>
    <row r="77" spans="1:172">
      <c r="A77" s="171" t="s">
        <v>434</v>
      </c>
      <c r="B77" s="665"/>
      <c r="C77" s="665"/>
      <c r="D77" s="665"/>
      <c r="E77" s="665"/>
      <c r="F77" s="665"/>
      <c r="G77" s="665"/>
      <c r="H77" s="665"/>
      <c r="I77" s="665"/>
      <c r="J77" s="665"/>
      <c r="K77" s="714"/>
      <c r="L77" s="199">
        <v>8.1780000000000008</v>
      </c>
      <c r="M77" s="199">
        <v>10.273999999999999</v>
      </c>
      <c r="N77" s="199">
        <v>12.616</v>
      </c>
      <c r="O77" s="199">
        <v>15.444000000000001</v>
      </c>
      <c r="P77" s="715">
        <f>O77</f>
        <v>15.444000000000001</v>
      </c>
      <c r="Q77" s="199">
        <v>18.006</v>
      </c>
      <c r="R77" s="199">
        <v>21.254999999999999</v>
      </c>
      <c r="S77" s="199">
        <v>24.585999999999999</v>
      </c>
      <c r="T77" s="199">
        <v>28.965</v>
      </c>
      <c r="U77" s="715">
        <f>T77</f>
        <v>28.965</v>
      </c>
      <c r="V77" s="199">
        <v>35.159999999999997</v>
      </c>
      <c r="W77" s="199">
        <v>45.78</v>
      </c>
      <c r="X77" s="199">
        <v>57.697000000000003</v>
      </c>
      <c r="Y77" s="199">
        <v>58.965000000000003</v>
      </c>
      <c r="Z77" s="715">
        <f>Y77</f>
        <v>58.965000000000003</v>
      </c>
      <c r="AA77" s="199">
        <v>71.965000000000003</v>
      </c>
      <c r="AB77" s="199">
        <f>AA77+AB11</f>
        <v>86.034000000000006</v>
      </c>
      <c r="AC77" s="199">
        <f>AB77+AC11</f>
        <v>102.2</v>
      </c>
      <c r="AD77" s="712">
        <v>93.930999999999997</v>
      </c>
      <c r="AE77" s="715">
        <f>AD77</f>
        <v>93.930999999999997</v>
      </c>
      <c r="AF77" s="712">
        <f>AD77</f>
        <v>93.930999999999997</v>
      </c>
      <c r="AG77" s="712">
        <f>AE77</f>
        <v>93.930999999999997</v>
      </c>
      <c r="AH77" s="712">
        <f>AF77</f>
        <v>93.930999999999997</v>
      </c>
      <c r="AI77" s="712">
        <v>147.846</v>
      </c>
      <c r="AJ77" s="715">
        <f>AI77</f>
        <v>147.846</v>
      </c>
      <c r="AK77" s="712">
        <v>166.02</v>
      </c>
      <c r="AL77" s="712">
        <v>184.66200000000001</v>
      </c>
      <c r="AM77" s="712">
        <v>203.523</v>
      </c>
      <c r="AN77" s="712">
        <v>210</v>
      </c>
      <c r="AO77" s="715">
        <f>AN77</f>
        <v>210</v>
      </c>
      <c r="AP77" s="712">
        <f>AN77+AP11</f>
        <v>234.893</v>
      </c>
      <c r="AQ77" s="712">
        <f>AP77+AQ11</f>
        <v>259.66700000000003</v>
      </c>
      <c r="AR77" s="712">
        <f>AR76-AR78</f>
        <v>273.57900000000006</v>
      </c>
      <c r="AS77" s="712">
        <v>282.24900000000002</v>
      </c>
      <c r="AT77" s="715">
        <f>AS77</f>
        <v>282.24900000000002</v>
      </c>
      <c r="AU77" s="712">
        <f>AS77+AU11</f>
        <v>306.28000000000003</v>
      </c>
      <c r="AV77" s="712">
        <f>AU77+AV11</f>
        <v>330.48800000000006</v>
      </c>
      <c r="AW77" s="712">
        <f>AV77+AW11</f>
        <v>355.51900000000006</v>
      </c>
      <c r="AX77" s="712">
        <f>AW77+AX11</f>
        <v>389.81100000000004</v>
      </c>
      <c r="AY77" s="715">
        <f>AX77</f>
        <v>389.81100000000004</v>
      </c>
      <c r="AZ77" s="712">
        <f>AX77+AZ11</f>
        <v>421.14500000000004</v>
      </c>
      <c r="BA77" s="712">
        <f>AZ77+BA11</f>
        <v>453.03700000000003</v>
      </c>
      <c r="BB77" s="712">
        <f>BA77+BB11</f>
        <v>486.06700000000001</v>
      </c>
      <c r="BC77" s="712">
        <f>BB77+BC11</f>
        <v>523.00300000000004</v>
      </c>
      <c r="BD77" s="715">
        <f>BC77</f>
        <v>523.00300000000004</v>
      </c>
      <c r="BE77" s="712">
        <f>BC77+BE11</f>
        <v>564.36099999999999</v>
      </c>
      <c r="BF77" s="712">
        <f>BE77+BF11</f>
        <v>610.36099999999999</v>
      </c>
      <c r="BG77" s="712">
        <f>BF77+BG11</f>
        <v>659.66099999999994</v>
      </c>
      <c r="BH77" s="712">
        <f>BG77+BH11</f>
        <v>707.71600000000001</v>
      </c>
      <c r="BI77" s="715">
        <f>BH77</f>
        <v>707.71600000000001</v>
      </c>
      <c r="BJ77" s="712">
        <f>BH77+BJ11</f>
        <v>755.81600000000003</v>
      </c>
      <c r="BK77" s="712">
        <f>BJ77+BK11</f>
        <v>804.81600000000003</v>
      </c>
      <c r="BL77" s="712">
        <f>BK77+BL11</f>
        <v>852.81600000000003</v>
      </c>
      <c r="BM77" s="712">
        <f>BL77+BM11</f>
        <v>900.81600000000003</v>
      </c>
      <c r="BN77" s="715">
        <f>BM77</f>
        <v>900.81600000000003</v>
      </c>
      <c r="BO77" s="712">
        <f>BM77+BO11</f>
        <v>947.96300000000008</v>
      </c>
      <c r="BP77" s="712">
        <f>BO77+BP11</f>
        <v>994.53600000000006</v>
      </c>
      <c r="BQ77" s="712">
        <f>BP77+BQ11</f>
        <v>1041.412</v>
      </c>
      <c r="BR77" s="712">
        <f>BQ77+BR11</f>
        <v>1087.8050000000001</v>
      </c>
      <c r="BS77" s="715">
        <f>BR77</f>
        <v>1087.8050000000001</v>
      </c>
      <c r="BT77" s="712">
        <f>BR77+BT11</f>
        <v>1135.569</v>
      </c>
      <c r="BU77" s="712">
        <f>BT77+BU11</f>
        <v>1187.7280000000001</v>
      </c>
      <c r="BV77" s="712">
        <f>BU77+BV11</f>
        <v>1240.1280000000002</v>
      </c>
      <c r="BW77" s="712">
        <f>BV77+BW11</f>
        <v>1292.0100000000002</v>
      </c>
      <c r="BX77" s="715">
        <f>BW77</f>
        <v>1292.0100000000002</v>
      </c>
      <c r="BY77" s="712">
        <f>BW77+BY11</f>
        <v>1346.5010000000002</v>
      </c>
      <c r="BZ77" s="712">
        <f>BY77+BZ11</f>
        <v>1402.6960000000001</v>
      </c>
      <c r="CA77" s="712">
        <f>BZ77+CA11</f>
        <v>1459.8440000000001</v>
      </c>
      <c r="CB77" s="712">
        <f>CA77+CB11</f>
        <v>1518.3440000000001</v>
      </c>
      <c r="CC77" s="715">
        <f>CB77</f>
        <v>1518.3440000000001</v>
      </c>
      <c r="CD77" s="712">
        <f>CB77+CD11</f>
        <v>1578.088</v>
      </c>
      <c r="CE77" s="712">
        <f>CD77+CE11</f>
        <v>1639.9279999999999</v>
      </c>
      <c r="CF77" s="712">
        <f>CE77+CF11</f>
        <v>1702.654</v>
      </c>
      <c r="CG77" s="712">
        <f>CF77+CG11</f>
        <v>1757.492</v>
      </c>
      <c r="CH77" s="715">
        <f>CG77</f>
        <v>1757.492</v>
      </c>
      <c r="CI77" s="712">
        <f>CG77+CI11</f>
        <v>1812.575</v>
      </c>
      <c r="CJ77" s="712">
        <f>CI77+CJ11</f>
        <v>1868.182</v>
      </c>
      <c r="CK77" s="712">
        <f>CJ77+CK11</f>
        <v>1923.182</v>
      </c>
      <c r="CL77" s="712">
        <f>CK77+CL11</f>
        <v>1978.182</v>
      </c>
      <c r="CM77" s="715">
        <f>CL77</f>
        <v>1978.182</v>
      </c>
      <c r="CN77" s="712">
        <f>CL77+CN11</f>
        <v>2032.182</v>
      </c>
      <c r="CO77" s="712">
        <f>CN77+CO11</f>
        <v>2086.1819999999998</v>
      </c>
      <c r="CP77" s="712">
        <f>CO77+CP11</f>
        <v>2134.1819999999998</v>
      </c>
      <c r="CQ77" s="712">
        <f>CP77+CQ11</f>
        <v>2180.1819999999998</v>
      </c>
      <c r="CR77" s="715">
        <f>CQ77</f>
        <v>2180.1819999999998</v>
      </c>
      <c r="CS77" s="712">
        <f>CQ77+CS11</f>
        <v>2225.1819999999998</v>
      </c>
      <c r="CT77" s="712">
        <f>CS77+CT11</f>
        <v>2272.1819999999998</v>
      </c>
      <c r="CU77" s="712">
        <f>CT77+CU11</f>
        <v>2320.1819999999998</v>
      </c>
      <c r="CV77" s="712">
        <f>CU77+CV11</f>
        <v>2367.1819999999998</v>
      </c>
      <c r="CW77" s="715">
        <f>CV77</f>
        <v>2367.1819999999998</v>
      </c>
      <c r="CX77" s="712">
        <f>CV77+CX11</f>
        <v>2414.1819999999998</v>
      </c>
      <c r="CY77" s="712">
        <f>CX77+CY11</f>
        <v>2463.1819999999998</v>
      </c>
      <c r="CZ77" s="712">
        <f>CY77+CZ11</f>
        <v>2513.1819999999998</v>
      </c>
      <c r="DA77" s="712">
        <f>CZ77+DA11</f>
        <v>2566.1819999999998</v>
      </c>
      <c r="DB77" s="715">
        <f>DA77</f>
        <v>2566.1819999999998</v>
      </c>
      <c r="DC77" s="712">
        <f>DA77+DC11</f>
        <v>2623.1819999999998</v>
      </c>
      <c r="DD77" s="712">
        <f>DC77+DD11</f>
        <v>2682.1819999999998</v>
      </c>
      <c r="DE77" s="712">
        <f>DD77+DE11</f>
        <v>2750.1819999999998</v>
      </c>
      <c r="DF77" s="712">
        <f>DE77+DF11</f>
        <v>2828.1819999999998</v>
      </c>
      <c r="DG77" s="715">
        <f>DF77</f>
        <v>2828.1819999999998</v>
      </c>
      <c r="DH77" s="712">
        <f>DG77+DH11</f>
        <v>2919.1819999999998</v>
      </c>
      <c r="DI77" s="712">
        <f>DH77+DI11</f>
        <v>3011.1819999999998</v>
      </c>
      <c r="DJ77" s="712">
        <f>DI77+DJ11</f>
        <v>3103.1819999999998</v>
      </c>
      <c r="DK77" s="712">
        <f>DJ77+DK11</f>
        <v>3209.1819999999998</v>
      </c>
      <c r="DL77" s="715">
        <f>DK77</f>
        <v>3209.1819999999998</v>
      </c>
      <c r="DM77" s="712">
        <f>DK77+DM11</f>
        <v>3316.1819999999998</v>
      </c>
      <c r="DN77" s="712">
        <f>DM77+DN11</f>
        <v>3535.1819999999998</v>
      </c>
      <c r="DO77" s="712">
        <f>DN77+DO11</f>
        <v>3834.1819999999998</v>
      </c>
      <c r="DP77" s="712">
        <f>DO77+DP11</f>
        <v>4121.1819999999998</v>
      </c>
      <c r="DQ77" s="715">
        <f>DP77</f>
        <v>4121.1819999999998</v>
      </c>
      <c r="DR77" s="712">
        <f>DP77+DR11</f>
        <v>4402.1819999999998</v>
      </c>
      <c r="DS77" s="712">
        <f>DR77+DS11</f>
        <v>4688.1819999999998</v>
      </c>
      <c r="DT77" s="712">
        <f>DS77+DT11</f>
        <v>4986.1819999999998</v>
      </c>
      <c r="DU77" s="712">
        <f>DT77+DU11</f>
        <v>5295.1819999999998</v>
      </c>
      <c r="DV77" s="715">
        <f>DU77</f>
        <v>5295.1819999999998</v>
      </c>
      <c r="DW77" s="712">
        <f>DU77+DW11</f>
        <v>5629.1819999999998</v>
      </c>
      <c r="DX77" s="712">
        <f>DW77+DX11</f>
        <v>6007.1819999999998</v>
      </c>
      <c r="DY77" s="712">
        <f>DX77+DY11</f>
        <v>6413.1819999999998</v>
      </c>
      <c r="DZ77" s="712">
        <f>DY77+DZ11</f>
        <v>6839.1819999999998</v>
      </c>
      <c r="EA77" s="715">
        <f>DZ77</f>
        <v>6839.1819999999998</v>
      </c>
      <c r="EB77" s="712">
        <f>EA77+EB11</f>
        <v>7223.1819999999998</v>
      </c>
      <c r="EC77" s="712">
        <f>EB77+EC11</f>
        <v>7588.1819999999998</v>
      </c>
      <c r="ED77" s="712">
        <f>EC77+ED11</f>
        <v>7960.1819999999998</v>
      </c>
      <c r="EE77" s="712">
        <f>ED77+EE11</f>
        <v>8347.1820000000007</v>
      </c>
      <c r="EF77" s="715">
        <f>EE77</f>
        <v>8347.1820000000007</v>
      </c>
      <c r="EG77" s="712">
        <f>EF77+EG11</f>
        <v>8757.1820000000007</v>
      </c>
      <c r="EH77" s="712">
        <f>EG77+EH11</f>
        <v>9190.1820000000007</v>
      </c>
      <c r="EI77" s="712">
        <f>EH77+EI11</f>
        <v>9668.1820000000007</v>
      </c>
      <c r="EJ77" s="712">
        <f>EI77+EJ11</f>
        <v>10211.182000000001</v>
      </c>
      <c r="EK77" s="715">
        <f>EJ77</f>
        <v>10211.182000000001</v>
      </c>
      <c r="EL77" s="712">
        <f>EK77+EL11</f>
        <v>10822.182000000001</v>
      </c>
      <c r="EM77" s="712">
        <f>EL77+EM11</f>
        <v>11490.182000000001</v>
      </c>
      <c r="EN77" s="712">
        <f>EM77+EN11</f>
        <v>12242.182000000001</v>
      </c>
      <c r="EO77" s="712">
        <f>EN77+EO11</f>
        <v>13053.182000000001</v>
      </c>
      <c r="EP77" s="715">
        <f>EO77</f>
        <v>13053.182000000001</v>
      </c>
      <c r="EQ77" s="712">
        <f>EP77+EQ11</f>
        <v>14050.182000000001</v>
      </c>
      <c r="ER77" s="712">
        <f>EQ77+ER11</f>
        <v>15052.182000000001</v>
      </c>
      <c r="ES77" s="712">
        <f>ER77+ES11</f>
        <v>16059.182000000001</v>
      </c>
      <c r="ET77" s="712">
        <f>ES77+ET11</f>
        <v>17071.182000000001</v>
      </c>
      <c r="EU77" s="715">
        <f>ET77</f>
        <v>17071.182000000001</v>
      </c>
      <c r="EV77" s="712">
        <f>ET77+EV11</f>
        <v>18088.182000000001</v>
      </c>
      <c r="EW77" s="712">
        <f>EV77+EW11</f>
        <v>19110.182000000001</v>
      </c>
      <c r="EX77" s="712">
        <f>EW77+EX11</f>
        <v>20137.182000000001</v>
      </c>
      <c r="EY77" s="712">
        <f>EX77+EY11</f>
        <v>21169.182000000001</v>
      </c>
      <c r="EZ77" s="715">
        <f>EY77</f>
        <v>21169.182000000001</v>
      </c>
      <c r="FA77" s="712">
        <f>EY77+FA11</f>
        <v>22206.182000000001</v>
      </c>
      <c r="FB77" s="712">
        <f>FA77+FB11</f>
        <v>23248.182000000001</v>
      </c>
      <c r="FC77" s="712">
        <f>FB77+FC11</f>
        <v>24295.182000000001</v>
      </c>
      <c r="FD77" s="712">
        <f>FC77+FD11</f>
        <v>25347.182000000001</v>
      </c>
      <c r="FE77" s="715">
        <f>FD77</f>
        <v>25347.182000000001</v>
      </c>
      <c r="FF77" s="712">
        <f>FD77+FF11</f>
        <v>26404.182000000001</v>
      </c>
      <c r="FG77" s="712">
        <f>FF77+FG11</f>
        <v>27466.182000000001</v>
      </c>
      <c r="FH77" s="712">
        <f>FG77+FH11</f>
        <v>28533.182000000001</v>
      </c>
      <c r="FI77" s="712">
        <f>FH77+FI11</f>
        <v>29605.182000000001</v>
      </c>
      <c r="FJ77" s="715">
        <f>FI77</f>
        <v>29605.182000000001</v>
      </c>
      <c r="FK77" s="712">
        <f>FI77+FK11</f>
        <v>30682.182000000001</v>
      </c>
      <c r="FL77" s="712">
        <f>FK77+FL11</f>
        <v>31764.182000000001</v>
      </c>
      <c r="FM77" s="712">
        <f>FL77+FM11</f>
        <v>32851.182000000001</v>
      </c>
      <c r="FN77" s="712">
        <f>FM77+FN11</f>
        <v>33943.182000000001</v>
      </c>
      <c r="FO77" s="715">
        <f>FN77</f>
        <v>33943.182000000001</v>
      </c>
      <c r="FP77" s="715"/>
    </row>
    <row r="78" spans="1:172">
      <c r="A78" s="171" t="s">
        <v>435</v>
      </c>
      <c r="B78" s="665"/>
      <c r="C78" s="665"/>
      <c r="D78" s="665"/>
      <c r="E78" s="665"/>
      <c r="F78" s="665"/>
      <c r="G78" s="665"/>
      <c r="H78" s="665"/>
      <c r="I78" s="665"/>
      <c r="J78" s="665"/>
      <c r="K78" s="714"/>
      <c r="L78" s="199">
        <v>22.690999999999999</v>
      </c>
      <c r="M78" s="199">
        <v>22.742000000000001</v>
      </c>
      <c r="N78" s="199">
        <v>26.623999999999999</v>
      </c>
      <c r="O78" s="199">
        <v>25.885999999999999</v>
      </c>
      <c r="P78" s="715">
        <f>O78</f>
        <v>25.885999999999999</v>
      </c>
      <c r="Q78" s="199">
        <v>30.443000000000001</v>
      </c>
      <c r="R78" s="199">
        <v>34.908000000000001</v>
      </c>
      <c r="S78" s="199">
        <v>37.424999999999997</v>
      </c>
      <c r="T78" s="199">
        <v>47.28</v>
      </c>
      <c r="U78" s="715">
        <f>T78</f>
        <v>47.28</v>
      </c>
      <c r="V78" s="199">
        <v>74.332999999999998</v>
      </c>
      <c r="W78" s="199">
        <v>94.863</v>
      </c>
      <c r="X78" s="199">
        <v>108.69499999999999</v>
      </c>
      <c r="Y78" s="199">
        <v>120.128</v>
      </c>
      <c r="Z78" s="715">
        <f>Y78</f>
        <v>120.128</v>
      </c>
      <c r="AA78" s="199">
        <v>131.267</v>
      </c>
      <c r="AB78" s="199">
        <v>143.578</v>
      </c>
      <c r="AC78" s="199">
        <v>138.77799999999999</v>
      </c>
      <c r="AD78" s="712">
        <f>AD76-AD77</f>
        <v>135.15199999999999</v>
      </c>
      <c r="AE78" s="715">
        <f>AD78</f>
        <v>135.15199999999999</v>
      </c>
      <c r="AF78" s="712">
        <v>148.904</v>
      </c>
      <c r="AG78" s="712">
        <v>198.94499999999999</v>
      </c>
      <c r="AH78" s="712">
        <v>196.23</v>
      </c>
      <c r="AI78" s="712">
        <f>AI76-AI77</f>
        <v>190.029</v>
      </c>
      <c r="AJ78" s="715">
        <f>AI78</f>
        <v>190.029</v>
      </c>
      <c r="AK78" s="712">
        <v>185.041</v>
      </c>
      <c r="AL78" s="712">
        <f>AL76-AL77</f>
        <v>182.98799999999997</v>
      </c>
      <c r="AM78" s="712">
        <f>AM76-AM77</f>
        <v>182.19800000000001</v>
      </c>
      <c r="AN78" s="712">
        <f>AN76-AN77</f>
        <v>178.95499999999998</v>
      </c>
      <c r="AO78" s="715">
        <f>AN78</f>
        <v>178.95499999999998</v>
      </c>
      <c r="AP78" s="712">
        <v>169.23599999999999</v>
      </c>
      <c r="AQ78" s="712">
        <v>178.95099999999999</v>
      </c>
      <c r="AR78" s="712">
        <v>178.505</v>
      </c>
      <c r="AS78" s="712">
        <v>178.15199999999999</v>
      </c>
      <c r="AT78" s="715">
        <f>AS78</f>
        <v>178.15199999999999</v>
      </c>
      <c r="AU78" s="712">
        <v>180.20599999999999</v>
      </c>
      <c r="AV78" s="712">
        <v>177.14400000000001</v>
      </c>
      <c r="AW78" s="712">
        <v>220.54</v>
      </c>
      <c r="AX78" s="712">
        <v>260.82799999999997</v>
      </c>
      <c r="AY78" s="715">
        <f>AX78</f>
        <v>260.82799999999997</v>
      </c>
      <c r="AZ78" s="712">
        <v>271.19</v>
      </c>
      <c r="BA78" s="712">
        <v>264.83199999999999</v>
      </c>
      <c r="BB78" s="712">
        <v>322.94600000000003</v>
      </c>
      <c r="BC78" s="712">
        <v>359.80799999999999</v>
      </c>
      <c r="BD78" s="715">
        <f>BC78</f>
        <v>359.80799999999999</v>
      </c>
      <c r="BE78" s="712">
        <v>522.05600000000004</v>
      </c>
      <c r="BF78" s="712">
        <v>599.47799999999995</v>
      </c>
      <c r="BG78" s="712">
        <v>609.67399999999998</v>
      </c>
      <c r="BH78" s="712">
        <v>625.798</v>
      </c>
      <c r="BI78" s="715">
        <f>BH78</f>
        <v>625.798</v>
      </c>
      <c r="BJ78" s="712">
        <v>601.053</v>
      </c>
      <c r="BK78" s="712">
        <v>582.91399999999999</v>
      </c>
      <c r="BL78" s="712">
        <v>565.29600000000005</v>
      </c>
      <c r="BM78" s="712">
        <v>571.85799999999995</v>
      </c>
      <c r="BN78" s="715">
        <f>BM78</f>
        <v>571.85799999999995</v>
      </c>
      <c r="BO78" s="712">
        <v>548.91600000000005</v>
      </c>
      <c r="BP78" s="712">
        <v>542.21600000000001</v>
      </c>
      <c r="BQ78" s="712">
        <v>585.67200000000003</v>
      </c>
      <c r="BR78" s="712">
        <v>614.43100000000004</v>
      </c>
      <c r="BS78" s="715">
        <f>BR78</f>
        <v>614.43100000000004</v>
      </c>
      <c r="BT78" s="712">
        <v>553.36599999999999</v>
      </c>
      <c r="BU78" s="712">
        <v>550.89599999999996</v>
      </c>
      <c r="BV78" s="712">
        <v>551.75699999999995</v>
      </c>
      <c r="BW78" s="712">
        <v>560.072</v>
      </c>
      <c r="BX78" s="715">
        <f>BW78</f>
        <v>560.072</v>
      </c>
      <c r="BY78" s="712">
        <v>553.54100000000005</v>
      </c>
      <c r="BZ78" s="712">
        <v>574.05600000000004</v>
      </c>
      <c r="CA78" s="712">
        <v>566.54</v>
      </c>
      <c r="CB78" s="712">
        <v>576.14400000000001</v>
      </c>
      <c r="CC78" s="715">
        <f>CB78</f>
        <v>576.14400000000001</v>
      </c>
      <c r="CD78" s="712">
        <v>588.02300000000002</v>
      </c>
      <c r="CE78" s="712">
        <v>578.94799999999998</v>
      </c>
      <c r="CF78" s="712">
        <v>595.41800000000001</v>
      </c>
      <c r="CG78" s="712">
        <v>582.74</v>
      </c>
      <c r="CH78" s="715">
        <f>CG78</f>
        <v>582.74</v>
      </c>
      <c r="CI78" s="712">
        <v>570.80200000000002</v>
      </c>
      <c r="CJ78" s="712">
        <v>556.91099999999994</v>
      </c>
      <c r="CK78" s="712">
        <v>566.601</v>
      </c>
      <c r="CL78" s="712">
        <v>557.28200000000004</v>
      </c>
      <c r="CM78" s="715">
        <f>CL78</f>
        <v>557.28200000000004</v>
      </c>
      <c r="CN78" s="712">
        <v>547</v>
      </c>
      <c r="CO78" s="712">
        <v>497</v>
      </c>
      <c r="CP78" s="712">
        <v>477</v>
      </c>
      <c r="CQ78" s="712">
        <v>466</v>
      </c>
      <c r="CR78" s="715">
        <f>CQ78</f>
        <v>466</v>
      </c>
      <c r="CS78" s="712">
        <v>479</v>
      </c>
      <c r="CT78" s="712">
        <v>485</v>
      </c>
      <c r="CU78" s="712">
        <v>503</v>
      </c>
      <c r="CV78" s="712">
        <v>521</v>
      </c>
      <c r="CW78" s="715">
        <f>CV78</f>
        <v>521</v>
      </c>
      <c r="CX78" s="712">
        <v>539</v>
      </c>
      <c r="CY78" s="712">
        <v>578</v>
      </c>
      <c r="CZ78" s="712">
        <v>600</v>
      </c>
      <c r="DA78" s="712">
        <v>997</v>
      </c>
      <c r="DB78" s="715">
        <f>DA78</f>
        <v>997</v>
      </c>
      <c r="DC78" s="712">
        <v>1066</v>
      </c>
      <c r="DD78" s="712">
        <v>1162</v>
      </c>
      <c r="DE78" s="712">
        <v>1292</v>
      </c>
      <c r="DF78" s="712">
        <v>1404</v>
      </c>
      <c r="DG78" s="715">
        <f>DF78</f>
        <v>1404</v>
      </c>
      <c r="DH78" s="712">
        <v>1473</v>
      </c>
      <c r="DI78" s="712">
        <v>1484</v>
      </c>
      <c r="DJ78" s="712">
        <v>1517</v>
      </c>
      <c r="DK78" s="712">
        <v>1674</v>
      </c>
      <c r="DL78" s="715">
        <f>DK78</f>
        <v>1674</v>
      </c>
      <c r="DM78" s="712">
        <v>1715</v>
      </c>
      <c r="DN78" s="712">
        <v>1964</v>
      </c>
      <c r="DO78" s="712">
        <v>2059</v>
      </c>
      <c r="DP78" s="712">
        <v>2149</v>
      </c>
      <c r="DQ78" s="715">
        <f>DP78</f>
        <v>2149</v>
      </c>
      <c r="DR78" s="712">
        <v>2268</v>
      </c>
      <c r="DS78" s="712">
        <v>2364</v>
      </c>
      <c r="DT78" s="712">
        <v>2509</v>
      </c>
      <c r="DU78" s="712">
        <v>2778</v>
      </c>
      <c r="DV78" s="715">
        <f>DU78</f>
        <v>2778</v>
      </c>
      <c r="DW78" s="712">
        <v>2916</v>
      </c>
      <c r="DX78" s="712">
        <v>3233</v>
      </c>
      <c r="DY78" s="712">
        <v>3774</v>
      </c>
      <c r="DZ78" s="712">
        <v>3807</v>
      </c>
      <c r="EA78" s="715">
        <f>DZ78</f>
        <v>3807</v>
      </c>
      <c r="EB78" s="712">
        <v>3740</v>
      </c>
      <c r="EC78" s="712">
        <v>3799</v>
      </c>
      <c r="ED78" s="712">
        <v>3844</v>
      </c>
      <c r="EE78" s="712">
        <v>3914</v>
      </c>
      <c r="EF78" s="715">
        <f>EE78</f>
        <v>3914</v>
      </c>
      <c r="EG78" s="712">
        <v>4006</v>
      </c>
      <c r="EH78" s="712">
        <v>4885</v>
      </c>
      <c r="EI78" s="712">
        <v>5343</v>
      </c>
      <c r="EJ78" s="712">
        <v>6283</v>
      </c>
      <c r="EK78" s="715">
        <f>EJ78</f>
        <v>6283</v>
      </c>
      <c r="EL78" s="712">
        <v>7136</v>
      </c>
      <c r="EM78" s="712">
        <v>9141</v>
      </c>
      <c r="EN78" s="712">
        <v>9780</v>
      </c>
      <c r="EO78" s="712">
        <v>10383</v>
      </c>
      <c r="EP78" s="715">
        <f>EO78</f>
        <v>10383</v>
      </c>
      <c r="EQ78" s="712">
        <v>12403</v>
      </c>
      <c r="ER78" s="712">
        <f>ER76-ER77</f>
        <v>13401</v>
      </c>
      <c r="ES78" s="712">
        <f>ES76-ES77</f>
        <v>14394</v>
      </c>
      <c r="ET78" s="712">
        <f>ET76-ET77</f>
        <v>15382</v>
      </c>
      <c r="EU78" s="715">
        <f>ET78</f>
        <v>15382</v>
      </c>
      <c r="EV78" s="712">
        <f>EV76-EV77</f>
        <v>17365</v>
      </c>
      <c r="EW78" s="712">
        <f>EW76-EW77</f>
        <v>19343</v>
      </c>
      <c r="EX78" s="712">
        <f>EX76-EX77</f>
        <v>21316</v>
      </c>
      <c r="EY78" s="712">
        <f>EY76-EY77</f>
        <v>23284</v>
      </c>
      <c r="EZ78" s="715">
        <f>EY78</f>
        <v>23284</v>
      </c>
      <c r="FA78" s="712">
        <f>FA76-FA77</f>
        <v>25247</v>
      </c>
      <c r="FB78" s="712">
        <f>FB76-FB77</f>
        <v>27205</v>
      </c>
      <c r="FC78" s="712">
        <f>FC76-FC77</f>
        <v>29158</v>
      </c>
      <c r="FD78" s="712">
        <f>FD76-FD77</f>
        <v>31106</v>
      </c>
      <c r="FE78" s="715">
        <f>FD78</f>
        <v>31106</v>
      </c>
      <c r="FF78" s="712">
        <f>FF76-FF77</f>
        <v>33049</v>
      </c>
      <c r="FG78" s="712">
        <f>FG76-FG77</f>
        <v>34987</v>
      </c>
      <c r="FH78" s="712">
        <f>FH76-FH77</f>
        <v>36920</v>
      </c>
      <c r="FI78" s="712">
        <f>FI76-FI77</f>
        <v>38848</v>
      </c>
      <c r="FJ78" s="715">
        <f>FI78</f>
        <v>38848</v>
      </c>
      <c r="FK78" s="712">
        <f>FK76-FK77</f>
        <v>40771</v>
      </c>
      <c r="FL78" s="712">
        <f>FL76-FL77</f>
        <v>42689</v>
      </c>
      <c r="FM78" s="712">
        <f>FM76-FM77</f>
        <v>44602</v>
      </c>
      <c r="FN78" s="712">
        <f>FN76-FN77</f>
        <v>46510</v>
      </c>
      <c r="FO78" s="715">
        <f>FN78</f>
        <v>46510</v>
      </c>
      <c r="FP78" s="715"/>
    </row>
    <row r="79" spans="1:172">
      <c r="B79" s="665"/>
      <c r="C79" s="665"/>
      <c r="D79" s="665"/>
      <c r="E79" s="665"/>
      <c r="F79" s="665"/>
      <c r="G79" s="665"/>
      <c r="H79" s="665"/>
      <c r="I79" s="665"/>
      <c r="J79" s="665"/>
      <c r="K79" s="149"/>
      <c r="L79" s="199"/>
      <c r="M79" s="199"/>
      <c r="N79" s="199"/>
      <c r="O79" s="199"/>
      <c r="P79" s="712"/>
      <c r="Q79" s="199"/>
      <c r="R79" s="199"/>
      <c r="S79" s="199"/>
      <c r="T79" s="199"/>
      <c r="U79" s="712"/>
      <c r="V79" s="724"/>
      <c r="W79" s="199"/>
      <c r="X79" s="199"/>
      <c r="Y79" s="199"/>
      <c r="Z79" s="712"/>
      <c r="AA79" s="199"/>
      <c r="AB79" s="199"/>
      <c r="AC79" s="199"/>
      <c r="AD79" s="199"/>
      <c r="AE79" s="712"/>
      <c r="AF79" s="199"/>
      <c r="AG79" s="199"/>
      <c r="AH79" s="199"/>
      <c r="AI79" s="199"/>
      <c r="AJ79" s="712"/>
      <c r="AK79" s="199"/>
      <c r="AL79" s="199"/>
      <c r="AM79" s="712"/>
      <c r="AN79" s="712"/>
      <c r="AO79" s="712"/>
      <c r="AP79" s="712"/>
      <c r="AQ79" s="712"/>
      <c r="AR79" s="712"/>
      <c r="AS79" s="712"/>
      <c r="AT79" s="712"/>
      <c r="AU79" s="712"/>
      <c r="AV79" s="712"/>
      <c r="AW79" s="712"/>
      <c r="AX79" s="712"/>
      <c r="AY79" s="712"/>
      <c r="AZ79" s="712"/>
      <c r="BA79" s="712"/>
      <c r="BB79" s="712"/>
      <c r="BC79" s="712"/>
      <c r="BD79" s="712"/>
      <c r="BE79" s="712"/>
      <c r="BF79" s="712"/>
      <c r="BG79" s="712"/>
      <c r="BH79" s="712"/>
      <c r="BI79" s="712"/>
      <c r="BJ79" s="712"/>
      <c r="BK79" s="712"/>
      <c r="BL79" s="712"/>
      <c r="BM79" s="712"/>
      <c r="BN79" s="712"/>
      <c r="BO79" s="712"/>
      <c r="BP79" s="712"/>
      <c r="BQ79" s="712"/>
      <c r="BR79" s="712"/>
      <c r="BS79" s="712"/>
      <c r="BT79" s="712"/>
      <c r="BU79" s="712"/>
      <c r="BV79" s="712"/>
      <c r="BW79" s="712"/>
      <c r="BX79" s="712"/>
      <c r="BY79" s="712"/>
      <c r="BZ79" s="712"/>
      <c r="CA79" s="712"/>
      <c r="CB79" s="712"/>
      <c r="CC79" s="712"/>
      <c r="CD79" s="712"/>
      <c r="CE79" s="712"/>
      <c r="CF79" s="712"/>
      <c r="CG79" s="712"/>
      <c r="CH79" s="712"/>
      <c r="CI79" s="712"/>
      <c r="CJ79" s="712"/>
      <c r="CK79" s="712"/>
      <c r="CL79" s="712"/>
      <c r="CM79" s="712"/>
      <c r="CN79" s="712"/>
      <c r="CO79" s="712"/>
      <c r="CP79" s="712"/>
      <c r="CQ79" s="712"/>
      <c r="CR79" s="712"/>
      <c r="CS79" s="712"/>
      <c r="CT79" s="712"/>
      <c r="CU79" s="712"/>
      <c r="CV79" s="712"/>
      <c r="CW79" s="712"/>
      <c r="CX79" s="712"/>
      <c r="CY79" s="712"/>
      <c r="CZ79" s="712"/>
      <c r="DA79" s="712"/>
      <c r="DB79" s="712"/>
      <c r="DC79" s="712"/>
      <c r="DD79" s="712"/>
      <c r="DE79" s="712"/>
      <c r="DF79" s="712"/>
      <c r="DG79" s="712"/>
      <c r="DH79" s="712"/>
      <c r="DI79" s="712"/>
      <c r="DJ79" s="712"/>
      <c r="DK79" s="712"/>
      <c r="DL79" s="712"/>
      <c r="DM79" s="712"/>
      <c r="DN79" s="712"/>
      <c r="DO79" s="712"/>
      <c r="DP79" s="712"/>
      <c r="DQ79" s="712"/>
      <c r="DR79" s="712"/>
      <c r="DS79" s="712"/>
      <c r="DT79" s="712"/>
      <c r="DU79" s="712"/>
      <c r="DV79" s="712"/>
      <c r="DW79" s="712"/>
      <c r="DX79" s="712"/>
      <c r="DY79" s="712"/>
      <c r="DZ79" s="712"/>
      <c r="EA79" s="712"/>
      <c r="EB79" s="712"/>
      <c r="EC79" s="712"/>
      <c r="ED79" s="712"/>
      <c r="EE79" s="712"/>
      <c r="EF79" s="712"/>
      <c r="EG79" s="712"/>
      <c r="EH79" s="712"/>
      <c r="EI79" s="712"/>
      <c r="EJ79" s="712"/>
      <c r="EK79" s="712"/>
      <c r="EL79" s="712"/>
      <c r="EM79" s="712"/>
      <c r="EN79" s="712"/>
      <c r="EO79" s="712"/>
      <c r="EP79" s="712"/>
      <c r="EQ79" s="712"/>
      <c r="ER79" s="712"/>
      <c r="ES79" s="712"/>
      <c r="ET79" s="712"/>
      <c r="EU79" s="712"/>
      <c r="EV79" s="712"/>
      <c r="EW79" s="712"/>
      <c r="EX79" s="712"/>
      <c r="EY79" s="712"/>
      <c r="EZ79" s="712"/>
      <c r="FA79" s="712"/>
      <c r="FB79" s="712"/>
      <c r="FC79" s="712"/>
      <c r="FD79" s="712"/>
      <c r="FE79" s="712"/>
      <c r="FF79" s="712"/>
      <c r="FG79" s="712"/>
      <c r="FH79" s="712"/>
      <c r="FI79" s="712"/>
      <c r="FJ79" s="712"/>
      <c r="FK79" s="712"/>
      <c r="FL79" s="712"/>
      <c r="FM79" s="712"/>
      <c r="FN79" s="712"/>
      <c r="FO79" s="712"/>
      <c r="FP79" s="712"/>
    </row>
    <row r="80" spans="1:172">
      <c r="A80" s="147" t="s">
        <v>436</v>
      </c>
      <c r="B80" s="665"/>
      <c r="C80" s="665"/>
      <c r="D80" s="665"/>
      <c r="E80" s="665"/>
      <c r="F80" s="665"/>
      <c r="G80" s="665"/>
      <c r="H80" s="665"/>
      <c r="I80" s="665"/>
      <c r="J80" s="665"/>
      <c r="K80" s="186"/>
      <c r="L80" s="199"/>
      <c r="M80" s="199"/>
      <c r="N80" s="199"/>
      <c r="O80" s="199"/>
      <c r="P80" s="712"/>
      <c r="Q80" s="724"/>
      <c r="R80" s="199"/>
      <c r="S80" s="199"/>
      <c r="T80" s="724"/>
      <c r="U80" s="712"/>
      <c r="V80" s="724"/>
      <c r="W80" s="724"/>
      <c r="X80" s="724"/>
      <c r="Y80" s="199"/>
      <c r="Z80" s="712"/>
      <c r="AA80" s="199"/>
      <c r="AB80" s="199"/>
      <c r="AC80" s="199"/>
      <c r="AD80" s="199"/>
      <c r="AE80" s="712"/>
      <c r="AF80" s="199"/>
      <c r="AG80" s="199"/>
      <c r="AH80" s="199"/>
      <c r="AI80" s="199"/>
      <c r="AJ80" s="712"/>
      <c r="AK80" s="199"/>
      <c r="AL80" s="199"/>
      <c r="AM80" s="712"/>
      <c r="AN80" s="712"/>
      <c r="AO80" s="712"/>
      <c r="AP80" s="712"/>
      <c r="AQ80" s="712"/>
      <c r="AR80" s="712"/>
      <c r="AS80" s="712"/>
      <c r="AT80" s="712"/>
      <c r="AU80" s="712"/>
      <c r="AV80" s="712"/>
      <c r="AW80" s="712"/>
      <c r="AX80" s="712"/>
      <c r="AY80" s="712"/>
      <c r="AZ80" s="712"/>
      <c r="BA80" s="712"/>
      <c r="BB80" s="712"/>
      <c r="BC80" s="712"/>
      <c r="BD80" s="712"/>
      <c r="BE80" s="712"/>
      <c r="BF80" s="712"/>
      <c r="BG80" s="712"/>
      <c r="BH80" s="712"/>
      <c r="BI80" s="712"/>
      <c r="BJ80" s="712"/>
      <c r="BK80" s="712"/>
      <c r="BL80" s="712"/>
      <c r="BM80" s="712"/>
      <c r="BN80" s="712"/>
      <c r="BO80" s="712"/>
      <c r="BP80" s="712"/>
      <c r="BQ80" s="712"/>
      <c r="BR80" s="712"/>
      <c r="BS80" s="712"/>
      <c r="BT80" s="712"/>
      <c r="BU80" s="712"/>
      <c r="BV80" s="712"/>
      <c r="BW80" s="712"/>
      <c r="BX80" s="712"/>
      <c r="BY80" s="712"/>
      <c r="BZ80" s="712"/>
      <c r="CA80" s="712"/>
      <c r="CB80" s="712"/>
      <c r="CC80" s="712"/>
      <c r="CD80" s="712"/>
      <c r="CE80" s="712"/>
      <c r="CF80" s="712"/>
      <c r="CG80" s="712"/>
      <c r="CH80" s="712"/>
      <c r="CI80" s="712"/>
      <c r="CJ80" s="712"/>
      <c r="CK80" s="712"/>
      <c r="CL80" s="712"/>
      <c r="CM80" s="712"/>
      <c r="CN80" s="712"/>
      <c r="CO80" s="712"/>
      <c r="CP80" s="712"/>
      <c r="CQ80" s="712"/>
      <c r="CR80" s="712"/>
      <c r="CS80" s="712"/>
      <c r="CT80" s="712"/>
      <c r="CU80" s="712"/>
      <c r="CV80" s="712"/>
      <c r="CW80" s="712"/>
      <c r="CX80" s="712"/>
      <c r="CY80" s="712"/>
      <c r="CZ80" s="712"/>
      <c r="DA80" s="712"/>
      <c r="DB80" s="712"/>
      <c r="DC80" s="712"/>
      <c r="DD80" s="712"/>
      <c r="DE80" s="712"/>
      <c r="DF80" s="712"/>
      <c r="DG80" s="712"/>
      <c r="DH80" s="712"/>
      <c r="DI80" s="712"/>
      <c r="DJ80" s="712"/>
      <c r="DK80" s="712"/>
      <c r="DL80" s="712"/>
      <c r="DM80" s="712"/>
      <c r="DN80" s="712"/>
      <c r="DO80" s="712"/>
      <c r="DP80" s="712"/>
      <c r="DQ80" s="712"/>
      <c r="DR80" s="712"/>
      <c r="DS80" s="712"/>
      <c r="DT80" s="712"/>
      <c r="DU80" s="712"/>
      <c r="DV80" s="712"/>
      <c r="DW80" s="712"/>
      <c r="DX80" s="712"/>
      <c r="DY80" s="712"/>
      <c r="DZ80" s="712"/>
      <c r="EA80" s="712"/>
      <c r="EB80" s="712"/>
      <c r="EC80" s="712"/>
      <c r="ED80" s="712"/>
      <c r="EE80" s="712"/>
      <c r="EF80" s="712"/>
      <c r="EG80" s="712"/>
      <c r="EH80" s="712"/>
      <c r="EI80" s="712"/>
      <c r="EJ80" s="712"/>
      <c r="EK80" s="712"/>
      <c r="EL80" s="712"/>
      <c r="EM80" s="712"/>
      <c r="EN80" s="712"/>
      <c r="EO80" s="712"/>
      <c r="EP80" s="712"/>
      <c r="EQ80" s="712"/>
      <c r="ER80" s="712"/>
      <c r="ES80" s="712"/>
      <c r="ET80" s="712"/>
      <c r="EU80" s="712"/>
      <c r="EV80" s="712"/>
      <c r="EW80" s="712"/>
      <c r="EX80" s="712"/>
      <c r="EY80" s="712"/>
      <c r="EZ80" s="712"/>
      <c r="FA80" s="712"/>
      <c r="FB80" s="712"/>
      <c r="FC80" s="712"/>
      <c r="FD80" s="712"/>
      <c r="FE80" s="712"/>
      <c r="FF80" s="712"/>
      <c r="FG80" s="712"/>
      <c r="FH80" s="712"/>
      <c r="FI80" s="712"/>
      <c r="FJ80" s="712"/>
      <c r="FK80" s="712"/>
      <c r="FL80" s="712"/>
      <c r="FM80" s="712"/>
      <c r="FN80" s="712"/>
      <c r="FO80" s="712"/>
      <c r="FP80" s="712"/>
    </row>
    <row r="81" spans="1:173">
      <c r="A81" s="171" t="s">
        <v>437</v>
      </c>
      <c r="B81" s="665"/>
      <c r="C81" s="665"/>
      <c r="D81" s="665"/>
      <c r="E81" s="665"/>
      <c r="F81" s="665"/>
      <c r="G81" s="665"/>
      <c r="H81" s="665"/>
      <c r="I81" s="665"/>
      <c r="J81" s="665"/>
      <c r="K81" s="714"/>
      <c r="L81" s="199"/>
      <c r="M81" s="199"/>
      <c r="N81" s="199"/>
      <c r="O81" s="199"/>
      <c r="P81" s="715">
        <f>O81</f>
        <v>0</v>
      </c>
      <c r="Q81" s="199"/>
      <c r="R81" s="199"/>
      <c r="S81" s="199"/>
      <c r="T81" s="199"/>
      <c r="U81" s="715">
        <f>T81</f>
        <v>0</v>
      </c>
      <c r="V81" s="199"/>
      <c r="W81" s="199"/>
      <c r="X81" s="199"/>
      <c r="Y81" s="199"/>
      <c r="Z81" s="715">
        <f>Y81</f>
        <v>0</v>
      </c>
      <c r="AA81" s="199"/>
      <c r="AB81" s="199"/>
      <c r="AC81" s="199">
        <v>10.423999999999999</v>
      </c>
      <c r="AD81" s="199">
        <v>10.473000000000001</v>
      </c>
      <c r="AE81" s="715">
        <f>AD81</f>
        <v>10.473000000000001</v>
      </c>
      <c r="AF81" s="199">
        <v>12.170999999999999</v>
      </c>
      <c r="AG81" s="199">
        <v>12.72</v>
      </c>
      <c r="AH81" s="199">
        <v>6.7329999999999997</v>
      </c>
      <c r="AI81" s="199">
        <v>7.7309999999999999</v>
      </c>
      <c r="AJ81" s="715">
        <f>AI81</f>
        <v>7.7309999999999999</v>
      </c>
      <c r="AK81" s="199">
        <v>7.2549999999999999</v>
      </c>
      <c r="AL81" s="199">
        <v>8.2769999999999992</v>
      </c>
      <c r="AM81" s="199">
        <v>8.1319999999999997</v>
      </c>
      <c r="AN81" s="199">
        <v>9.0340000000000007</v>
      </c>
      <c r="AO81" s="715">
        <f>AN81</f>
        <v>9.0340000000000007</v>
      </c>
      <c r="AP81" s="199">
        <v>10.678000000000001</v>
      </c>
      <c r="AQ81" s="199">
        <v>15.977</v>
      </c>
      <c r="AR81" s="712">
        <v>24.713000000000001</v>
      </c>
      <c r="AS81" s="712">
        <v>27.477</v>
      </c>
      <c r="AT81" s="715">
        <f>AS81</f>
        <v>27.477</v>
      </c>
      <c r="AU81" s="712">
        <v>31.027999999999999</v>
      </c>
      <c r="AV81" s="712">
        <v>37.527000000000001</v>
      </c>
      <c r="AW81" s="712">
        <v>42.103999999999999</v>
      </c>
      <c r="AX81" s="712">
        <v>28.349</v>
      </c>
      <c r="AY81" s="715">
        <f>AX81</f>
        <v>28.349</v>
      </c>
      <c r="AZ81" s="712">
        <v>33.454000000000001</v>
      </c>
      <c r="BA81" s="712">
        <v>25.911999999999999</v>
      </c>
      <c r="BB81" s="712">
        <v>25.155999999999999</v>
      </c>
      <c r="BC81" s="712">
        <v>38.051000000000002</v>
      </c>
      <c r="BD81" s="715">
        <f>BC81</f>
        <v>38.051000000000002</v>
      </c>
      <c r="BE81" s="712">
        <v>40.389000000000003</v>
      </c>
      <c r="BF81" s="712">
        <v>35.404000000000003</v>
      </c>
      <c r="BG81" s="712">
        <v>37.192999999999998</v>
      </c>
      <c r="BH81" s="712">
        <v>40.026000000000003</v>
      </c>
      <c r="BI81" s="715">
        <f>BH81</f>
        <v>40.026000000000003</v>
      </c>
      <c r="BJ81" s="712">
        <v>44.677</v>
      </c>
      <c r="BK81" s="712">
        <v>42.067999999999998</v>
      </c>
      <c r="BL81" s="712">
        <v>42.901000000000003</v>
      </c>
      <c r="BM81" s="712">
        <v>42.927999999999997</v>
      </c>
      <c r="BN81" s="715">
        <f>BM81</f>
        <v>42.927999999999997</v>
      </c>
      <c r="BO81" s="712">
        <v>41.866999999999997</v>
      </c>
      <c r="BP81" s="712">
        <v>44.366999999999997</v>
      </c>
      <c r="BQ81" s="712">
        <v>39.719000000000001</v>
      </c>
      <c r="BR81" s="712">
        <v>40.85</v>
      </c>
      <c r="BS81" s="715">
        <f>BR81</f>
        <v>40.85</v>
      </c>
      <c r="BT81" s="712">
        <v>38.01</v>
      </c>
      <c r="BU81" s="712">
        <v>93.512</v>
      </c>
      <c r="BV81" s="712">
        <v>46.323</v>
      </c>
      <c r="BW81" s="712">
        <v>120.33199999999999</v>
      </c>
      <c r="BX81" s="715">
        <f>BW81</f>
        <v>120.33199999999999</v>
      </c>
      <c r="BY81" s="712">
        <v>118.08499999999999</v>
      </c>
      <c r="BZ81" s="712">
        <v>116.006</v>
      </c>
      <c r="CA81" s="712">
        <v>111.499</v>
      </c>
      <c r="CB81" s="712">
        <v>107.48099999999999</v>
      </c>
      <c r="CC81" s="715">
        <f>CB81</f>
        <v>107.48099999999999</v>
      </c>
      <c r="CD81" s="712">
        <v>107.125</v>
      </c>
      <c r="CE81" s="712">
        <v>104.486</v>
      </c>
      <c r="CF81" s="712">
        <v>102.346</v>
      </c>
      <c r="CG81" s="712">
        <v>0</v>
      </c>
      <c r="CH81" s="715">
        <f>CG81</f>
        <v>0</v>
      </c>
      <c r="CI81" s="712">
        <v>0</v>
      </c>
      <c r="CJ81" s="712">
        <v>0</v>
      </c>
      <c r="CK81" s="712">
        <v>93.679000000000002</v>
      </c>
      <c r="CL81" s="712">
        <v>90.896000000000001</v>
      </c>
      <c r="CM81" s="715">
        <f>CL81</f>
        <v>90.896000000000001</v>
      </c>
      <c r="CN81" s="712">
        <v>89</v>
      </c>
      <c r="CO81" s="712">
        <v>66</v>
      </c>
      <c r="CP81" s="712">
        <v>73</v>
      </c>
      <c r="CQ81" s="712">
        <v>67</v>
      </c>
      <c r="CR81" s="715">
        <f>CQ81</f>
        <v>67</v>
      </c>
      <c r="CS81" s="712">
        <v>66</v>
      </c>
      <c r="CT81" s="712">
        <v>64</v>
      </c>
      <c r="CU81" s="712">
        <v>64</v>
      </c>
      <c r="CV81" s="712">
        <v>62</v>
      </c>
      <c r="CW81" s="715">
        <f>CV81</f>
        <v>62</v>
      </c>
      <c r="CX81" s="712">
        <v>47</v>
      </c>
      <c r="CY81" s="712">
        <v>60</v>
      </c>
      <c r="CZ81" s="712">
        <v>70</v>
      </c>
      <c r="DA81" s="712">
        <v>0</v>
      </c>
      <c r="DB81" s="715">
        <f>DA81</f>
        <v>0</v>
      </c>
      <c r="DC81" s="712">
        <f>DA81</f>
        <v>0</v>
      </c>
      <c r="DD81" s="712">
        <f t="shared" ref="DD81:DG83" si="65">DC81</f>
        <v>0</v>
      </c>
      <c r="DE81" s="712">
        <f t="shared" si="65"/>
        <v>0</v>
      </c>
      <c r="DF81" s="712">
        <f t="shared" si="65"/>
        <v>0</v>
      </c>
      <c r="DG81" s="715">
        <f t="shared" si="65"/>
        <v>0</v>
      </c>
      <c r="DH81" s="712">
        <f>DF81</f>
        <v>0</v>
      </c>
      <c r="DI81" s="712">
        <v>0</v>
      </c>
      <c r="DJ81" s="712">
        <f t="shared" ref="DJ81:DL83" si="66">DI81</f>
        <v>0</v>
      </c>
      <c r="DK81" s="712">
        <f t="shared" si="66"/>
        <v>0</v>
      </c>
      <c r="DL81" s="715">
        <f t="shared" si="66"/>
        <v>0</v>
      </c>
      <c r="DM81" s="712">
        <f>DK81</f>
        <v>0</v>
      </c>
      <c r="DN81" s="712">
        <f t="shared" ref="DN81:DU83" si="67">DM81</f>
        <v>0</v>
      </c>
      <c r="DO81" s="712">
        <f t="shared" si="67"/>
        <v>0</v>
      </c>
      <c r="DP81" s="712">
        <f t="shared" si="67"/>
        <v>0</v>
      </c>
      <c r="DQ81" s="715">
        <f t="shared" si="67"/>
        <v>0</v>
      </c>
      <c r="DR81" s="712">
        <f>DP81</f>
        <v>0</v>
      </c>
      <c r="DS81" s="712">
        <f t="shared" si="67"/>
        <v>0</v>
      </c>
      <c r="DT81" s="712">
        <f t="shared" si="67"/>
        <v>0</v>
      </c>
      <c r="DU81" s="712">
        <f t="shared" si="67"/>
        <v>0</v>
      </c>
      <c r="DV81" s="715">
        <f>DU81</f>
        <v>0</v>
      </c>
      <c r="DW81" s="712">
        <f>DU81</f>
        <v>0</v>
      </c>
      <c r="DX81" s="712">
        <f t="shared" ref="DX81:EM82" si="68">DW81</f>
        <v>0</v>
      </c>
      <c r="DY81" s="712">
        <f t="shared" si="68"/>
        <v>0</v>
      </c>
      <c r="DZ81" s="712">
        <f t="shared" si="68"/>
        <v>0</v>
      </c>
      <c r="EA81" s="715">
        <f>DZ81</f>
        <v>0</v>
      </c>
      <c r="EB81" s="712">
        <f t="shared" si="68"/>
        <v>0</v>
      </c>
      <c r="EC81" s="712">
        <f t="shared" si="68"/>
        <v>0</v>
      </c>
      <c r="ED81" s="712">
        <f t="shared" si="68"/>
        <v>0</v>
      </c>
      <c r="EE81" s="712">
        <f t="shared" si="68"/>
        <v>0</v>
      </c>
      <c r="EF81" s="715">
        <f>EE81</f>
        <v>0</v>
      </c>
      <c r="EG81" s="712">
        <f t="shared" si="68"/>
        <v>0</v>
      </c>
      <c r="EH81" s="712">
        <f t="shared" si="68"/>
        <v>0</v>
      </c>
      <c r="EI81" s="712">
        <f t="shared" si="68"/>
        <v>0</v>
      </c>
      <c r="EJ81" s="712">
        <f t="shared" si="68"/>
        <v>0</v>
      </c>
      <c r="EK81" s="715">
        <f>EJ81</f>
        <v>0</v>
      </c>
      <c r="EL81" s="712">
        <f t="shared" si="68"/>
        <v>0</v>
      </c>
      <c r="EM81" s="712">
        <f t="shared" si="68"/>
        <v>0</v>
      </c>
      <c r="EN81" s="712">
        <f t="shared" ref="EN81:EU83" si="69">EM81</f>
        <v>0</v>
      </c>
      <c r="EO81" s="712">
        <f t="shared" si="69"/>
        <v>0</v>
      </c>
      <c r="EP81" s="715">
        <f>EO81</f>
        <v>0</v>
      </c>
      <c r="EQ81" s="712">
        <f t="shared" si="69"/>
        <v>0</v>
      </c>
      <c r="ER81" s="712">
        <f t="shared" si="69"/>
        <v>0</v>
      </c>
      <c r="ES81" s="712">
        <f t="shared" si="69"/>
        <v>0</v>
      </c>
      <c r="ET81" s="712">
        <f t="shared" si="69"/>
        <v>0</v>
      </c>
      <c r="EU81" s="715">
        <f t="shared" si="69"/>
        <v>0</v>
      </c>
      <c r="EV81" s="712">
        <f>ET81</f>
        <v>0</v>
      </c>
      <c r="EW81" s="712">
        <f t="shared" ref="EW81:EZ83" si="70">EV81</f>
        <v>0</v>
      </c>
      <c r="EX81" s="712">
        <f t="shared" si="70"/>
        <v>0</v>
      </c>
      <c r="EY81" s="712">
        <f t="shared" si="70"/>
        <v>0</v>
      </c>
      <c r="EZ81" s="715">
        <f t="shared" si="70"/>
        <v>0</v>
      </c>
      <c r="FA81" s="712">
        <f>EY81</f>
        <v>0</v>
      </c>
      <c r="FB81" s="712">
        <f t="shared" ref="FB81:FE83" si="71">FA81</f>
        <v>0</v>
      </c>
      <c r="FC81" s="712">
        <f t="shared" si="71"/>
        <v>0</v>
      </c>
      <c r="FD81" s="712">
        <f t="shared" si="71"/>
        <v>0</v>
      </c>
      <c r="FE81" s="715">
        <f t="shared" si="71"/>
        <v>0</v>
      </c>
      <c r="FF81" s="712">
        <f>FD81</f>
        <v>0</v>
      </c>
      <c r="FG81" s="712">
        <f t="shared" ref="FG81:FJ83" si="72">FF81</f>
        <v>0</v>
      </c>
      <c r="FH81" s="712">
        <f t="shared" si="72"/>
        <v>0</v>
      </c>
      <c r="FI81" s="712">
        <f t="shared" si="72"/>
        <v>0</v>
      </c>
      <c r="FJ81" s="715">
        <f t="shared" si="72"/>
        <v>0</v>
      </c>
      <c r="FK81" s="712">
        <f>FI81</f>
        <v>0</v>
      </c>
      <c r="FL81" s="712">
        <f t="shared" ref="FL81:FO83" si="73">FK81</f>
        <v>0</v>
      </c>
      <c r="FM81" s="712">
        <f t="shared" si="73"/>
        <v>0</v>
      </c>
      <c r="FN81" s="712">
        <f t="shared" si="73"/>
        <v>0</v>
      </c>
      <c r="FO81" s="715">
        <f t="shared" si="73"/>
        <v>0</v>
      </c>
      <c r="FP81" s="715"/>
    </row>
    <row r="82" spans="1:173">
      <c r="A82" s="171" t="s">
        <v>438</v>
      </c>
      <c r="B82" s="665"/>
      <c r="C82" s="665"/>
      <c r="D82" s="665"/>
      <c r="E82" s="665"/>
      <c r="F82" s="665"/>
      <c r="G82" s="665"/>
      <c r="H82" s="665"/>
      <c r="I82" s="665"/>
      <c r="J82" s="665"/>
      <c r="K82" s="714"/>
      <c r="L82" s="199"/>
      <c r="M82" s="199"/>
      <c r="N82" s="199"/>
      <c r="O82" s="199"/>
      <c r="P82" s="715">
        <f>O82</f>
        <v>0</v>
      </c>
      <c r="Q82" s="199"/>
      <c r="R82" s="199"/>
      <c r="S82" s="199"/>
      <c r="T82" s="199"/>
      <c r="U82" s="715">
        <f>T82</f>
        <v>0</v>
      </c>
      <c r="V82" s="199"/>
      <c r="W82" s="199"/>
      <c r="X82" s="199"/>
      <c r="Y82" s="199"/>
      <c r="Z82" s="715">
        <f>Y82</f>
        <v>0</v>
      </c>
      <c r="AA82" s="199"/>
      <c r="AB82" s="199"/>
      <c r="AC82" s="199">
        <v>56.040999999999997</v>
      </c>
      <c r="AD82" s="199">
        <v>43.317</v>
      </c>
      <c r="AE82" s="715">
        <f>AD82</f>
        <v>43.317</v>
      </c>
      <c r="AF82" s="199">
        <v>43.317</v>
      </c>
      <c r="AG82" s="199">
        <v>43.317</v>
      </c>
      <c r="AH82" s="199">
        <v>44.201000000000001</v>
      </c>
      <c r="AI82" s="199">
        <v>0</v>
      </c>
      <c r="AJ82" s="715">
        <f>AI82</f>
        <v>0</v>
      </c>
      <c r="AK82" s="199">
        <v>0</v>
      </c>
      <c r="AL82" s="199">
        <v>0</v>
      </c>
      <c r="AM82" s="199">
        <f>AL82</f>
        <v>0</v>
      </c>
      <c r="AN82" s="199">
        <f>AM82</f>
        <v>0</v>
      </c>
      <c r="AO82" s="715">
        <f>AN82</f>
        <v>0</v>
      </c>
      <c r="AP82" s="199">
        <f>AN82</f>
        <v>0</v>
      </c>
      <c r="AQ82" s="199">
        <v>0</v>
      </c>
      <c r="AR82" s="712">
        <v>0</v>
      </c>
      <c r="AS82" s="712">
        <v>0</v>
      </c>
      <c r="AT82" s="715">
        <f>AS82</f>
        <v>0</v>
      </c>
      <c r="AU82" s="712">
        <v>38.021000000000001</v>
      </c>
      <c r="AV82" s="712">
        <v>9.7840000000000007</v>
      </c>
      <c r="AW82" s="712">
        <v>12.404</v>
      </c>
      <c r="AX82" s="712">
        <v>7.38</v>
      </c>
      <c r="AY82" s="715">
        <f>AX82</f>
        <v>7.38</v>
      </c>
      <c r="AZ82" s="712">
        <v>0</v>
      </c>
      <c r="BA82" s="712">
        <v>0</v>
      </c>
      <c r="BB82" s="712">
        <f>BA82</f>
        <v>0</v>
      </c>
      <c r="BC82" s="712">
        <f>BB82</f>
        <v>0</v>
      </c>
      <c r="BD82" s="715">
        <f>BC82</f>
        <v>0</v>
      </c>
      <c r="BE82" s="712">
        <f>BC82</f>
        <v>0</v>
      </c>
      <c r="BF82" s="712">
        <v>0</v>
      </c>
      <c r="BG82" s="712">
        <f>BF82</f>
        <v>0</v>
      </c>
      <c r="BH82" s="712">
        <f>BG82</f>
        <v>0</v>
      </c>
      <c r="BI82" s="715">
        <f>BH82</f>
        <v>0</v>
      </c>
      <c r="BJ82" s="712">
        <f>BH82</f>
        <v>0</v>
      </c>
      <c r="BK82" s="712">
        <v>0</v>
      </c>
      <c r="BL82" s="712">
        <f>BK82</f>
        <v>0</v>
      </c>
      <c r="BM82" s="712">
        <f>BL82</f>
        <v>0</v>
      </c>
      <c r="BN82" s="715">
        <f>BM82</f>
        <v>0</v>
      </c>
      <c r="BO82" s="712">
        <f>BM82</f>
        <v>0</v>
      </c>
      <c r="BP82" s="712">
        <v>0</v>
      </c>
      <c r="BQ82" s="712">
        <f>BP82</f>
        <v>0</v>
      </c>
      <c r="BR82" s="712">
        <f>BQ82</f>
        <v>0</v>
      </c>
      <c r="BS82" s="715">
        <f>BR82</f>
        <v>0</v>
      </c>
      <c r="BT82" s="712">
        <f>BR82</f>
        <v>0</v>
      </c>
      <c r="BU82" s="712">
        <v>0</v>
      </c>
      <c r="BV82" s="712">
        <f>BU82</f>
        <v>0</v>
      </c>
      <c r="BW82" s="712">
        <f>BV82</f>
        <v>0</v>
      </c>
      <c r="BX82" s="715">
        <f>BW82</f>
        <v>0</v>
      </c>
      <c r="BY82" s="712">
        <f>BW82</f>
        <v>0</v>
      </c>
      <c r="BZ82" s="712">
        <v>0</v>
      </c>
      <c r="CA82" s="712">
        <f>BZ82</f>
        <v>0</v>
      </c>
      <c r="CB82" s="712">
        <f>CA82</f>
        <v>0</v>
      </c>
      <c r="CC82" s="715">
        <f>CB82</f>
        <v>0</v>
      </c>
      <c r="CD82" s="712">
        <f>CB82</f>
        <v>0</v>
      </c>
      <c r="CE82" s="712">
        <f>CD82</f>
        <v>0</v>
      </c>
      <c r="CF82" s="712">
        <f>CE82</f>
        <v>0</v>
      </c>
      <c r="CG82" s="712">
        <f>CF82</f>
        <v>0</v>
      </c>
      <c r="CH82" s="715">
        <f>CG82</f>
        <v>0</v>
      </c>
      <c r="CI82" s="712">
        <f>CG82</f>
        <v>0</v>
      </c>
      <c r="CJ82" s="712">
        <f>CI82</f>
        <v>0</v>
      </c>
      <c r="CK82" s="712">
        <f t="shared" ref="CK82:CP82" si="74">CJ82</f>
        <v>0</v>
      </c>
      <c r="CL82" s="712">
        <f t="shared" si="74"/>
        <v>0</v>
      </c>
      <c r="CM82" s="715">
        <f>CL82</f>
        <v>0</v>
      </c>
      <c r="CN82" s="712">
        <f>CL82</f>
        <v>0</v>
      </c>
      <c r="CO82" s="712">
        <f t="shared" si="74"/>
        <v>0</v>
      </c>
      <c r="CP82" s="712">
        <f t="shared" si="74"/>
        <v>0</v>
      </c>
      <c r="CQ82" s="712">
        <f>CP82</f>
        <v>0</v>
      </c>
      <c r="CR82" s="715">
        <f>CQ82</f>
        <v>0</v>
      </c>
      <c r="CS82" s="712">
        <f>CQ82</f>
        <v>0</v>
      </c>
      <c r="CT82" s="712">
        <f>CS82</f>
        <v>0</v>
      </c>
      <c r="CU82" s="712">
        <f>CT82</f>
        <v>0</v>
      </c>
      <c r="CV82" s="712">
        <f>CU82</f>
        <v>0</v>
      </c>
      <c r="CW82" s="715">
        <f>CV82</f>
        <v>0</v>
      </c>
      <c r="CX82" s="712">
        <v>0</v>
      </c>
      <c r="CY82" s="712">
        <f>CX82</f>
        <v>0</v>
      </c>
      <c r="CZ82" s="712">
        <f>CY82</f>
        <v>0</v>
      </c>
      <c r="DA82" s="712">
        <f>CZ82</f>
        <v>0</v>
      </c>
      <c r="DB82" s="715">
        <f>DA82</f>
        <v>0</v>
      </c>
      <c r="DC82" s="712">
        <f>DA82</f>
        <v>0</v>
      </c>
      <c r="DD82" s="712">
        <f t="shared" si="65"/>
        <v>0</v>
      </c>
      <c r="DE82" s="712">
        <f t="shared" si="65"/>
        <v>0</v>
      </c>
      <c r="DF82" s="712">
        <f t="shared" si="65"/>
        <v>0</v>
      </c>
      <c r="DG82" s="715">
        <f t="shared" si="65"/>
        <v>0</v>
      </c>
      <c r="DH82" s="712">
        <f>DF82</f>
        <v>0</v>
      </c>
      <c r="DI82" s="712">
        <v>0</v>
      </c>
      <c r="DJ82" s="712">
        <f t="shared" si="66"/>
        <v>0</v>
      </c>
      <c r="DK82" s="712">
        <f t="shared" si="66"/>
        <v>0</v>
      </c>
      <c r="DL82" s="715">
        <f t="shared" si="66"/>
        <v>0</v>
      </c>
      <c r="DM82" s="712">
        <f>DK82</f>
        <v>0</v>
      </c>
      <c r="DN82" s="712">
        <f t="shared" si="67"/>
        <v>0</v>
      </c>
      <c r="DO82" s="712">
        <f t="shared" si="67"/>
        <v>0</v>
      </c>
      <c r="DP82" s="712">
        <f t="shared" si="67"/>
        <v>0</v>
      </c>
      <c r="DQ82" s="715">
        <f t="shared" si="67"/>
        <v>0</v>
      </c>
      <c r="DR82" s="712">
        <f>DP82</f>
        <v>0</v>
      </c>
      <c r="DS82" s="712">
        <f t="shared" si="67"/>
        <v>0</v>
      </c>
      <c r="DT82" s="712">
        <f t="shared" si="67"/>
        <v>0</v>
      </c>
      <c r="DU82" s="712">
        <f t="shared" si="67"/>
        <v>0</v>
      </c>
      <c r="DV82" s="715">
        <f>DU82</f>
        <v>0</v>
      </c>
      <c r="DW82" s="712">
        <f>DU82</f>
        <v>0</v>
      </c>
      <c r="DX82" s="712">
        <f t="shared" si="68"/>
        <v>0</v>
      </c>
      <c r="DY82" s="712">
        <f t="shared" si="68"/>
        <v>0</v>
      </c>
      <c r="DZ82" s="712">
        <f t="shared" si="68"/>
        <v>0</v>
      </c>
      <c r="EA82" s="715">
        <f>DZ82</f>
        <v>0</v>
      </c>
      <c r="EB82" s="712">
        <f t="shared" si="68"/>
        <v>0</v>
      </c>
      <c r="EC82" s="712">
        <f t="shared" si="68"/>
        <v>0</v>
      </c>
      <c r="ED82" s="712">
        <f t="shared" si="68"/>
        <v>0</v>
      </c>
      <c r="EE82" s="712">
        <f t="shared" si="68"/>
        <v>0</v>
      </c>
      <c r="EF82" s="715">
        <f>EE82</f>
        <v>0</v>
      </c>
      <c r="EG82" s="712">
        <f t="shared" si="68"/>
        <v>0</v>
      </c>
      <c r="EH82" s="712">
        <f t="shared" si="68"/>
        <v>0</v>
      </c>
      <c r="EI82" s="712">
        <f t="shared" si="68"/>
        <v>0</v>
      </c>
      <c r="EJ82" s="712">
        <f t="shared" si="68"/>
        <v>0</v>
      </c>
      <c r="EK82" s="715">
        <f>EJ82</f>
        <v>0</v>
      </c>
      <c r="EL82" s="712">
        <f t="shared" si="68"/>
        <v>0</v>
      </c>
      <c r="EM82" s="712">
        <f t="shared" si="68"/>
        <v>0</v>
      </c>
      <c r="EN82" s="712">
        <f t="shared" si="69"/>
        <v>0</v>
      </c>
      <c r="EO82" s="712">
        <f t="shared" si="69"/>
        <v>0</v>
      </c>
      <c r="EP82" s="715">
        <f>EO82</f>
        <v>0</v>
      </c>
      <c r="EQ82" s="712">
        <f t="shared" si="69"/>
        <v>0</v>
      </c>
      <c r="ER82" s="712">
        <f t="shared" si="69"/>
        <v>0</v>
      </c>
      <c r="ES82" s="712">
        <f t="shared" si="69"/>
        <v>0</v>
      </c>
      <c r="ET82" s="712">
        <f t="shared" si="69"/>
        <v>0</v>
      </c>
      <c r="EU82" s="715">
        <f t="shared" si="69"/>
        <v>0</v>
      </c>
      <c r="EV82" s="712">
        <f>ET82</f>
        <v>0</v>
      </c>
      <c r="EW82" s="712">
        <f t="shared" si="70"/>
        <v>0</v>
      </c>
      <c r="EX82" s="712">
        <f t="shared" si="70"/>
        <v>0</v>
      </c>
      <c r="EY82" s="712">
        <f t="shared" si="70"/>
        <v>0</v>
      </c>
      <c r="EZ82" s="715">
        <f t="shared" si="70"/>
        <v>0</v>
      </c>
      <c r="FA82" s="712">
        <f>EY82</f>
        <v>0</v>
      </c>
      <c r="FB82" s="712">
        <f t="shared" si="71"/>
        <v>0</v>
      </c>
      <c r="FC82" s="712">
        <f t="shared" si="71"/>
        <v>0</v>
      </c>
      <c r="FD82" s="712">
        <f t="shared" si="71"/>
        <v>0</v>
      </c>
      <c r="FE82" s="715">
        <f t="shared" si="71"/>
        <v>0</v>
      </c>
      <c r="FF82" s="712">
        <f>FD82</f>
        <v>0</v>
      </c>
      <c r="FG82" s="712">
        <f t="shared" si="72"/>
        <v>0</v>
      </c>
      <c r="FH82" s="712">
        <f t="shared" si="72"/>
        <v>0</v>
      </c>
      <c r="FI82" s="712">
        <f t="shared" si="72"/>
        <v>0</v>
      </c>
      <c r="FJ82" s="715">
        <f t="shared" si="72"/>
        <v>0</v>
      </c>
      <c r="FK82" s="712">
        <f>FI82</f>
        <v>0</v>
      </c>
      <c r="FL82" s="712">
        <f t="shared" si="73"/>
        <v>0</v>
      </c>
      <c r="FM82" s="712">
        <f t="shared" si="73"/>
        <v>0</v>
      </c>
      <c r="FN82" s="712">
        <f t="shared" si="73"/>
        <v>0</v>
      </c>
      <c r="FO82" s="715">
        <f t="shared" si="73"/>
        <v>0</v>
      </c>
      <c r="FP82" s="715"/>
    </row>
    <row r="83" spans="1:173">
      <c r="A83" s="171" t="s">
        <v>439</v>
      </c>
      <c r="B83" s="665"/>
      <c r="C83" s="665"/>
      <c r="D83" s="665"/>
      <c r="E83" s="665"/>
      <c r="F83" s="665"/>
      <c r="G83" s="665"/>
      <c r="H83" s="665"/>
      <c r="I83" s="665"/>
      <c r="J83" s="665"/>
      <c r="K83" s="714"/>
      <c r="L83" s="199"/>
      <c r="M83" s="199"/>
      <c r="N83" s="199"/>
      <c r="O83" s="199"/>
      <c r="P83" s="715">
        <f>O83</f>
        <v>0</v>
      </c>
      <c r="Q83" s="199"/>
      <c r="R83" s="199"/>
      <c r="S83" s="199"/>
      <c r="T83" s="199"/>
      <c r="U83" s="715">
        <f>T83</f>
        <v>0</v>
      </c>
      <c r="V83" s="199"/>
      <c r="W83" s="199"/>
      <c r="X83" s="199"/>
      <c r="Y83" s="199"/>
      <c r="Z83" s="715">
        <f>Y83</f>
        <v>0</v>
      </c>
      <c r="AA83" s="199"/>
      <c r="AB83" s="199"/>
      <c r="AC83" s="199">
        <v>78.158000000000001</v>
      </c>
      <c r="AD83" s="199">
        <v>76.471000000000004</v>
      </c>
      <c r="AE83" s="715">
        <f>AD83</f>
        <v>76.471000000000004</v>
      </c>
      <c r="AF83" s="199">
        <f>55.139+27.213</f>
        <v>82.352000000000004</v>
      </c>
      <c r="AG83" s="199">
        <f>55.139+23.949</f>
        <v>79.088000000000008</v>
      </c>
      <c r="AH83" s="199">
        <f>108.497+45.015</f>
        <v>153.512</v>
      </c>
      <c r="AI83" s="199">
        <f>108.909+39.963</f>
        <v>148.87200000000001</v>
      </c>
      <c r="AJ83" s="715">
        <f>AI83</f>
        <v>148.87200000000001</v>
      </c>
      <c r="AK83" s="199">
        <f>108.78+40.157</f>
        <v>148.93700000000001</v>
      </c>
      <c r="AL83" s="199">
        <f>108.566+34.764</f>
        <v>143.33000000000001</v>
      </c>
      <c r="AM83" s="199">
        <v>138.17500000000001</v>
      </c>
      <c r="AN83" s="199">
        <f>108.107+27.514</f>
        <v>135.62100000000001</v>
      </c>
      <c r="AO83" s="715">
        <f>AN83</f>
        <v>135.62100000000001</v>
      </c>
      <c r="AP83" s="199">
        <f>108.107+27.416</f>
        <v>135.523</v>
      </c>
      <c r="AQ83" s="199">
        <f>108.107+23.268</f>
        <v>131.375</v>
      </c>
      <c r="AR83" s="712">
        <f>133.107+19.207</f>
        <v>152.31399999999999</v>
      </c>
      <c r="AS83" s="712">
        <f>145.317+15.421</f>
        <v>160.738</v>
      </c>
      <c r="AT83" s="715">
        <f>AS83</f>
        <v>160.738</v>
      </c>
      <c r="AU83" s="712">
        <f>204.603+22.989</f>
        <v>227.59200000000001</v>
      </c>
      <c r="AV83" s="712">
        <f>203.657+29.428</f>
        <v>233.08500000000001</v>
      </c>
      <c r="AW83" s="712">
        <f>203.679+26.538</f>
        <v>230.21700000000001</v>
      </c>
      <c r="AX83" s="712">
        <f>301.425+45.511</f>
        <v>346.93600000000004</v>
      </c>
      <c r="AY83" s="715">
        <f>AX83</f>
        <v>346.93600000000004</v>
      </c>
      <c r="AZ83" s="712">
        <f>291.077+50.914</f>
        <v>341.99099999999999</v>
      </c>
      <c r="BA83" s="712">
        <f>293.383+54.735</f>
        <v>348.11799999999999</v>
      </c>
      <c r="BB83" s="712">
        <f>292.934+78.173</f>
        <v>371.10700000000003</v>
      </c>
      <c r="BC83" s="712">
        <f>354.057+106.926</f>
        <v>460.983</v>
      </c>
      <c r="BD83" s="715">
        <f>BC83</f>
        <v>460.983</v>
      </c>
      <c r="BE83" s="712">
        <f>371.019+125.001</f>
        <v>496.02</v>
      </c>
      <c r="BF83" s="712">
        <f>365.8+145.148</f>
        <v>510.94799999999998</v>
      </c>
      <c r="BG83" s="712">
        <f>366.286+155.646</f>
        <v>521.93200000000002</v>
      </c>
      <c r="BH83" s="712">
        <f>369.844+147.101</f>
        <v>516.94499999999994</v>
      </c>
      <c r="BI83" s="715">
        <f>BH83</f>
        <v>516.94499999999994</v>
      </c>
      <c r="BJ83" s="712">
        <f>369.844+142.446</f>
        <v>512.29</v>
      </c>
      <c r="BK83" s="712">
        <f>369.844+135.678</f>
        <v>505.52199999999999</v>
      </c>
      <c r="BL83" s="712">
        <f>369.844+127.817</f>
        <v>497.661</v>
      </c>
      <c r="BM83" s="712">
        <f>369.844+120.458</f>
        <v>490.30200000000002</v>
      </c>
      <c r="BN83" s="715">
        <f>BM83</f>
        <v>490.30200000000002</v>
      </c>
      <c r="BO83" s="712">
        <f>369.844+115.423</f>
        <v>485.267</v>
      </c>
      <c r="BP83" s="712">
        <f>369.844+118.879</f>
        <v>488.72300000000001</v>
      </c>
      <c r="BQ83" s="712">
        <f>369.844+112.642</f>
        <v>482.48599999999999</v>
      </c>
      <c r="BR83" s="712">
        <f>369.844+243.171</f>
        <v>613.01499999999999</v>
      </c>
      <c r="BS83" s="715">
        <f>BR83</f>
        <v>613.01499999999999</v>
      </c>
      <c r="BT83" s="712">
        <f>369.844+278.761</f>
        <v>648.60500000000002</v>
      </c>
      <c r="BU83" s="712">
        <f>593.513+358.136</f>
        <v>951.64900000000011</v>
      </c>
      <c r="BV83" s="712">
        <f>648.053+342.839</f>
        <v>990.89200000000005</v>
      </c>
      <c r="BW83" s="712">
        <f>641.03+326.136</f>
        <v>967.16599999999994</v>
      </c>
      <c r="BX83" s="715">
        <f>BW83</f>
        <v>967.16599999999994</v>
      </c>
      <c r="BY83" s="712">
        <f>641.03+363.395</f>
        <v>1004.425</v>
      </c>
      <c r="BZ83" s="712">
        <f>641.03+346.938</f>
        <v>987.96799999999996</v>
      </c>
      <c r="CA83" s="712">
        <f>641.03+331.248</f>
        <v>972.27800000000002</v>
      </c>
      <c r="CB83" s="712">
        <f>641.03+312.332</f>
        <v>953.36199999999997</v>
      </c>
      <c r="CC83" s="715">
        <f>CB83</f>
        <v>953.36199999999997</v>
      </c>
      <c r="CD83" s="712">
        <f>641.03+336.733</f>
        <v>977.76299999999992</v>
      </c>
      <c r="CE83" s="712">
        <f>641.03+322.52</f>
        <v>963.55</v>
      </c>
      <c r="CF83" s="712">
        <f>643.179+320.589</f>
        <v>963.76800000000003</v>
      </c>
      <c r="CG83" s="712">
        <f>643.179+296.012+104.252</f>
        <v>1043.443</v>
      </c>
      <c r="CH83" s="715">
        <f>CG83</f>
        <v>1043.443</v>
      </c>
      <c r="CI83" s="199">
        <f>643.179+277.53+99.354</f>
        <v>1020.063</v>
      </c>
      <c r="CJ83" s="199">
        <f>643.179+260.613+95.43</f>
        <v>999.22199999999998</v>
      </c>
      <c r="CK83" s="712">
        <f>643.179+241.301</f>
        <v>884.48</v>
      </c>
      <c r="CL83" s="712">
        <f>618.179+221.714</f>
        <v>839.89300000000003</v>
      </c>
      <c r="CM83" s="715">
        <f>CL83</f>
        <v>839.89300000000003</v>
      </c>
      <c r="CN83" s="712">
        <f>618+205</f>
        <v>823</v>
      </c>
      <c r="CO83" s="712">
        <f>618+190</f>
        <v>808</v>
      </c>
      <c r="CP83" s="712">
        <f>618+172</f>
        <v>790</v>
      </c>
      <c r="CQ83" s="712">
        <f>618+166</f>
        <v>784</v>
      </c>
      <c r="CR83" s="715">
        <f>CQ83</f>
        <v>784</v>
      </c>
      <c r="CS83" s="712">
        <f>618+155</f>
        <v>773</v>
      </c>
      <c r="CT83" s="712">
        <f>618+138</f>
        <v>756</v>
      </c>
      <c r="CU83" s="712">
        <f>618+120</f>
        <v>738</v>
      </c>
      <c r="CV83" s="712">
        <f>618+104</f>
        <v>722</v>
      </c>
      <c r="CW83" s="715">
        <f>CV83</f>
        <v>722</v>
      </c>
      <c r="CX83" s="712">
        <f>618+90</f>
        <v>708</v>
      </c>
      <c r="CY83" s="712">
        <f>76+618</f>
        <v>694</v>
      </c>
      <c r="CZ83" s="712">
        <f>618+63</f>
        <v>681</v>
      </c>
      <c r="DA83" s="712">
        <f>618+52+319</f>
        <v>989</v>
      </c>
      <c r="DB83" s="715">
        <f>DA83</f>
        <v>989</v>
      </c>
      <c r="DC83" s="712">
        <f>618+55+273</f>
        <v>946</v>
      </c>
      <c r="DD83" s="712">
        <f>618+51+220</f>
        <v>889</v>
      </c>
      <c r="DE83" s="712">
        <f>618+49+312</f>
        <v>979</v>
      </c>
      <c r="DF83" s="712">
        <f>618+45+668</f>
        <v>1331</v>
      </c>
      <c r="DG83" s="715">
        <f t="shared" si="65"/>
        <v>1331</v>
      </c>
      <c r="DH83" s="712">
        <f>536+618+54+601+110</f>
        <v>1919</v>
      </c>
      <c r="DI83" s="712">
        <f>535+618+49+588+110</f>
        <v>1900</v>
      </c>
      <c r="DJ83" s="712">
        <f>527+618+43+569+116</f>
        <v>1873</v>
      </c>
      <c r="DK83" s="712">
        <f>618+618+49+548+118</f>
        <v>1951</v>
      </c>
      <c r="DL83" s="715">
        <f t="shared" si="66"/>
        <v>1951</v>
      </c>
      <c r="DM83" s="712">
        <f>595+628+80+533+119</f>
        <v>1955</v>
      </c>
      <c r="DN83" s="712">
        <f>701+4193+2854+630+157</f>
        <v>8535</v>
      </c>
      <c r="DO83" s="712">
        <f>681+4193+2861+666+2028</f>
        <v>10429</v>
      </c>
      <c r="DP83" s="712">
        <f>707+4193+2737+806+2144</f>
        <v>10587</v>
      </c>
      <c r="DQ83" s="715">
        <f t="shared" si="67"/>
        <v>10587</v>
      </c>
      <c r="DR83" s="712">
        <f>727+4193+2613+778+2090</f>
        <v>10401</v>
      </c>
      <c r="DS83" s="712">
        <f>801+4193+2478+958+2050</f>
        <v>10480</v>
      </c>
      <c r="DT83" s="712">
        <f>830+4302+2454+970+3761</f>
        <v>12317</v>
      </c>
      <c r="DU83" s="712">
        <f>829+4349+2339+1222+3841</f>
        <v>12580</v>
      </c>
      <c r="DV83" s="715">
        <f>DU83</f>
        <v>12580</v>
      </c>
      <c r="DW83" s="712">
        <f>856+4365+2211+1784+3505</f>
        <v>12721</v>
      </c>
      <c r="DX83" s="712">
        <f>4372+2036+852+2225+3340</f>
        <v>12825</v>
      </c>
      <c r="DY83" s="712">
        <f>927+4372+1850+2762+3580</f>
        <v>13491</v>
      </c>
      <c r="DZ83" s="712">
        <f>1038+4372+1676+3396+3820</f>
        <v>14302</v>
      </c>
      <c r="EA83" s="715">
        <f>DZ83</f>
        <v>14302</v>
      </c>
      <c r="EB83" s="712">
        <f>1094+4430+1541+4568+4204</f>
        <v>15837</v>
      </c>
      <c r="EC83" s="712">
        <f>1235+4430+1395+5398+4501</f>
        <v>16959</v>
      </c>
      <c r="ED83" s="712">
        <f>1316+4430+1251+5982+4667</f>
        <v>17646</v>
      </c>
      <c r="EE83" s="712">
        <f>1346+4430+1112+6081+4500</f>
        <v>17469</v>
      </c>
      <c r="EF83" s="715">
        <f>EE83</f>
        <v>17469</v>
      </c>
      <c r="EG83" s="712">
        <f>1532+4453+986+7798+4568</f>
        <v>19337</v>
      </c>
      <c r="EH83" s="712">
        <f>1556+4622+952+9578+4001</f>
        <v>20709</v>
      </c>
      <c r="EI83" s="712">
        <f>1755+4724+838+10276+5437</f>
        <v>23030</v>
      </c>
      <c r="EJ83" s="712">
        <f>1793+5188+807+10979+6425</f>
        <v>25192</v>
      </c>
      <c r="EK83" s="715">
        <f>EJ83</f>
        <v>25192</v>
      </c>
      <c r="EL83" s="712">
        <f>1810+5498+769+13318+6788</f>
        <v>28183</v>
      </c>
      <c r="EM83" s="712">
        <f>2084+5755+755+13570+7216</f>
        <v>29380</v>
      </c>
      <c r="EN83" s="712">
        <f>2281+6261+936+13674+11724</f>
        <v>34876</v>
      </c>
      <c r="EO83" s="712">
        <f>2867+20832+3306+13258+22251+8301</f>
        <v>70815</v>
      </c>
      <c r="EP83" s="715">
        <f>EO83</f>
        <v>70815</v>
      </c>
      <c r="EQ83" s="712">
        <f>4258+20894+3120+11707+43364+12733</f>
        <v>96076</v>
      </c>
      <c r="ER83" s="712">
        <f>EQ83-ER133</f>
        <v>106076</v>
      </c>
      <c r="ES83" s="712">
        <f>ER83-ES133</f>
        <v>116076</v>
      </c>
      <c r="ET83" s="712">
        <f>ES83-ET133</f>
        <v>126076</v>
      </c>
      <c r="EU83" s="715">
        <f t="shared" si="69"/>
        <v>126076</v>
      </c>
      <c r="EV83" s="712">
        <f>ET83-EV133</f>
        <v>141076</v>
      </c>
      <c r="EW83" s="712">
        <f>EV83-EW133</f>
        <v>156076</v>
      </c>
      <c r="EX83" s="712">
        <f>EW83-EX133</f>
        <v>171076</v>
      </c>
      <c r="EY83" s="712">
        <f>EX83-EY133</f>
        <v>186076</v>
      </c>
      <c r="EZ83" s="715">
        <f t="shared" si="70"/>
        <v>186076</v>
      </c>
      <c r="FA83" s="712">
        <f>EY83-FA133</f>
        <v>203076</v>
      </c>
      <c r="FB83" s="712">
        <f>FA83-FB133</f>
        <v>220076</v>
      </c>
      <c r="FC83" s="712">
        <f>FB83-FC133</f>
        <v>237076</v>
      </c>
      <c r="FD83" s="712">
        <f>FC83-FD133</f>
        <v>254076</v>
      </c>
      <c r="FE83" s="715">
        <f t="shared" si="71"/>
        <v>254076</v>
      </c>
      <c r="FF83" s="712">
        <f>FD83-FF133</f>
        <v>274076</v>
      </c>
      <c r="FG83" s="712">
        <f>FF83-FG133</f>
        <v>294076</v>
      </c>
      <c r="FH83" s="712">
        <f>FG83-FH133</f>
        <v>314076</v>
      </c>
      <c r="FI83" s="712">
        <f>FH83-FI133</f>
        <v>334076</v>
      </c>
      <c r="FJ83" s="715">
        <f t="shared" si="72"/>
        <v>334076</v>
      </c>
      <c r="FK83" s="712">
        <f>FI83-FK133</f>
        <v>356576</v>
      </c>
      <c r="FL83" s="712">
        <f>FK83-FL133</f>
        <v>379076</v>
      </c>
      <c r="FM83" s="712">
        <f>FL83-FM133</f>
        <v>401576</v>
      </c>
      <c r="FN83" s="712">
        <f>FM83-FN133</f>
        <v>424076</v>
      </c>
      <c r="FO83" s="715">
        <f t="shared" si="73"/>
        <v>424076</v>
      </c>
      <c r="FP83" s="715"/>
    </row>
    <row r="84" spans="1:173">
      <c r="A84" s="171" t="s">
        <v>440</v>
      </c>
      <c r="B84" s="723"/>
      <c r="C84" s="723"/>
      <c r="D84" s="723"/>
      <c r="E84" s="723"/>
      <c r="F84" s="723"/>
      <c r="G84" s="723"/>
      <c r="H84" s="723"/>
      <c r="I84" s="723"/>
      <c r="J84" s="723"/>
      <c r="K84" s="714"/>
      <c r="L84" s="199">
        <v>0.59</v>
      </c>
      <c r="M84" s="199">
        <v>3.5379999999999998</v>
      </c>
      <c r="N84" s="199">
        <v>3.367</v>
      </c>
      <c r="O84" s="199">
        <v>3.1890000000000001</v>
      </c>
      <c r="P84" s="712">
        <f>O84</f>
        <v>3.1890000000000001</v>
      </c>
      <c r="Q84" s="199">
        <v>4.1219999999999999</v>
      </c>
      <c r="R84" s="199">
        <v>5.3390000000000004</v>
      </c>
      <c r="S84" s="199">
        <v>20.181000000000001</v>
      </c>
      <c r="T84" s="199">
        <v>38.738</v>
      </c>
      <c r="U84" s="712">
        <f>T84</f>
        <v>38.738</v>
      </c>
      <c r="V84" s="199">
        <v>126.798</v>
      </c>
      <c r="W84" s="199">
        <v>128.66499999999999</v>
      </c>
      <c r="X84" s="199">
        <v>131.71799999999999</v>
      </c>
      <c r="Y84" s="199">
        <v>148.93700000000001</v>
      </c>
      <c r="Z84" s="712">
        <f>Y84</f>
        <v>148.93700000000001</v>
      </c>
      <c r="AA84" s="199">
        <v>149.386</v>
      </c>
      <c r="AB84" s="199">
        <v>147.096</v>
      </c>
      <c r="AC84" s="199">
        <f t="shared" ref="AC84:BM84" si="75">SUM(AC81:AC83)</f>
        <v>144.62299999999999</v>
      </c>
      <c r="AD84" s="199">
        <f t="shared" si="75"/>
        <v>130.261</v>
      </c>
      <c r="AE84" s="715">
        <f>AD84</f>
        <v>130.261</v>
      </c>
      <c r="AF84" s="199">
        <f t="shared" si="75"/>
        <v>137.84</v>
      </c>
      <c r="AG84" s="199">
        <f t="shared" si="75"/>
        <v>135.125</v>
      </c>
      <c r="AH84" s="199">
        <f t="shared" si="75"/>
        <v>204.446</v>
      </c>
      <c r="AI84" s="199">
        <f t="shared" si="75"/>
        <v>156.60300000000001</v>
      </c>
      <c r="AJ84" s="715">
        <f>AI84</f>
        <v>156.60300000000001</v>
      </c>
      <c r="AK84" s="199">
        <f t="shared" si="75"/>
        <v>156.19200000000001</v>
      </c>
      <c r="AL84" s="199">
        <f t="shared" si="75"/>
        <v>151.607</v>
      </c>
      <c r="AM84" s="199">
        <f t="shared" si="75"/>
        <v>146.30700000000002</v>
      </c>
      <c r="AN84" s="199">
        <f t="shared" si="75"/>
        <v>144.655</v>
      </c>
      <c r="AO84" s="715">
        <f>AN84</f>
        <v>144.655</v>
      </c>
      <c r="AP84" s="199">
        <f t="shared" si="75"/>
        <v>146.20099999999999</v>
      </c>
      <c r="AQ84" s="199">
        <f t="shared" si="75"/>
        <v>147.352</v>
      </c>
      <c r="AR84" s="712">
        <f t="shared" si="75"/>
        <v>177.02699999999999</v>
      </c>
      <c r="AS84" s="712">
        <f t="shared" si="75"/>
        <v>188.215</v>
      </c>
      <c r="AT84" s="715">
        <f>AS84</f>
        <v>188.215</v>
      </c>
      <c r="AU84" s="712">
        <f t="shared" si="75"/>
        <v>296.64100000000002</v>
      </c>
      <c r="AV84" s="712">
        <f t="shared" si="75"/>
        <v>280.39600000000002</v>
      </c>
      <c r="AW84" s="712">
        <f t="shared" si="75"/>
        <v>284.72500000000002</v>
      </c>
      <c r="AX84" s="712">
        <f t="shared" si="75"/>
        <v>382.66500000000002</v>
      </c>
      <c r="AY84" s="715">
        <f>AX84</f>
        <v>382.66500000000002</v>
      </c>
      <c r="AZ84" s="712">
        <f t="shared" si="75"/>
        <v>375.44499999999999</v>
      </c>
      <c r="BA84" s="712">
        <f t="shared" si="75"/>
        <v>374.03</v>
      </c>
      <c r="BB84" s="712">
        <f t="shared" si="75"/>
        <v>396.26300000000003</v>
      </c>
      <c r="BC84" s="712">
        <f t="shared" si="75"/>
        <v>499.03399999999999</v>
      </c>
      <c r="BD84" s="715">
        <f>BC84</f>
        <v>499.03399999999999</v>
      </c>
      <c r="BE84" s="712">
        <f t="shared" si="75"/>
        <v>536.40899999999999</v>
      </c>
      <c r="BF84" s="712">
        <f t="shared" si="75"/>
        <v>546.35199999999998</v>
      </c>
      <c r="BG84" s="712">
        <f t="shared" si="75"/>
        <v>559.125</v>
      </c>
      <c r="BH84" s="712">
        <f t="shared" si="75"/>
        <v>556.97099999999989</v>
      </c>
      <c r="BI84" s="715">
        <f>BH84</f>
        <v>556.97099999999989</v>
      </c>
      <c r="BJ84" s="712">
        <f t="shared" si="75"/>
        <v>556.96699999999998</v>
      </c>
      <c r="BK84" s="712">
        <f t="shared" si="75"/>
        <v>547.59</v>
      </c>
      <c r="BL84" s="712">
        <f t="shared" si="75"/>
        <v>540.56200000000001</v>
      </c>
      <c r="BM84" s="712">
        <f t="shared" si="75"/>
        <v>533.23</v>
      </c>
      <c r="BN84" s="715">
        <f>BM84</f>
        <v>533.23</v>
      </c>
      <c r="BO84" s="712">
        <f t="shared" ref="BO84:BW84" si="76">SUM(BO81:BO83)</f>
        <v>527.13400000000001</v>
      </c>
      <c r="BP84" s="712">
        <f t="shared" si="76"/>
        <v>533.09</v>
      </c>
      <c r="BQ84" s="712">
        <f t="shared" si="76"/>
        <v>522.20500000000004</v>
      </c>
      <c r="BR84" s="712">
        <f t="shared" si="76"/>
        <v>653.86500000000001</v>
      </c>
      <c r="BS84" s="715">
        <f>BR84</f>
        <v>653.86500000000001</v>
      </c>
      <c r="BT84" s="712">
        <f t="shared" si="76"/>
        <v>686.61500000000001</v>
      </c>
      <c r="BU84" s="712">
        <f t="shared" si="76"/>
        <v>1045.1610000000001</v>
      </c>
      <c r="BV84" s="712">
        <f t="shared" si="76"/>
        <v>1037.2150000000001</v>
      </c>
      <c r="BW84" s="712">
        <f t="shared" si="76"/>
        <v>1087.498</v>
      </c>
      <c r="BX84" s="715">
        <f>BW84</f>
        <v>1087.498</v>
      </c>
      <c r="BY84" s="712">
        <f>SUM(BY81:BY83)</f>
        <v>1122.51</v>
      </c>
      <c r="BZ84" s="712">
        <f>SUM(BZ81:BZ83)</f>
        <v>1103.9739999999999</v>
      </c>
      <c r="CA84" s="712">
        <f>SUM(CA81:CA83)</f>
        <v>1083.777</v>
      </c>
      <c r="CB84" s="712">
        <f>SUM(CB81:CB83)</f>
        <v>1060.8429999999998</v>
      </c>
      <c r="CC84" s="715">
        <f>CB84</f>
        <v>1060.8429999999998</v>
      </c>
      <c r="CD84" s="712">
        <f t="shared" ref="CD84:CI84" si="77">SUM(CD81:CD83)</f>
        <v>1084.8879999999999</v>
      </c>
      <c r="CE84" s="712">
        <f t="shared" si="77"/>
        <v>1068.0360000000001</v>
      </c>
      <c r="CF84" s="712">
        <f t="shared" si="77"/>
        <v>1066.114</v>
      </c>
      <c r="CG84" s="712">
        <f t="shared" si="77"/>
        <v>1043.443</v>
      </c>
      <c r="CH84" s="715">
        <f>CG84</f>
        <v>1043.443</v>
      </c>
      <c r="CI84" s="199">
        <f t="shared" si="77"/>
        <v>1020.063</v>
      </c>
      <c r="CJ84" s="199">
        <f>SUM(CJ81:CJ83)</f>
        <v>999.22199999999998</v>
      </c>
      <c r="CK84" s="712">
        <f>SUM(CK81:CK83)</f>
        <v>978.15899999999999</v>
      </c>
      <c r="CL84" s="712">
        <f>SUM(CL81:CL83)</f>
        <v>930.78899999999999</v>
      </c>
      <c r="CM84" s="715">
        <f>CL84</f>
        <v>930.78899999999999</v>
      </c>
      <c r="CN84" s="712">
        <f>SUM(CN81:CN83)</f>
        <v>912</v>
      </c>
      <c r="CO84" s="712">
        <f>SUM(CO81:CO83)</f>
        <v>874</v>
      </c>
      <c r="CP84" s="712">
        <f>SUM(CP81:CP83)</f>
        <v>863</v>
      </c>
      <c r="CQ84" s="712">
        <f>SUM(CQ81:CQ83)</f>
        <v>851</v>
      </c>
      <c r="CR84" s="715">
        <f>CQ84</f>
        <v>851</v>
      </c>
      <c r="CS84" s="712">
        <f>SUM(CS81:CS83)</f>
        <v>839</v>
      </c>
      <c r="CT84" s="712">
        <f>SUM(CT81:CT83)</f>
        <v>820</v>
      </c>
      <c r="CU84" s="712">
        <f>SUM(CU81:CU83)</f>
        <v>802</v>
      </c>
      <c r="CV84" s="712">
        <f>SUM(CV81:CV83)</f>
        <v>784</v>
      </c>
      <c r="CW84" s="715">
        <f>CV84</f>
        <v>784</v>
      </c>
      <c r="CX84" s="712">
        <f>SUM(CX81:CX83)</f>
        <v>755</v>
      </c>
      <c r="CY84" s="712">
        <f>SUM(CY81:CY83)</f>
        <v>754</v>
      </c>
      <c r="CZ84" s="712">
        <f>SUM(CZ81:CZ83)</f>
        <v>751</v>
      </c>
      <c r="DA84" s="712">
        <f>SUM(DA81:DA83)</f>
        <v>989</v>
      </c>
      <c r="DB84" s="715">
        <f>DA84</f>
        <v>989</v>
      </c>
      <c r="DC84" s="712">
        <f>SUM(DC81:DC83)</f>
        <v>946</v>
      </c>
      <c r="DD84" s="712">
        <f>SUM(DD81:DD83)</f>
        <v>889</v>
      </c>
      <c r="DE84" s="712">
        <f>SUM(DE81:DE83)</f>
        <v>979</v>
      </c>
      <c r="DF84" s="712">
        <f>SUM(DF81:DF83)</f>
        <v>1331</v>
      </c>
      <c r="DG84" s="715">
        <f>DF84</f>
        <v>1331</v>
      </c>
      <c r="DH84" s="712">
        <f>SUM(DH81:DH83)</f>
        <v>1919</v>
      </c>
      <c r="DI84" s="712">
        <f>SUM(DI81:DI83)</f>
        <v>1900</v>
      </c>
      <c r="DJ84" s="712">
        <f>SUM(DJ81:DJ83)</f>
        <v>1873</v>
      </c>
      <c r="DK84" s="712">
        <f>SUM(DK81:DK83)</f>
        <v>1951</v>
      </c>
      <c r="DL84" s="715">
        <f>DK84</f>
        <v>1951</v>
      </c>
      <c r="DM84" s="712">
        <f>SUM(DM81:DM83)</f>
        <v>1955</v>
      </c>
      <c r="DN84" s="712">
        <f>SUM(DN81:DN83)</f>
        <v>8535</v>
      </c>
      <c r="DO84" s="712">
        <f>SUM(DO81:DO83)</f>
        <v>10429</v>
      </c>
      <c r="DP84" s="712">
        <f>SUM(DP81:DP83)</f>
        <v>10587</v>
      </c>
      <c r="DQ84" s="715">
        <f>DP84</f>
        <v>10587</v>
      </c>
      <c r="DR84" s="712">
        <f>SUM(DR81:DR83)</f>
        <v>10401</v>
      </c>
      <c r="DS84" s="712">
        <f>SUM(DS81:DS83)</f>
        <v>10480</v>
      </c>
      <c r="DT84" s="712">
        <f>SUM(DT81:DT83)</f>
        <v>12317</v>
      </c>
      <c r="DU84" s="712">
        <f>SUM(DU81:DU83)</f>
        <v>12580</v>
      </c>
      <c r="DV84" s="715">
        <f>DU84</f>
        <v>12580</v>
      </c>
      <c r="DW84" s="712">
        <f>SUM(DW81:DW83)</f>
        <v>12721</v>
      </c>
      <c r="DX84" s="712">
        <f>SUM(DX81:DX83)</f>
        <v>12825</v>
      </c>
      <c r="DY84" s="712">
        <f>SUM(DY81:DY83)</f>
        <v>13491</v>
      </c>
      <c r="DZ84" s="712">
        <f>SUM(DZ81:DZ83)</f>
        <v>14302</v>
      </c>
      <c r="EA84" s="715">
        <f>DZ84</f>
        <v>14302</v>
      </c>
      <c r="EB84" s="712">
        <f>SUM(EB81:EB83)</f>
        <v>15837</v>
      </c>
      <c r="EC84" s="712">
        <f>SUM(EC81:EC83)</f>
        <v>16959</v>
      </c>
      <c r="ED84" s="712">
        <f>SUM(ED81:ED83)</f>
        <v>17646</v>
      </c>
      <c r="EE84" s="712">
        <f>SUM(EE81:EE83)</f>
        <v>17469</v>
      </c>
      <c r="EF84" s="715">
        <f>EE84</f>
        <v>17469</v>
      </c>
      <c r="EG84" s="712">
        <f>SUM(EG81:EG83)</f>
        <v>19337</v>
      </c>
      <c r="EH84" s="712">
        <f>SUM(EH81:EH83)</f>
        <v>20709</v>
      </c>
      <c r="EI84" s="712">
        <f>SUM(EI81:EI83)</f>
        <v>23030</v>
      </c>
      <c r="EJ84" s="712">
        <f>SUM(EJ81:EJ83)</f>
        <v>25192</v>
      </c>
      <c r="EK84" s="715">
        <f>EJ84</f>
        <v>25192</v>
      </c>
      <c r="EL84" s="712">
        <f>SUM(EL81:EL83)</f>
        <v>28183</v>
      </c>
      <c r="EM84" s="712">
        <f>SUM(EM81:EM83)</f>
        <v>29380</v>
      </c>
      <c r="EN84" s="712">
        <f>SUM(EN81:EN83)</f>
        <v>34876</v>
      </c>
      <c r="EO84" s="712">
        <f>SUM(EO81:EO83)</f>
        <v>70815</v>
      </c>
      <c r="EP84" s="715">
        <f>EO84</f>
        <v>70815</v>
      </c>
      <c r="EQ84" s="712">
        <f>SUM(EQ81:EQ83)</f>
        <v>96076</v>
      </c>
      <c r="ER84" s="712">
        <f>SUM(ER81:ER83)</f>
        <v>106076</v>
      </c>
      <c r="ES84" s="712">
        <f>SUM(ES81:ES83)</f>
        <v>116076</v>
      </c>
      <c r="ET84" s="712">
        <f>SUM(ET81:ET83)</f>
        <v>126076</v>
      </c>
      <c r="EU84" s="715">
        <f>ET84</f>
        <v>126076</v>
      </c>
      <c r="EV84" s="712">
        <f>SUM(EV81:EV83)</f>
        <v>141076</v>
      </c>
      <c r="EW84" s="712">
        <f>SUM(EW81:EW83)</f>
        <v>156076</v>
      </c>
      <c r="EX84" s="712">
        <f>SUM(EX81:EX83)</f>
        <v>171076</v>
      </c>
      <c r="EY84" s="712">
        <f>SUM(EY81:EY83)</f>
        <v>186076</v>
      </c>
      <c r="EZ84" s="715">
        <f>EY84</f>
        <v>186076</v>
      </c>
      <c r="FA84" s="712">
        <f>SUM(FA81:FA83)</f>
        <v>203076</v>
      </c>
      <c r="FB84" s="712">
        <f>SUM(FB81:FB83)</f>
        <v>220076</v>
      </c>
      <c r="FC84" s="712">
        <f>SUM(FC81:FC83)</f>
        <v>237076</v>
      </c>
      <c r="FD84" s="712">
        <f>SUM(FD81:FD83)</f>
        <v>254076</v>
      </c>
      <c r="FE84" s="715">
        <f>FD84</f>
        <v>254076</v>
      </c>
      <c r="FF84" s="712">
        <f>SUM(FF81:FF83)</f>
        <v>274076</v>
      </c>
      <c r="FG84" s="712">
        <f>SUM(FG81:FG83)</f>
        <v>294076</v>
      </c>
      <c r="FH84" s="712">
        <f>SUM(FH81:FH83)</f>
        <v>314076</v>
      </c>
      <c r="FI84" s="712">
        <f>SUM(FI81:FI83)</f>
        <v>334076</v>
      </c>
      <c r="FJ84" s="715">
        <f>FI84</f>
        <v>334076</v>
      </c>
      <c r="FK84" s="712">
        <f>SUM(FK81:FK83)</f>
        <v>356576</v>
      </c>
      <c r="FL84" s="712">
        <f>SUM(FL81:FL83)</f>
        <v>379076</v>
      </c>
      <c r="FM84" s="712">
        <f>SUM(FM81:FM83)</f>
        <v>401576</v>
      </c>
      <c r="FN84" s="712">
        <f>SUM(FN81:FN83)</f>
        <v>424076</v>
      </c>
      <c r="FO84" s="715">
        <f>FN84</f>
        <v>424076</v>
      </c>
      <c r="FP84" s="715"/>
    </row>
    <row r="85" spans="1:173">
      <c r="B85" s="665"/>
      <c r="C85" s="665"/>
      <c r="D85" s="665"/>
      <c r="E85" s="665"/>
      <c r="F85" s="665"/>
      <c r="G85" s="665"/>
      <c r="H85" s="665"/>
      <c r="I85" s="665"/>
      <c r="J85" s="665"/>
      <c r="K85" s="149"/>
      <c r="L85" s="199"/>
      <c r="M85" s="199"/>
      <c r="N85" s="199"/>
      <c r="O85" s="199"/>
      <c r="P85" s="712"/>
      <c r="Q85" s="199"/>
      <c r="R85" s="199"/>
      <c r="S85" s="199"/>
      <c r="T85" s="199"/>
      <c r="U85" s="712"/>
      <c r="V85" s="199"/>
      <c r="W85" s="199"/>
      <c r="X85" s="199"/>
      <c r="Y85" s="199"/>
      <c r="Z85" s="712"/>
      <c r="AA85" s="199"/>
      <c r="AB85" s="199"/>
      <c r="AC85" s="199"/>
      <c r="AD85" s="199"/>
      <c r="AE85" s="712"/>
      <c r="AF85" s="199"/>
      <c r="AG85" s="199"/>
      <c r="AH85" s="199"/>
      <c r="AI85" s="199"/>
      <c r="AJ85" s="712"/>
      <c r="AK85" s="199"/>
      <c r="AL85" s="199"/>
      <c r="AM85" s="199"/>
      <c r="AN85" s="712"/>
      <c r="AO85" s="712"/>
      <c r="AP85" s="712"/>
      <c r="AQ85" s="712"/>
      <c r="AR85" s="712"/>
      <c r="AS85" s="712"/>
      <c r="AT85" s="712"/>
      <c r="AU85" s="712"/>
      <c r="AV85" s="712"/>
      <c r="AW85" s="712"/>
      <c r="AX85" s="712"/>
      <c r="AY85" s="712"/>
      <c r="AZ85" s="712"/>
      <c r="BA85" s="712"/>
      <c r="BB85" s="712"/>
      <c r="BC85" s="712"/>
      <c r="BD85" s="712"/>
      <c r="BE85" s="712"/>
      <c r="BF85" s="712"/>
      <c r="BG85" s="712"/>
      <c r="BH85" s="712"/>
      <c r="BI85" s="712"/>
      <c r="BJ85" s="712"/>
      <c r="BK85" s="712"/>
      <c r="BL85" s="712"/>
      <c r="BM85" s="712"/>
      <c r="BN85" s="712"/>
      <c r="BO85" s="712"/>
      <c r="BP85" s="712"/>
      <c r="BQ85" s="712"/>
      <c r="BR85" s="712"/>
      <c r="BS85" s="712"/>
      <c r="BT85" s="712"/>
      <c r="BU85" s="712"/>
      <c r="BV85" s="712"/>
      <c r="BW85" s="712"/>
      <c r="BX85" s="712"/>
      <c r="BY85" s="712"/>
      <c r="BZ85" s="712"/>
      <c r="CA85" s="712"/>
      <c r="CB85" s="712"/>
      <c r="CC85" s="712"/>
      <c r="CD85" s="712"/>
      <c r="CE85" s="712"/>
      <c r="CF85" s="712"/>
      <c r="CG85" s="712"/>
      <c r="CH85" s="712"/>
      <c r="CI85" s="712"/>
      <c r="CJ85" s="712"/>
      <c r="CK85" s="712"/>
      <c r="CL85" s="712"/>
      <c r="CM85" s="712"/>
      <c r="CN85" s="712"/>
      <c r="CO85" s="712"/>
      <c r="CP85" s="712"/>
      <c r="CQ85" s="712"/>
      <c r="CR85" s="712"/>
      <c r="CS85" s="712"/>
      <c r="CT85" s="712"/>
      <c r="CU85" s="712"/>
      <c r="CV85" s="712"/>
      <c r="CW85" s="712"/>
      <c r="CX85" s="712"/>
      <c r="CY85" s="712"/>
      <c r="CZ85" s="712"/>
      <c r="DA85" s="712"/>
      <c r="DB85" s="712"/>
      <c r="DC85" s="712"/>
      <c r="DD85" s="712"/>
      <c r="DE85" s="712"/>
      <c r="DF85" s="712"/>
      <c r="DG85" s="712"/>
      <c r="DH85" s="712"/>
      <c r="DI85" s="712"/>
      <c r="DJ85" s="712"/>
      <c r="DK85" s="712"/>
      <c r="DL85" s="712"/>
      <c r="DM85" s="712"/>
      <c r="DN85" s="712"/>
      <c r="DO85" s="712"/>
      <c r="DP85" s="712"/>
      <c r="DQ85" s="712"/>
      <c r="DR85" s="712"/>
      <c r="DS85" s="712"/>
      <c r="DT85" s="712"/>
      <c r="DU85" s="712"/>
      <c r="DV85" s="712"/>
      <c r="DW85" s="712"/>
      <c r="DX85" s="712"/>
      <c r="DY85" s="712"/>
      <c r="DZ85" s="712"/>
      <c r="EA85" s="712"/>
      <c r="EB85" s="712"/>
      <c r="EC85" s="712"/>
      <c r="ED85" s="712"/>
      <c r="EE85" s="712"/>
      <c r="EF85" s="712"/>
      <c r="EG85" s="712"/>
      <c r="EH85" s="712"/>
      <c r="EI85" s="712"/>
      <c r="EJ85" s="712"/>
      <c r="EK85" s="712"/>
      <c r="EL85" s="712"/>
      <c r="EM85" s="712"/>
      <c r="EN85" s="712"/>
      <c r="EO85" s="712"/>
      <c r="EP85" s="712"/>
      <c r="EQ85" s="712"/>
      <c r="ER85" s="712"/>
      <c r="ES85" s="712"/>
      <c r="ET85" s="712"/>
      <c r="EU85" s="712"/>
      <c r="EV85" s="712"/>
      <c r="EW85" s="712"/>
      <c r="EX85" s="712"/>
      <c r="EY85" s="712"/>
      <c r="EZ85" s="712"/>
      <c r="FA85" s="712"/>
      <c r="FB85" s="712"/>
      <c r="FC85" s="712"/>
      <c r="FD85" s="712"/>
      <c r="FE85" s="712"/>
      <c r="FF85" s="712"/>
      <c r="FG85" s="712"/>
      <c r="FH85" s="712"/>
      <c r="FI85" s="712"/>
      <c r="FJ85" s="712"/>
      <c r="FK85" s="712"/>
      <c r="FL85" s="712"/>
      <c r="FM85" s="712"/>
      <c r="FN85" s="712"/>
      <c r="FO85" s="712"/>
      <c r="FP85" s="712"/>
    </row>
    <row r="86" spans="1:173" s="169" customFormat="1">
      <c r="A86" s="147" t="s">
        <v>441</v>
      </c>
      <c r="B86" s="725"/>
      <c r="C86" s="725"/>
      <c r="D86" s="725"/>
      <c r="E86" s="725"/>
      <c r="F86" s="725"/>
      <c r="G86" s="725"/>
      <c r="H86" s="725"/>
      <c r="I86" s="725"/>
      <c r="J86" s="725"/>
      <c r="K86" s="726"/>
      <c r="L86" s="727">
        <f t="shared" ref="L86:BW86" si="78">L84+L78+L74</f>
        <v>126.65599999999998</v>
      </c>
      <c r="M86" s="727">
        <f t="shared" si="78"/>
        <v>134.40300000000002</v>
      </c>
      <c r="N86" s="727">
        <f t="shared" si="78"/>
        <v>157.553</v>
      </c>
      <c r="O86" s="727">
        <f t="shared" si="78"/>
        <v>202.24999999999997</v>
      </c>
      <c r="P86" s="728">
        <f>O86</f>
        <v>202.24999999999997</v>
      </c>
      <c r="Q86" s="727">
        <f t="shared" si="78"/>
        <v>447.791</v>
      </c>
      <c r="R86" s="727">
        <f t="shared" si="78"/>
        <v>507.18299999999999</v>
      </c>
      <c r="S86" s="727">
        <f t="shared" si="78"/>
        <v>983.346</v>
      </c>
      <c r="T86" s="727">
        <f t="shared" si="78"/>
        <v>1016.4269999999999</v>
      </c>
      <c r="U86" s="728">
        <f>T86</f>
        <v>1016.4269999999999</v>
      </c>
      <c r="V86" s="727">
        <f t="shared" si="78"/>
        <v>1081.7840000000001</v>
      </c>
      <c r="W86" s="727">
        <f t="shared" si="78"/>
        <v>1189.2579999999998</v>
      </c>
      <c r="X86" s="727">
        <f t="shared" si="78"/>
        <v>1247.3499999999999</v>
      </c>
      <c r="Y86" s="727">
        <f t="shared" si="78"/>
        <v>1503.174</v>
      </c>
      <c r="Z86" s="728">
        <f>Y86</f>
        <v>1503.174</v>
      </c>
      <c r="AA86" s="727">
        <f t="shared" si="78"/>
        <v>1599.7169999999999</v>
      </c>
      <c r="AB86" s="727">
        <f t="shared" si="78"/>
        <v>1615.154</v>
      </c>
      <c r="AC86" s="727">
        <f t="shared" si="78"/>
        <v>1629.6970000000001</v>
      </c>
      <c r="AD86" s="727">
        <f t="shared" si="78"/>
        <v>1617.0150000000001</v>
      </c>
      <c r="AE86" s="728">
        <f>AD86</f>
        <v>1617.0150000000001</v>
      </c>
      <c r="AF86" s="727">
        <f t="shared" si="78"/>
        <v>1687.5329999999999</v>
      </c>
      <c r="AG86" s="727">
        <f t="shared" si="78"/>
        <v>1780.1129999999998</v>
      </c>
      <c r="AH86" s="727">
        <f t="shared" si="78"/>
        <v>1458.7799999999997</v>
      </c>
      <c r="AI86" s="727">
        <f t="shared" si="78"/>
        <v>1399.3440000000001</v>
      </c>
      <c r="AJ86" s="728">
        <f>AI86</f>
        <v>1399.3440000000001</v>
      </c>
      <c r="AK86" s="727">
        <f t="shared" si="78"/>
        <v>1458.1899999999998</v>
      </c>
      <c r="AL86" s="727">
        <f t="shared" si="78"/>
        <v>1480.8889999999999</v>
      </c>
      <c r="AM86" s="727">
        <f t="shared" si="78"/>
        <v>1539.6559999999999</v>
      </c>
      <c r="AN86" s="727">
        <f t="shared" si="78"/>
        <v>1628.5360000000001</v>
      </c>
      <c r="AO86" s="728">
        <f>AN86</f>
        <v>1628.5360000000001</v>
      </c>
      <c r="AP86" s="727">
        <f t="shared" si="78"/>
        <v>1635.0940000000001</v>
      </c>
      <c r="AQ86" s="727">
        <f t="shared" si="78"/>
        <v>1728.2179999999998</v>
      </c>
      <c r="AR86" s="727">
        <f t="shared" si="78"/>
        <v>1805.5079999999998</v>
      </c>
      <c r="AS86" s="727">
        <f t="shared" si="78"/>
        <v>1915.2989999999998</v>
      </c>
      <c r="AT86" s="728">
        <f>AS86</f>
        <v>1915.2989999999998</v>
      </c>
      <c r="AU86" s="727">
        <f t="shared" si="78"/>
        <v>2200.828</v>
      </c>
      <c r="AV86" s="727">
        <f t="shared" si="78"/>
        <v>2183.8290000000002</v>
      </c>
      <c r="AW86" s="727">
        <f t="shared" si="78"/>
        <v>2531.1529999999998</v>
      </c>
      <c r="AX86" s="727">
        <f t="shared" si="78"/>
        <v>2675.2629999999999</v>
      </c>
      <c r="AY86" s="728">
        <f>AX86</f>
        <v>2675.2629999999999</v>
      </c>
      <c r="AZ86" s="727">
        <f t="shared" si="78"/>
        <v>2800.8679999999995</v>
      </c>
      <c r="BA86" s="727">
        <f t="shared" si="78"/>
        <v>3036.2669999999998</v>
      </c>
      <c r="BB86" s="727">
        <f t="shared" si="78"/>
        <v>3475.2629999999999</v>
      </c>
      <c r="BC86" s="727">
        <f t="shared" si="78"/>
        <v>3747.6710000000003</v>
      </c>
      <c r="BD86" s="728">
        <f>BC86</f>
        <v>3747.6710000000003</v>
      </c>
      <c r="BE86" s="727">
        <f t="shared" si="78"/>
        <v>3807.4580000000005</v>
      </c>
      <c r="BF86" s="727">
        <f t="shared" si="78"/>
        <v>3960.049</v>
      </c>
      <c r="BG86" s="727">
        <f t="shared" si="78"/>
        <v>3648.8980000000001</v>
      </c>
      <c r="BH86" s="727">
        <f t="shared" si="78"/>
        <v>3350.7269999999994</v>
      </c>
      <c r="BI86" s="728">
        <f>BH86</f>
        <v>3350.7269999999994</v>
      </c>
      <c r="BJ86" s="727">
        <f t="shared" si="78"/>
        <v>3178.7039999999997</v>
      </c>
      <c r="BK86" s="727">
        <f t="shared" si="78"/>
        <v>3298.4089999999997</v>
      </c>
      <c r="BL86" s="727">
        <f t="shared" si="78"/>
        <v>3463.5740000000001</v>
      </c>
      <c r="BM86" s="727">
        <f t="shared" si="78"/>
        <v>3585.9179999999997</v>
      </c>
      <c r="BN86" s="728">
        <f>BM86</f>
        <v>3585.9179999999997</v>
      </c>
      <c r="BO86" s="727">
        <f t="shared" si="78"/>
        <v>3803.0300000000007</v>
      </c>
      <c r="BP86" s="727">
        <f t="shared" si="78"/>
        <v>3731.268</v>
      </c>
      <c r="BQ86" s="727">
        <f t="shared" si="78"/>
        <v>3915.5790000000002</v>
      </c>
      <c r="BR86" s="727">
        <f t="shared" si="78"/>
        <v>4495.2460000000001</v>
      </c>
      <c r="BS86" s="728">
        <f>BR86</f>
        <v>4495.2460000000001</v>
      </c>
      <c r="BT86" s="727">
        <f t="shared" si="78"/>
        <v>4736.7440000000006</v>
      </c>
      <c r="BU86" s="727">
        <f t="shared" si="78"/>
        <v>4913.6140000000005</v>
      </c>
      <c r="BV86" s="727">
        <f t="shared" si="78"/>
        <v>5089.0429999999997</v>
      </c>
      <c r="BW86" s="727">
        <f t="shared" si="78"/>
        <v>5552.9279999999999</v>
      </c>
      <c r="BX86" s="728">
        <f>BW86</f>
        <v>5552.9279999999999</v>
      </c>
      <c r="BY86" s="727">
        <f>BY84+BY78+BY74</f>
        <v>5708.1669999999995</v>
      </c>
      <c r="BZ86" s="727">
        <f>BZ84+BZ78+BZ74</f>
        <v>5891.8809999999994</v>
      </c>
      <c r="CA86" s="727">
        <f>CA84+CA78+CA74</f>
        <v>6075.1439999999993</v>
      </c>
      <c r="CB86" s="727">
        <f>CB84+CB78+CB74</f>
        <v>6412.2449999999999</v>
      </c>
      <c r="CC86" s="728">
        <f>CB86</f>
        <v>6412.2449999999999</v>
      </c>
      <c r="CD86" s="727">
        <f>CD84+CD78+CD74</f>
        <v>6279.527</v>
      </c>
      <c r="CE86" s="727">
        <f>CE84+CE78+CE74</f>
        <v>5569.5920000000006</v>
      </c>
      <c r="CF86" s="727">
        <f>CF84+CF78+CF74</f>
        <v>5711.3729999999996</v>
      </c>
      <c r="CG86" s="727">
        <f>CG84+CG78+CG74</f>
        <v>7250.8939999999993</v>
      </c>
      <c r="CH86" s="728">
        <f>CG86</f>
        <v>7250.8939999999993</v>
      </c>
      <c r="CI86" s="727">
        <f>CI84+CI78+CI74</f>
        <v>6864.6629999999996</v>
      </c>
      <c r="CJ86" s="727">
        <f>CJ84+CJ78+CJ74</f>
        <v>6933.7190000000001</v>
      </c>
      <c r="CK86" s="727">
        <f>CK84+CK78+CK74</f>
        <v>6885.8689999999997</v>
      </c>
      <c r="CL86" s="727">
        <f>CL84+CL78+CL74</f>
        <v>7201.3679999999995</v>
      </c>
      <c r="CM86" s="728">
        <f>CL86</f>
        <v>7201.3679999999995</v>
      </c>
      <c r="CN86" s="727">
        <f>CN84+CN78+CN74</f>
        <v>7291</v>
      </c>
      <c r="CO86" s="727">
        <f>CO84+CO78+CO74</f>
        <v>6979</v>
      </c>
      <c r="CP86" s="727">
        <f>CP84+CP78+CP74</f>
        <v>7174</v>
      </c>
      <c r="CQ86" s="727">
        <f>CQ84+CQ78+CQ74</f>
        <v>7370</v>
      </c>
      <c r="CR86" s="728">
        <f>CQ86</f>
        <v>7370</v>
      </c>
      <c r="CS86" s="727">
        <f>CS84+CS78+CS74</f>
        <v>7108</v>
      </c>
      <c r="CT86" s="727">
        <f>CT84+CT78+CT74</f>
        <v>7461</v>
      </c>
      <c r="CU86" s="727">
        <f>CU84+CU78+CU74</f>
        <v>9612</v>
      </c>
      <c r="CV86" s="727">
        <f>CV84+CV78+CV74</f>
        <v>9841</v>
      </c>
      <c r="CW86" s="728">
        <f>CV86</f>
        <v>9841</v>
      </c>
      <c r="CX86" s="727">
        <f>CX84+CX78+CX74</f>
        <v>9410</v>
      </c>
      <c r="CY86" s="727">
        <f>CY84+CY78+CY74</f>
        <v>9402</v>
      </c>
      <c r="CZ86" s="727">
        <f>CZ84+CZ78+CZ74</f>
        <v>9830</v>
      </c>
      <c r="DA86" s="727">
        <f>DA84+DA78+DA74</f>
        <v>11241</v>
      </c>
      <c r="DB86" s="728">
        <f>DA86</f>
        <v>11241</v>
      </c>
      <c r="DC86" s="727">
        <f>DC84+DC78+DC74</f>
        <v>11460</v>
      </c>
      <c r="DD86" s="727">
        <f>DD84+DD78+DD74</f>
        <v>12882</v>
      </c>
      <c r="DE86" s="727">
        <f>DE84+DE78+DE74</f>
        <v>13657</v>
      </c>
      <c r="DF86" s="727">
        <f>DF84+DF78+DF74</f>
        <v>13292</v>
      </c>
      <c r="DG86" s="728">
        <f>DF86</f>
        <v>13292</v>
      </c>
      <c r="DH86" s="727">
        <f>DH84+DH78+DH74</f>
        <v>14021</v>
      </c>
      <c r="DI86" s="727">
        <f>DI84+DI78+DI74</f>
        <v>14775</v>
      </c>
      <c r="DJ86" s="727">
        <f>DJ84+DJ78+DJ74</f>
        <v>15810</v>
      </c>
      <c r="DK86" s="727">
        <f>DK84+DK78+DK74</f>
        <v>17315</v>
      </c>
      <c r="DL86" s="728">
        <f>DK86</f>
        <v>17315</v>
      </c>
      <c r="DM86" s="727">
        <f>DM84+DM78+DM74</f>
        <v>23254</v>
      </c>
      <c r="DN86" s="727">
        <f>DN84+DN78+DN74</f>
        <v>25180</v>
      </c>
      <c r="DO86" s="727">
        <f>DO84+DO78+DO74</f>
        <v>26881</v>
      </c>
      <c r="DP86" s="727">
        <f>DP84+DP78+DP74</f>
        <v>28791</v>
      </c>
      <c r="DQ86" s="728">
        <f>DP86</f>
        <v>28791</v>
      </c>
      <c r="DR86" s="727">
        <f>DR84+DR78+DR74</f>
        <v>30796</v>
      </c>
      <c r="DS86" s="727">
        <f>DS84+DS78+DS74</f>
        <v>38650</v>
      </c>
      <c r="DT86" s="727">
        <f>DT84+DT78+DT74</f>
        <v>40632</v>
      </c>
      <c r="DU86" s="727">
        <f>DU84+DU78+DU74</f>
        <v>44187</v>
      </c>
      <c r="DV86" s="728">
        <f>DU86</f>
        <v>44187</v>
      </c>
      <c r="DW86" s="727">
        <f>DW84+DW78+DW74</f>
        <v>45212</v>
      </c>
      <c r="DX86" s="727">
        <f>DX84+DX78+DX74</f>
        <v>43476</v>
      </c>
      <c r="DY86" s="727">
        <f>DY84+DY78+DY74</f>
        <v>40488</v>
      </c>
      <c r="DZ86" s="727">
        <f>DZ84+DZ78+DZ74</f>
        <v>41182</v>
      </c>
      <c r="EA86" s="728">
        <f>DZ86</f>
        <v>41182</v>
      </c>
      <c r="EB86" s="727">
        <f>EB84+EB78+EB74</f>
        <v>44460</v>
      </c>
      <c r="EC86" s="727">
        <f>EC84+EC78+EC74</f>
        <v>49555</v>
      </c>
      <c r="ED86" s="727">
        <f>ED84+ED78+ED74</f>
        <v>54148</v>
      </c>
      <c r="EE86" s="727">
        <f>EE84+EE78+EE74</f>
        <v>65728</v>
      </c>
      <c r="EF86" s="728">
        <f>EE86</f>
        <v>65728</v>
      </c>
      <c r="EG86" s="727">
        <f>EG84+EG78+EG74</f>
        <v>77072</v>
      </c>
      <c r="EH86" s="727">
        <f>EH84+EH78+EH74</f>
        <v>85227</v>
      </c>
      <c r="EI86" s="727">
        <f>EI84+EI78+EI74</f>
        <v>96013</v>
      </c>
      <c r="EJ86" s="727">
        <f>EJ84+EJ78+EJ74</f>
        <v>111601</v>
      </c>
      <c r="EK86" s="728">
        <f>EJ86</f>
        <v>111601</v>
      </c>
      <c r="EL86" s="727">
        <f>EL84+EL78+EL74</f>
        <v>125254</v>
      </c>
      <c r="EM86" s="727">
        <f>EM84+EM78+EM74</f>
        <v>140740</v>
      </c>
      <c r="EN86" s="727">
        <f>EN84+EN78+EN74</f>
        <v>161148</v>
      </c>
      <c r="EO86" s="727">
        <f>EO84+EO78+EO74</f>
        <v>206803</v>
      </c>
      <c r="EP86" s="728">
        <f>EO86</f>
        <v>206803</v>
      </c>
      <c r="EQ86" s="727">
        <f>EQ84+EQ78+EQ74</f>
        <v>259474</v>
      </c>
      <c r="ER86" s="727">
        <f>ER84+ER78+ER74</f>
        <v>287803.84417185286</v>
      </c>
      <c r="ES86" s="727">
        <f>ES84+ES78+ES74</f>
        <v>327221.65993470675</v>
      </c>
      <c r="ET86" s="727">
        <f>ET84+ET78+ET74</f>
        <v>375410.13470788434</v>
      </c>
      <c r="EU86" s="728">
        <f>ET86</f>
        <v>375410.13470788434</v>
      </c>
      <c r="EV86" s="727">
        <f>EV84+EV78+EV74</f>
        <v>427600.38856984791</v>
      </c>
      <c r="EW86" s="727">
        <f>EW84+EW78+EW74</f>
        <v>487709.72921822697</v>
      </c>
      <c r="EX86" s="727">
        <f>EX84+EX78+EX74</f>
        <v>556169.0971192416</v>
      </c>
      <c r="EY86" s="727">
        <f>EY84+EY78+EY74</f>
        <v>630795.53096364043</v>
      </c>
      <c r="EZ86" s="728">
        <f>EY86</f>
        <v>630795.53096364043</v>
      </c>
      <c r="FA86" s="727">
        <f>FA84+FA78+FA74</f>
        <v>707728.75297337794</v>
      </c>
      <c r="FB86" s="727">
        <f>FB84+FB78+FB74</f>
        <v>784522.32545433776</v>
      </c>
      <c r="FC86" s="727">
        <f>FC84+FC78+FC74</f>
        <v>869855.51462401869</v>
      </c>
      <c r="FD86" s="727">
        <f>FD84+FD78+FD74</f>
        <v>961152.60008392017</v>
      </c>
      <c r="FE86" s="728">
        <f>FD86</f>
        <v>961152.60008392017</v>
      </c>
      <c r="FF86" s="727">
        <f>FF84+FF78+FF74</f>
        <v>1050405.2726982599</v>
      </c>
      <c r="FG86" s="727">
        <f>FG84+FG78+FG74</f>
        <v>1141134.220346391</v>
      </c>
      <c r="FH86" s="727">
        <f>FH84+FH78+FH74</f>
        <v>1236343.970030617</v>
      </c>
      <c r="FI86" s="727">
        <f>FI84+FI78+FI74</f>
        <v>1334290.3954850812</v>
      </c>
      <c r="FJ86" s="728">
        <f>FI86</f>
        <v>1334290.3954850812</v>
      </c>
      <c r="FK86" s="727">
        <f>FK84+FK78+FK74</f>
        <v>1432040.4326551654</v>
      </c>
      <c r="FL86" s="727">
        <f>FL84+FL78+FL74</f>
        <v>1529822.7611214139</v>
      </c>
      <c r="FM86" s="727">
        <f>FM84+FM78+FM74</f>
        <v>1636802.1407408433</v>
      </c>
      <c r="FN86" s="727">
        <f>FN84+FN78+FN74</f>
        <v>1749779.7059239242</v>
      </c>
      <c r="FO86" s="728">
        <f>FN86</f>
        <v>1749779.7059239242</v>
      </c>
      <c r="FP86" s="728"/>
    </row>
    <row r="87" spans="1:173">
      <c r="B87" s="665"/>
      <c r="C87" s="665"/>
      <c r="D87" s="665"/>
      <c r="E87" s="665"/>
      <c r="F87" s="665"/>
      <c r="G87" s="665"/>
      <c r="H87" s="665"/>
      <c r="I87" s="665"/>
      <c r="J87" s="665"/>
      <c r="K87" s="152"/>
      <c r="L87" s="199"/>
      <c r="M87" s="199"/>
      <c r="N87" s="199"/>
      <c r="O87" s="199"/>
      <c r="P87" s="712"/>
      <c r="Q87" s="199"/>
      <c r="R87" s="199"/>
      <c r="S87" s="199"/>
      <c r="T87" s="199"/>
      <c r="U87" s="712"/>
      <c r="V87" s="199"/>
      <c r="W87" s="199"/>
      <c r="X87" s="199"/>
      <c r="Y87" s="199"/>
      <c r="Z87" s="712"/>
      <c r="AA87" s="199"/>
      <c r="AB87" s="199"/>
      <c r="AC87" s="199"/>
      <c r="AD87" s="199"/>
      <c r="AE87" s="712"/>
      <c r="AF87" s="199"/>
      <c r="AG87" s="199"/>
      <c r="AH87" s="199"/>
      <c r="AI87" s="199"/>
      <c r="AJ87" s="712"/>
      <c r="AK87" s="199"/>
      <c r="AL87" s="199"/>
      <c r="AM87" s="199"/>
      <c r="AN87" s="712"/>
      <c r="AO87" s="712"/>
      <c r="AP87" s="712"/>
      <c r="AQ87" s="712"/>
      <c r="AR87" s="712"/>
      <c r="AS87" s="712"/>
      <c r="AT87" s="712"/>
      <c r="AU87" s="712"/>
      <c r="AV87" s="712"/>
      <c r="AW87" s="712"/>
      <c r="AX87" s="712"/>
      <c r="AY87" s="712"/>
      <c r="AZ87" s="712"/>
      <c r="BA87" s="712"/>
      <c r="BB87" s="712"/>
      <c r="BC87" s="712"/>
      <c r="BD87" s="712"/>
      <c r="BE87" s="712"/>
      <c r="BF87" s="712"/>
      <c r="BG87" s="712"/>
      <c r="BH87" s="712"/>
      <c r="BI87" s="712"/>
      <c r="BJ87" s="712"/>
      <c r="BK87" s="712"/>
      <c r="BL87" s="712"/>
      <c r="BM87" s="712"/>
      <c r="BN87" s="712"/>
      <c r="BO87" s="712"/>
      <c r="BP87" s="712"/>
      <c r="BQ87" s="712"/>
      <c r="BR87" s="712"/>
      <c r="BS87" s="712"/>
      <c r="BT87" s="712"/>
      <c r="BU87" s="712"/>
      <c r="BV87" s="712"/>
      <c r="BW87" s="712"/>
      <c r="BX87" s="712"/>
      <c r="BY87" s="712"/>
      <c r="BZ87" s="712"/>
      <c r="CA87" s="712"/>
      <c r="CB87" s="712"/>
      <c r="CC87" s="712"/>
      <c r="CD87" s="712"/>
      <c r="CE87" s="712"/>
      <c r="CF87" s="712"/>
      <c r="CG87" s="712"/>
      <c r="CH87" s="712"/>
      <c r="CI87" s="712"/>
      <c r="CJ87" s="712"/>
      <c r="CK87" s="712"/>
      <c r="CL87" s="712"/>
      <c r="CM87" s="712"/>
      <c r="CN87" s="712"/>
      <c r="CO87" s="712"/>
      <c r="CP87" s="712"/>
      <c r="CQ87" s="712"/>
      <c r="CR87" s="712"/>
      <c r="CS87" s="712"/>
      <c r="CT87" s="712"/>
      <c r="CU87" s="712"/>
      <c r="CV87" s="712"/>
      <c r="CW87" s="712"/>
      <c r="CX87" s="712"/>
      <c r="CY87" s="712"/>
      <c r="CZ87" s="712"/>
      <c r="DA87" s="712"/>
      <c r="DB87" s="712"/>
      <c r="DC87" s="712"/>
      <c r="DD87" s="712"/>
      <c r="DE87" s="712"/>
      <c r="DF87" s="712"/>
      <c r="DG87" s="712"/>
      <c r="DH87" s="712"/>
      <c r="DI87" s="712"/>
      <c r="DJ87" s="712"/>
      <c r="DK87" s="712"/>
      <c r="DL87" s="712"/>
      <c r="DM87" s="712"/>
      <c r="DN87" s="712"/>
      <c r="DO87" s="712"/>
      <c r="DP87" s="712"/>
      <c r="DQ87" s="712"/>
      <c r="DR87" s="712"/>
      <c r="DS87" s="712"/>
      <c r="DT87" s="712"/>
      <c r="DU87" s="712"/>
      <c r="DV87" s="712"/>
      <c r="DW87" s="712"/>
      <c r="DX87" s="712"/>
      <c r="DY87" s="712"/>
      <c r="DZ87" s="712"/>
      <c r="EA87" s="712"/>
      <c r="EB87" s="712"/>
      <c r="EC87" s="712"/>
      <c r="ED87" s="712"/>
      <c r="EE87" s="712"/>
      <c r="EF87" s="712"/>
      <c r="EG87" s="712"/>
      <c r="EH87" s="712"/>
      <c r="EI87" s="712"/>
      <c r="EJ87" s="712"/>
      <c r="EK87" s="712"/>
      <c r="EL87" s="712"/>
      <c r="EM87" s="712"/>
      <c r="EN87" s="712"/>
      <c r="EO87" s="712"/>
      <c r="EP87" s="712"/>
      <c r="EQ87" s="712"/>
      <c r="ER87" s="712"/>
      <c r="ES87" s="712"/>
      <c r="ET87" s="712"/>
      <c r="EU87" s="712"/>
      <c r="EV87" s="712"/>
      <c r="EW87" s="712"/>
      <c r="EX87" s="712"/>
      <c r="EY87" s="712"/>
      <c r="EZ87" s="712"/>
      <c r="FA87" s="712"/>
      <c r="FB87" s="712"/>
      <c r="FC87" s="712"/>
      <c r="FD87" s="712"/>
      <c r="FE87" s="712"/>
      <c r="FF87" s="712"/>
      <c r="FG87" s="712"/>
      <c r="FH87" s="712"/>
      <c r="FI87" s="712"/>
      <c r="FJ87" s="712"/>
      <c r="FK87" s="712"/>
      <c r="FL87" s="712"/>
      <c r="FM87" s="712"/>
      <c r="FN87" s="712"/>
      <c r="FO87" s="712"/>
      <c r="FP87" s="712"/>
    </row>
    <row r="88" spans="1:173">
      <c r="A88" s="171" t="s">
        <v>442</v>
      </c>
      <c r="B88" s="665"/>
      <c r="C88" s="665"/>
      <c r="D88" s="665"/>
      <c r="E88" s="665"/>
      <c r="F88" s="665"/>
      <c r="G88" s="665"/>
      <c r="H88" s="665"/>
      <c r="I88" s="665"/>
      <c r="J88" s="665"/>
      <c r="K88" s="714"/>
      <c r="L88" s="199">
        <v>1.8580000000000001</v>
      </c>
      <c r="M88" s="199">
        <v>1.766</v>
      </c>
      <c r="N88" s="199">
        <v>2.016</v>
      </c>
      <c r="O88" s="199">
        <v>1.786</v>
      </c>
      <c r="P88" s="715">
        <f>O88</f>
        <v>1.786</v>
      </c>
      <c r="Q88" s="199">
        <v>1.55</v>
      </c>
      <c r="R88" s="199">
        <v>1.1040000000000001</v>
      </c>
      <c r="S88" s="199">
        <v>0.68500000000000005</v>
      </c>
      <c r="T88" s="199">
        <v>0.58799999999999997</v>
      </c>
      <c r="U88" s="715">
        <f>T88</f>
        <v>0.58799999999999997</v>
      </c>
      <c r="V88" s="199">
        <v>0.42899999999999999</v>
      </c>
      <c r="W88" s="199">
        <v>2.0190000000000001</v>
      </c>
      <c r="X88" s="199">
        <v>4.0140000000000002</v>
      </c>
      <c r="Y88" s="199">
        <v>3.8959999999999999</v>
      </c>
      <c r="Z88" s="715">
        <f>Y88</f>
        <v>3.8959999999999999</v>
      </c>
      <c r="AA88" s="199">
        <v>3.944</v>
      </c>
      <c r="AB88" s="199">
        <v>5.6070000000000002</v>
      </c>
      <c r="AC88" s="199">
        <v>5.58</v>
      </c>
      <c r="AD88" s="199">
        <v>5.6760000000000002</v>
      </c>
      <c r="AE88" s="715">
        <f>AD88</f>
        <v>5.6760000000000002</v>
      </c>
      <c r="AF88" s="199">
        <v>6.2030000000000003</v>
      </c>
      <c r="AG88" s="199">
        <v>6.5279999999999996</v>
      </c>
      <c r="AH88" s="199">
        <v>5.7880000000000003</v>
      </c>
      <c r="AI88" s="199">
        <v>4.0149999999999997</v>
      </c>
      <c r="AJ88" s="715">
        <f>AI88</f>
        <v>4.0149999999999997</v>
      </c>
      <c r="AK88" s="199">
        <v>3.0430000000000001</v>
      </c>
      <c r="AL88" s="199">
        <v>2.0379999999999998</v>
      </c>
      <c r="AM88" s="199">
        <v>1.36</v>
      </c>
      <c r="AN88" s="199">
        <v>0.85599999999999998</v>
      </c>
      <c r="AO88" s="715">
        <f>AN88</f>
        <v>0.85599999999999998</v>
      </c>
      <c r="AP88" s="199">
        <v>0.34499999999999997</v>
      </c>
      <c r="AQ88" s="712">
        <v>0</v>
      </c>
      <c r="AR88" s="712">
        <v>0</v>
      </c>
      <c r="AS88" s="712">
        <v>0</v>
      </c>
      <c r="AT88" s="715">
        <f>AS88</f>
        <v>0</v>
      </c>
      <c r="AU88" s="712">
        <v>0</v>
      </c>
      <c r="AV88" s="712">
        <v>0</v>
      </c>
      <c r="AW88" s="712">
        <v>0</v>
      </c>
      <c r="AX88" s="712">
        <v>0</v>
      </c>
      <c r="AY88" s="715">
        <f>AX88</f>
        <v>0</v>
      </c>
      <c r="AZ88" s="712">
        <f>AX88</f>
        <v>0</v>
      </c>
      <c r="BA88" s="712">
        <f>AZ88</f>
        <v>0</v>
      </c>
      <c r="BB88" s="712">
        <v>0</v>
      </c>
      <c r="BC88" s="712">
        <f>BB88</f>
        <v>0</v>
      </c>
      <c r="BD88" s="715">
        <f>BC88</f>
        <v>0</v>
      </c>
      <c r="BE88" s="712">
        <f>BC88</f>
        <v>0</v>
      </c>
      <c r="BF88" s="712">
        <f>BE88</f>
        <v>0</v>
      </c>
      <c r="BG88" s="712">
        <v>0</v>
      </c>
      <c r="BH88" s="712">
        <f>BG88</f>
        <v>0</v>
      </c>
      <c r="BI88" s="715">
        <f>BH88</f>
        <v>0</v>
      </c>
      <c r="BJ88" s="712">
        <f>BH88</f>
        <v>0</v>
      </c>
      <c r="BK88" s="712">
        <f>BJ88</f>
        <v>0</v>
      </c>
      <c r="BL88" s="712">
        <v>0</v>
      </c>
      <c r="BM88" s="712">
        <f>BL88</f>
        <v>0</v>
      </c>
      <c r="BN88" s="715">
        <f>BM88</f>
        <v>0</v>
      </c>
      <c r="BO88" s="712">
        <f>BM88</f>
        <v>0</v>
      </c>
      <c r="BP88" s="712">
        <f>BO88</f>
        <v>0</v>
      </c>
      <c r="BQ88" s="712">
        <v>0</v>
      </c>
      <c r="BR88" s="712">
        <f>BQ88</f>
        <v>0</v>
      </c>
      <c r="BS88" s="715">
        <f>BR88</f>
        <v>0</v>
      </c>
      <c r="BT88" s="712">
        <f>BR88</f>
        <v>0</v>
      </c>
      <c r="BU88" s="712">
        <f>BT88</f>
        <v>0</v>
      </c>
      <c r="BV88" s="712">
        <v>0</v>
      </c>
      <c r="BW88" s="712">
        <f>BV88</f>
        <v>0</v>
      </c>
      <c r="BX88" s="715">
        <f>BW88</f>
        <v>0</v>
      </c>
      <c r="BY88" s="712">
        <f>BW88</f>
        <v>0</v>
      </c>
      <c r="BZ88" s="712">
        <f>BY88</f>
        <v>0</v>
      </c>
      <c r="CA88" s="712">
        <v>0</v>
      </c>
      <c r="CB88" s="712">
        <f>CA88</f>
        <v>0</v>
      </c>
      <c r="CC88" s="715">
        <f>CB88</f>
        <v>0</v>
      </c>
      <c r="CD88" s="712">
        <f>CB88</f>
        <v>0</v>
      </c>
      <c r="CE88" s="712">
        <f>CD88</f>
        <v>0</v>
      </c>
      <c r="CF88" s="712">
        <v>0</v>
      </c>
      <c r="CG88" s="712">
        <f t="shared" ref="CG88:CP88" si="79">CF88</f>
        <v>0</v>
      </c>
      <c r="CH88" s="715">
        <f>CG88</f>
        <v>0</v>
      </c>
      <c r="CI88" s="712">
        <f>CG88</f>
        <v>0</v>
      </c>
      <c r="CJ88" s="712">
        <f t="shared" si="79"/>
        <v>0</v>
      </c>
      <c r="CK88" s="712">
        <f t="shared" si="79"/>
        <v>0</v>
      </c>
      <c r="CL88" s="712">
        <f t="shared" si="79"/>
        <v>0</v>
      </c>
      <c r="CM88" s="715">
        <f>CL88</f>
        <v>0</v>
      </c>
      <c r="CN88" s="712">
        <f>CL88</f>
        <v>0</v>
      </c>
      <c r="CO88" s="712">
        <f t="shared" si="79"/>
        <v>0</v>
      </c>
      <c r="CP88" s="712">
        <f t="shared" si="79"/>
        <v>0</v>
      </c>
      <c r="CQ88" s="712">
        <f>CP88</f>
        <v>0</v>
      </c>
      <c r="CR88" s="715">
        <f>CQ88</f>
        <v>0</v>
      </c>
      <c r="CS88" s="712">
        <f>CQ88</f>
        <v>0</v>
      </c>
      <c r="CT88" s="712">
        <f>CS88</f>
        <v>0</v>
      </c>
      <c r="CU88" s="712">
        <f>CT88</f>
        <v>0</v>
      </c>
      <c r="CV88" s="712">
        <f>CU88</f>
        <v>0</v>
      </c>
      <c r="CW88" s="715">
        <f>CV88</f>
        <v>0</v>
      </c>
      <c r="CX88" s="712">
        <v>0</v>
      </c>
      <c r="CY88" s="712">
        <v>0</v>
      </c>
      <c r="CZ88" s="712">
        <v>0</v>
      </c>
      <c r="DA88" s="712">
        <v>0</v>
      </c>
      <c r="DB88" s="715">
        <f>DA88</f>
        <v>0</v>
      </c>
      <c r="DC88" s="712">
        <f>DA88</f>
        <v>0</v>
      </c>
      <c r="DD88" s="712">
        <v>0</v>
      </c>
      <c r="DE88" s="712">
        <v>0</v>
      </c>
      <c r="DF88" s="712">
        <v>0</v>
      </c>
      <c r="DG88" s="715">
        <f>DF88</f>
        <v>0</v>
      </c>
      <c r="DH88" s="712">
        <f>DF88</f>
        <v>0</v>
      </c>
      <c r="DI88" s="712">
        <v>0</v>
      </c>
      <c r="DJ88" s="712">
        <f>DI88</f>
        <v>0</v>
      </c>
      <c r="DK88" s="712">
        <f>DJ88</f>
        <v>0</v>
      </c>
      <c r="DL88" s="715">
        <f>DK88</f>
        <v>0</v>
      </c>
      <c r="DM88" s="712">
        <f>DK88</f>
        <v>0</v>
      </c>
      <c r="DN88" s="712">
        <f>DM88</f>
        <v>0</v>
      </c>
      <c r="DO88" s="712">
        <f>DN88</f>
        <v>0</v>
      </c>
      <c r="DP88" s="712">
        <f>DO88</f>
        <v>0</v>
      </c>
      <c r="DQ88" s="715">
        <f>DP88</f>
        <v>0</v>
      </c>
      <c r="DR88" s="712">
        <f>DP88</f>
        <v>0</v>
      </c>
      <c r="DS88" s="712">
        <f>DR88</f>
        <v>0</v>
      </c>
      <c r="DT88" s="712">
        <f>DS88</f>
        <v>0</v>
      </c>
      <c r="DU88" s="712">
        <f>DT88</f>
        <v>0</v>
      </c>
      <c r="DV88" s="715">
        <f>DU88</f>
        <v>0</v>
      </c>
      <c r="DW88" s="712">
        <f>DU88</f>
        <v>0</v>
      </c>
      <c r="DX88" s="712">
        <f t="shared" ref="DX88:EQ88" si="80">DW88</f>
        <v>0</v>
      </c>
      <c r="DY88" s="712">
        <f t="shared" si="80"/>
        <v>0</v>
      </c>
      <c r="DZ88" s="712">
        <f t="shared" si="80"/>
        <v>0</v>
      </c>
      <c r="EA88" s="715">
        <f t="shared" si="80"/>
        <v>0</v>
      </c>
      <c r="EB88" s="712">
        <f t="shared" si="80"/>
        <v>0</v>
      </c>
      <c r="EC88" s="712">
        <f t="shared" si="80"/>
        <v>0</v>
      </c>
      <c r="ED88" s="712">
        <f t="shared" si="80"/>
        <v>0</v>
      </c>
      <c r="EE88" s="712">
        <f t="shared" si="80"/>
        <v>0</v>
      </c>
      <c r="EF88" s="715">
        <f t="shared" si="80"/>
        <v>0</v>
      </c>
      <c r="EG88" s="712">
        <f t="shared" si="80"/>
        <v>0</v>
      </c>
      <c r="EH88" s="712">
        <f t="shared" si="80"/>
        <v>0</v>
      </c>
      <c r="EI88" s="712">
        <f t="shared" si="80"/>
        <v>0</v>
      </c>
      <c r="EJ88" s="712">
        <f t="shared" si="80"/>
        <v>0</v>
      </c>
      <c r="EK88" s="715">
        <f>EJ88</f>
        <v>0</v>
      </c>
      <c r="EL88" s="712">
        <f t="shared" si="80"/>
        <v>0</v>
      </c>
      <c r="EM88" s="712">
        <f t="shared" si="80"/>
        <v>0</v>
      </c>
      <c r="EN88" s="712">
        <f t="shared" si="80"/>
        <v>0</v>
      </c>
      <c r="EO88" s="712">
        <f t="shared" si="80"/>
        <v>0</v>
      </c>
      <c r="EP88" s="715">
        <f>EO88</f>
        <v>0</v>
      </c>
      <c r="EQ88" s="712">
        <f t="shared" si="80"/>
        <v>0</v>
      </c>
      <c r="ER88" s="712">
        <f>EQ88</f>
        <v>0</v>
      </c>
      <c r="ES88" s="712">
        <f>ER88</f>
        <v>0</v>
      </c>
      <c r="ET88" s="712">
        <f>ES88</f>
        <v>0</v>
      </c>
      <c r="EU88" s="715">
        <f>ET88</f>
        <v>0</v>
      </c>
      <c r="EV88" s="712">
        <f>ET88</f>
        <v>0</v>
      </c>
      <c r="EW88" s="712">
        <f>EV88</f>
        <v>0</v>
      </c>
      <c r="EX88" s="712">
        <f>EW88</f>
        <v>0</v>
      </c>
      <c r="EY88" s="712">
        <f>EX88</f>
        <v>0</v>
      </c>
      <c r="EZ88" s="715">
        <f>EY88</f>
        <v>0</v>
      </c>
      <c r="FA88" s="712">
        <f>EY88</f>
        <v>0</v>
      </c>
      <c r="FB88" s="712">
        <f>FA88</f>
        <v>0</v>
      </c>
      <c r="FC88" s="712">
        <f>FB88</f>
        <v>0</v>
      </c>
      <c r="FD88" s="712">
        <f>FC88</f>
        <v>0</v>
      </c>
      <c r="FE88" s="715">
        <f>FD88</f>
        <v>0</v>
      </c>
      <c r="FF88" s="712">
        <f>FD88</f>
        <v>0</v>
      </c>
      <c r="FG88" s="712">
        <f>FF88</f>
        <v>0</v>
      </c>
      <c r="FH88" s="712">
        <f>FG88</f>
        <v>0</v>
      </c>
      <c r="FI88" s="712">
        <f>FH88</f>
        <v>0</v>
      </c>
      <c r="FJ88" s="715">
        <f>FI88</f>
        <v>0</v>
      </c>
      <c r="FK88" s="712">
        <f>FI88</f>
        <v>0</v>
      </c>
      <c r="FL88" s="712">
        <f>FK88</f>
        <v>0</v>
      </c>
      <c r="FM88" s="712">
        <f>FL88</f>
        <v>0</v>
      </c>
      <c r="FN88" s="712">
        <f>FM88</f>
        <v>0</v>
      </c>
      <c r="FO88" s="715">
        <f>FN88</f>
        <v>0</v>
      </c>
      <c r="FP88" s="715"/>
    </row>
    <row r="89" spans="1:173">
      <c r="A89" s="171" t="s">
        <v>443</v>
      </c>
      <c r="B89" s="665"/>
      <c r="C89" s="665"/>
      <c r="D89" s="665"/>
      <c r="E89" s="665"/>
      <c r="F89" s="665"/>
      <c r="G89" s="665"/>
      <c r="H89" s="665"/>
      <c r="I89" s="665"/>
      <c r="J89" s="665"/>
      <c r="K89" s="714"/>
      <c r="L89" s="199">
        <v>27.509</v>
      </c>
      <c r="M89" s="199">
        <v>34.779000000000003</v>
      </c>
      <c r="N89" s="199">
        <v>43.027000000000001</v>
      </c>
      <c r="O89" s="199">
        <v>64.91</v>
      </c>
      <c r="P89" s="715">
        <f>O89</f>
        <v>64.91</v>
      </c>
      <c r="Q89" s="199">
        <v>68.527000000000001</v>
      </c>
      <c r="R89" s="199">
        <v>75.887</v>
      </c>
      <c r="S89" s="199">
        <v>86.715999999999994</v>
      </c>
      <c r="T89" s="199">
        <v>76.534999999999997</v>
      </c>
      <c r="U89" s="715">
        <f>T89</f>
        <v>76.534999999999997</v>
      </c>
      <c r="V89" s="199">
        <v>72.048000000000002</v>
      </c>
      <c r="W89" s="199">
        <v>88.736999999999995</v>
      </c>
      <c r="X89" s="199">
        <v>108.953</v>
      </c>
      <c r="Y89" s="199">
        <v>214.01900000000001</v>
      </c>
      <c r="Z89" s="715">
        <f>Y89</f>
        <v>214.01900000000001</v>
      </c>
      <c r="AA89" s="199">
        <v>190.36</v>
      </c>
      <c r="AB89" s="199">
        <v>165.39500000000001</v>
      </c>
      <c r="AC89" s="199">
        <v>170.589</v>
      </c>
      <c r="AD89" s="199">
        <v>141.12899999999999</v>
      </c>
      <c r="AE89" s="715">
        <f>AD89</f>
        <v>141.12899999999999</v>
      </c>
      <c r="AF89" s="199">
        <v>234.43700000000001</v>
      </c>
      <c r="AG89" s="199">
        <v>282.39699999999999</v>
      </c>
      <c r="AH89" s="199">
        <v>242.309</v>
      </c>
      <c r="AI89" s="199">
        <v>185.34200000000001</v>
      </c>
      <c r="AJ89" s="715">
        <f>AI89</f>
        <v>185.34200000000001</v>
      </c>
      <c r="AK89" s="199">
        <v>214.61799999999999</v>
      </c>
      <c r="AL89" s="199">
        <v>223.20099999999999</v>
      </c>
      <c r="AM89" s="199">
        <v>262.95999999999998</v>
      </c>
      <c r="AN89" s="712">
        <v>238.22300000000001</v>
      </c>
      <c r="AO89" s="715">
        <f>AN89</f>
        <v>238.22300000000001</v>
      </c>
      <c r="AP89" s="712">
        <v>182.14599999999999</v>
      </c>
      <c r="AQ89" s="712">
        <v>221.047</v>
      </c>
      <c r="AR89" s="712">
        <v>179.77699999999999</v>
      </c>
      <c r="AS89" s="712">
        <v>179.39500000000001</v>
      </c>
      <c r="AT89" s="715">
        <f>AS89</f>
        <v>179.39500000000001</v>
      </c>
      <c r="AU89" s="712">
        <v>298.14699999999999</v>
      </c>
      <c r="AV89" s="712">
        <v>230.916</v>
      </c>
      <c r="AW89" s="712">
        <v>324.39600000000002</v>
      </c>
      <c r="AX89" s="712">
        <v>272.07499999999999</v>
      </c>
      <c r="AY89" s="715">
        <f>AX89</f>
        <v>272.07499999999999</v>
      </c>
      <c r="AZ89" s="712">
        <v>334.04599999999999</v>
      </c>
      <c r="BA89" s="712">
        <v>323.38099999999997</v>
      </c>
      <c r="BB89" s="712">
        <v>449.79199999999997</v>
      </c>
      <c r="BC89" s="712">
        <v>492.09899999999999</v>
      </c>
      <c r="BD89" s="715">
        <f>BC89</f>
        <v>492.09899999999999</v>
      </c>
      <c r="BE89" s="712">
        <v>427.85500000000002</v>
      </c>
      <c r="BF89" s="712">
        <v>438.892</v>
      </c>
      <c r="BG89" s="712">
        <v>387.25200000000001</v>
      </c>
      <c r="BH89" s="712">
        <v>218.864</v>
      </c>
      <c r="BI89" s="715">
        <f>BH89</f>
        <v>218.864</v>
      </c>
      <c r="BJ89" s="712">
        <v>226.114</v>
      </c>
      <c r="BK89" s="712">
        <v>275.97800000000001</v>
      </c>
      <c r="BL89" s="712">
        <v>321.52999999999997</v>
      </c>
      <c r="BM89" s="712">
        <v>344.52699999999999</v>
      </c>
      <c r="BN89" s="715">
        <f>BM89</f>
        <v>344.52699999999999</v>
      </c>
      <c r="BO89" s="712">
        <v>362.74</v>
      </c>
      <c r="BP89" s="712">
        <v>280.041</v>
      </c>
      <c r="BQ89" s="712">
        <v>324.77</v>
      </c>
      <c r="BR89" s="712">
        <v>286.13799999999998</v>
      </c>
      <c r="BS89" s="715">
        <f>BR89</f>
        <v>286.13799999999998</v>
      </c>
      <c r="BT89" s="712">
        <v>346.29500000000002</v>
      </c>
      <c r="BU89" s="712">
        <v>297.81299999999999</v>
      </c>
      <c r="BV89" s="712">
        <v>307.94299999999998</v>
      </c>
      <c r="BW89" s="712">
        <v>335.072</v>
      </c>
      <c r="BX89" s="715">
        <f>BW89</f>
        <v>335.072</v>
      </c>
      <c r="BY89" s="712">
        <v>395.57799999999997</v>
      </c>
      <c r="BZ89" s="712">
        <v>417.25</v>
      </c>
      <c r="CA89" s="712">
        <v>390.26499999999999</v>
      </c>
      <c r="CB89" s="712">
        <v>356.428</v>
      </c>
      <c r="CC89" s="715">
        <f>CB89</f>
        <v>356.428</v>
      </c>
      <c r="CD89" s="712">
        <v>328.25900000000001</v>
      </c>
      <c r="CE89" s="712">
        <v>310.27100000000002</v>
      </c>
      <c r="CF89" s="712">
        <v>333.28300000000002</v>
      </c>
      <c r="CG89" s="712">
        <v>324.39100000000002</v>
      </c>
      <c r="CH89" s="715">
        <f>CG89</f>
        <v>324.39100000000002</v>
      </c>
      <c r="CI89" s="712">
        <v>309.00799999999998</v>
      </c>
      <c r="CJ89" s="712">
        <v>261.62700000000001</v>
      </c>
      <c r="CK89" s="712">
        <v>328.09699999999998</v>
      </c>
      <c r="CL89" s="712">
        <v>293.22300000000001</v>
      </c>
      <c r="CM89" s="715">
        <f>CL89</f>
        <v>293.22300000000001</v>
      </c>
      <c r="CN89" s="712">
        <v>222</v>
      </c>
      <c r="CO89" s="712">
        <v>277</v>
      </c>
      <c r="CP89" s="712">
        <v>295</v>
      </c>
      <c r="CQ89" s="712">
        <v>296</v>
      </c>
      <c r="CR89" s="715">
        <f>CQ89</f>
        <v>296</v>
      </c>
      <c r="CS89" s="712">
        <v>320</v>
      </c>
      <c r="CT89" s="712">
        <v>423</v>
      </c>
      <c r="CU89" s="712">
        <v>523</v>
      </c>
      <c r="CV89" s="712">
        <v>485</v>
      </c>
      <c r="CW89" s="715">
        <f>CV89</f>
        <v>485</v>
      </c>
      <c r="CX89" s="712">
        <v>348</v>
      </c>
      <c r="CY89" s="712">
        <v>431</v>
      </c>
      <c r="CZ89" s="712">
        <v>511</v>
      </c>
      <c r="DA89" s="712">
        <v>596</v>
      </c>
      <c r="DB89" s="715">
        <f>DA89</f>
        <v>596</v>
      </c>
      <c r="DC89" s="712">
        <v>623</v>
      </c>
      <c r="DD89" s="712">
        <v>800</v>
      </c>
      <c r="DE89" s="712">
        <v>902</v>
      </c>
      <c r="DF89" s="712">
        <v>511</v>
      </c>
      <c r="DG89" s="715">
        <f>DF89</f>
        <v>511</v>
      </c>
      <c r="DH89" s="712">
        <v>368</v>
      </c>
      <c r="DI89" s="712">
        <v>437</v>
      </c>
      <c r="DJ89" s="712">
        <v>591</v>
      </c>
      <c r="DK89" s="712">
        <v>687</v>
      </c>
      <c r="DL89" s="715">
        <f>DK89</f>
        <v>687</v>
      </c>
      <c r="DM89" s="712">
        <v>761</v>
      </c>
      <c r="DN89" s="712">
        <v>893</v>
      </c>
      <c r="DO89" s="712">
        <v>1097</v>
      </c>
      <c r="DP89" s="712">
        <v>1201</v>
      </c>
      <c r="DQ89" s="715">
        <f>DP89</f>
        <v>1201</v>
      </c>
      <c r="DR89" s="712">
        <v>1218</v>
      </c>
      <c r="DS89" s="712">
        <v>1474</v>
      </c>
      <c r="DT89" s="712">
        <v>1664</v>
      </c>
      <c r="DU89" s="712">
        <v>1783</v>
      </c>
      <c r="DV89" s="715">
        <f>DU89</f>
        <v>1783</v>
      </c>
      <c r="DW89" s="712">
        <v>1999</v>
      </c>
      <c r="DX89" s="712">
        <v>2421</v>
      </c>
      <c r="DY89" s="712">
        <v>1491</v>
      </c>
      <c r="DZ89" s="712">
        <v>1193</v>
      </c>
      <c r="EA89" s="715">
        <f>DZ89</f>
        <v>1193</v>
      </c>
      <c r="EB89" s="712">
        <v>1141</v>
      </c>
      <c r="EC89" s="712">
        <v>1929</v>
      </c>
      <c r="ED89" s="712">
        <v>2380</v>
      </c>
      <c r="EE89" s="712">
        <v>2699</v>
      </c>
      <c r="EF89" s="715">
        <f>EE89</f>
        <v>2699</v>
      </c>
      <c r="EG89" s="712">
        <v>2715</v>
      </c>
      <c r="EH89" s="712">
        <v>3680</v>
      </c>
      <c r="EI89" s="712">
        <v>5353</v>
      </c>
      <c r="EJ89" s="712">
        <v>6310</v>
      </c>
      <c r="EK89" s="715">
        <f>EJ89</f>
        <v>6310</v>
      </c>
      <c r="EL89" s="712">
        <v>7331</v>
      </c>
      <c r="EM89" s="712">
        <v>9064</v>
      </c>
      <c r="EN89" s="712">
        <v>8624</v>
      </c>
      <c r="EO89" s="712">
        <v>9812</v>
      </c>
      <c r="EP89" s="715">
        <f>EO89</f>
        <v>9812</v>
      </c>
      <c r="EQ89" s="712">
        <v>13097</v>
      </c>
      <c r="ER89" s="712">
        <f>EQ89+EQ89*((ER10/EQ10-1)*0.5)</f>
        <v>14076.392412001236</v>
      </c>
      <c r="ES89" s="712">
        <f>ER89+ER89*((ES10/ER10-1)*0.5)</f>
        <v>15487.382483696865</v>
      </c>
      <c r="ET89" s="712">
        <f>ES89+ES89*((ET10/ES10-1)*0.5)</f>
        <v>16537.56126872425</v>
      </c>
      <c r="EU89" s="715">
        <f>ET89</f>
        <v>16537.56126872425</v>
      </c>
      <c r="EV89" s="712">
        <f>ET89+ET89*((EV10/ET10-1)*0.5)</f>
        <v>17283.936627553012</v>
      </c>
      <c r="EW89" s="712">
        <f>EV89+EV89*((EW10/EV10-1)*0.5)</f>
        <v>18141.364193693989</v>
      </c>
      <c r="EX89" s="712">
        <f>EW89+EW89*((EX10/EW10-1)*0.5)</f>
        <v>19225.888692991659</v>
      </c>
      <c r="EY89" s="712">
        <f>EX89+EX89*((EY10/EX10-1)*0.5)</f>
        <v>19869.972548716669</v>
      </c>
      <c r="EZ89" s="715">
        <f>EY89</f>
        <v>19869.972548716669</v>
      </c>
      <c r="FA89" s="712">
        <f>EY89+EY89*((FA10/EY10-1)*0.5)</f>
        <v>20111.650621237244</v>
      </c>
      <c r="FB89" s="712">
        <f>FA89+FA89*((FB10/FA10-1)*0.5)</f>
        <v>20432.248637742803</v>
      </c>
      <c r="FC89" s="712">
        <f>FB89+FB89*((FC10/FB10-1)*0.5)</f>
        <v>21163.277896102813</v>
      </c>
      <c r="FD89" s="712">
        <f>FC89+FC89*((FD10/FC10-1)*0.5)</f>
        <v>21699.556671545059</v>
      </c>
      <c r="FE89" s="715">
        <f>FD89</f>
        <v>21699.556671545059</v>
      </c>
      <c r="FF89" s="712">
        <f>FD89+FD89*((FF10/FD10-1)*0.5)</f>
        <v>21761.74620690709</v>
      </c>
      <c r="FG89" s="712">
        <f>FF89+FF89*((FG10/FF10-1)*0.5)</f>
        <v>21897.007351908411</v>
      </c>
      <c r="FH89" s="712">
        <f>FG89+FG89*((FH10/FG10-1)*0.5)</f>
        <v>22257.939689553172</v>
      </c>
      <c r="FI89" s="712">
        <f>FH89+FH89*((FI10/FH10-1)*0.5)</f>
        <v>22503.238552156123</v>
      </c>
      <c r="FJ89" s="715">
        <f>FI89</f>
        <v>22503.238552156123</v>
      </c>
      <c r="FK89" s="712">
        <f>FI89+FI89*((FK10/FI10-1)*0.5)</f>
        <v>22675.275571924758</v>
      </c>
      <c r="FL89" s="712">
        <f>FK89+FK89*((FL10/FK10-1)*0.5)</f>
        <v>23033.592135836203</v>
      </c>
      <c r="FM89" s="712">
        <f>FL89+FL89*((FM10/FL10-1)*0.5)</f>
        <v>23742.448583045571</v>
      </c>
      <c r="FN89" s="712">
        <f>FM89+FM89*((FN10/FM10-1)*0.5)</f>
        <v>24230.028963974604</v>
      </c>
      <c r="FO89" s="715">
        <f>FN89</f>
        <v>24230.028963974604</v>
      </c>
      <c r="FP89" s="715"/>
    </row>
    <row r="90" spans="1:173">
      <c r="A90" s="729"/>
      <c r="B90" s="730"/>
      <c r="C90" s="730"/>
      <c r="D90" s="730"/>
      <c r="E90" s="730"/>
      <c r="F90" s="730"/>
      <c r="G90" s="730"/>
      <c r="H90" s="730"/>
      <c r="I90" s="730"/>
      <c r="J90" s="730"/>
      <c r="K90" s="731"/>
      <c r="L90" s="201"/>
      <c r="M90" s="201"/>
      <c r="N90" s="201"/>
      <c r="O90" s="201"/>
      <c r="P90" s="200"/>
      <c r="Q90" s="201"/>
      <c r="R90" s="201"/>
      <c r="S90" s="201"/>
      <c r="T90" s="201"/>
      <c r="U90" s="200"/>
      <c r="V90" s="201"/>
      <c r="W90" s="201"/>
      <c r="X90" s="201"/>
      <c r="Y90" s="201"/>
      <c r="Z90" s="200"/>
      <c r="AA90" s="201"/>
      <c r="AB90" s="201"/>
      <c r="AC90" s="201"/>
      <c r="AD90" s="201"/>
      <c r="AE90" s="200"/>
      <c r="AF90" s="201"/>
      <c r="AG90" s="201"/>
      <c r="AH90" s="201"/>
      <c r="AI90" s="201"/>
      <c r="AJ90" s="200"/>
      <c r="AK90" s="201"/>
      <c r="AL90" s="201"/>
      <c r="AM90" s="201"/>
      <c r="AN90" s="201"/>
      <c r="AO90" s="200"/>
      <c r="AP90" s="201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1"/>
      <c r="BZ90" s="200"/>
      <c r="CA90" s="200"/>
      <c r="CB90" s="200"/>
      <c r="CC90" s="200"/>
      <c r="CD90" s="201"/>
      <c r="CE90" s="201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2"/>
      <c r="DH90" s="200"/>
      <c r="DI90" s="200"/>
      <c r="DJ90" s="200"/>
      <c r="DK90" s="200"/>
      <c r="DL90" s="202"/>
      <c r="DM90" s="200"/>
      <c r="DN90" s="200"/>
      <c r="DO90" s="200"/>
      <c r="DP90" s="200"/>
      <c r="DQ90" s="202"/>
      <c r="DR90" s="200"/>
      <c r="DS90" s="200"/>
      <c r="DT90" s="200"/>
      <c r="DU90" s="200"/>
      <c r="DV90" s="718"/>
      <c r="DW90" s="200"/>
      <c r="DX90" s="200"/>
      <c r="DY90" s="200"/>
      <c r="DZ90" s="200"/>
      <c r="EA90" s="718"/>
      <c r="EB90" s="200"/>
      <c r="EC90" s="200"/>
      <c r="ED90" s="200"/>
      <c r="EE90" s="200"/>
      <c r="EF90" s="718"/>
      <c r="EG90" s="200"/>
      <c r="EH90" s="200"/>
      <c r="EI90" s="200"/>
      <c r="EJ90" s="200"/>
      <c r="EK90" s="718"/>
      <c r="EL90" s="200"/>
      <c r="EM90" s="200"/>
      <c r="EN90" s="200"/>
      <c r="EO90" s="200"/>
      <c r="EP90" s="718"/>
      <c r="EQ90" s="200"/>
      <c r="ER90" s="200"/>
      <c r="ES90" s="200"/>
      <c r="ET90" s="200"/>
      <c r="EU90" s="718"/>
      <c r="EV90" s="200"/>
      <c r="EW90" s="200"/>
      <c r="EX90" s="200"/>
      <c r="EY90" s="200"/>
      <c r="EZ90" s="718"/>
      <c r="FA90" s="200"/>
      <c r="FB90" s="200"/>
      <c r="FC90" s="200"/>
      <c r="FD90" s="200"/>
      <c r="FE90" s="718"/>
      <c r="FF90" s="200"/>
      <c r="FG90" s="200"/>
      <c r="FH90" s="200"/>
      <c r="FI90" s="200"/>
      <c r="FJ90" s="718"/>
      <c r="FK90" s="200"/>
      <c r="FL90" s="200"/>
      <c r="FM90" s="200"/>
      <c r="FN90" s="200"/>
      <c r="FO90" s="718"/>
      <c r="FP90" s="718"/>
    </row>
    <row r="91" spans="1:173">
      <c r="A91" s="171" t="s">
        <v>444</v>
      </c>
      <c r="B91" s="665"/>
      <c r="C91" s="665"/>
      <c r="D91" s="665"/>
      <c r="E91" s="665"/>
      <c r="F91" s="665"/>
      <c r="G91" s="665"/>
      <c r="H91" s="665"/>
      <c r="I91" s="665"/>
      <c r="J91" s="665"/>
      <c r="K91" s="714"/>
      <c r="L91" s="199">
        <v>0</v>
      </c>
      <c r="M91" s="199">
        <v>0</v>
      </c>
      <c r="N91" s="199">
        <v>0</v>
      </c>
      <c r="O91" s="199">
        <v>0</v>
      </c>
      <c r="P91" s="715">
        <f>O91</f>
        <v>0</v>
      </c>
      <c r="Q91" s="199">
        <v>0</v>
      </c>
      <c r="R91" s="199">
        <v>0</v>
      </c>
      <c r="S91" s="199">
        <v>0</v>
      </c>
      <c r="T91" s="199">
        <v>0</v>
      </c>
      <c r="U91" s="715">
        <f>T91</f>
        <v>0</v>
      </c>
      <c r="V91" s="199">
        <v>0</v>
      </c>
      <c r="W91" s="199">
        <v>0</v>
      </c>
      <c r="X91" s="199">
        <v>0</v>
      </c>
      <c r="Y91" s="199">
        <v>0</v>
      </c>
      <c r="Z91" s="715">
        <f>Y91</f>
        <v>0</v>
      </c>
      <c r="AA91" s="199">
        <v>0</v>
      </c>
      <c r="AB91" s="199">
        <v>0</v>
      </c>
      <c r="AC91" s="199">
        <v>0</v>
      </c>
      <c r="AD91" s="199">
        <v>0</v>
      </c>
      <c r="AE91" s="715">
        <f>AD91</f>
        <v>0</v>
      </c>
      <c r="AF91" s="199">
        <v>0</v>
      </c>
      <c r="AG91" s="199">
        <v>4.117</v>
      </c>
      <c r="AH91" s="199">
        <v>0</v>
      </c>
      <c r="AI91" s="199">
        <v>0</v>
      </c>
      <c r="AJ91" s="715">
        <f>AI91</f>
        <v>0</v>
      </c>
      <c r="AK91" s="199">
        <v>0</v>
      </c>
      <c r="AL91" s="199">
        <v>0</v>
      </c>
      <c r="AM91" s="199">
        <v>0</v>
      </c>
      <c r="AN91" s="199">
        <v>0</v>
      </c>
      <c r="AO91" s="715">
        <f>AN91</f>
        <v>0</v>
      </c>
      <c r="AP91" s="199">
        <f>AN91</f>
        <v>0</v>
      </c>
      <c r="AQ91" s="712">
        <v>0</v>
      </c>
      <c r="AR91" s="712">
        <v>0</v>
      </c>
      <c r="AS91" s="712">
        <v>0</v>
      </c>
      <c r="AT91" s="715">
        <f>AS91</f>
        <v>0</v>
      </c>
      <c r="AU91" s="712">
        <v>0</v>
      </c>
      <c r="AV91" s="712">
        <v>0</v>
      </c>
      <c r="AW91" s="712">
        <v>0</v>
      </c>
      <c r="AX91" s="712">
        <f>AW91</f>
        <v>0</v>
      </c>
      <c r="AY91" s="715">
        <f>AX91</f>
        <v>0</v>
      </c>
      <c r="AZ91" s="712">
        <f>AX91</f>
        <v>0</v>
      </c>
      <c r="BA91" s="712">
        <f>AZ91</f>
        <v>0</v>
      </c>
      <c r="BB91" s="712">
        <v>0</v>
      </c>
      <c r="BC91" s="712">
        <v>0</v>
      </c>
      <c r="BD91" s="715">
        <f>BC91</f>
        <v>0</v>
      </c>
      <c r="BE91" s="712">
        <v>0</v>
      </c>
      <c r="BF91" s="712">
        <f>BE91</f>
        <v>0</v>
      </c>
      <c r="BG91" s="712">
        <v>0</v>
      </c>
      <c r="BH91" s="712">
        <v>0</v>
      </c>
      <c r="BI91" s="715">
        <f>BH91</f>
        <v>0</v>
      </c>
      <c r="BJ91" s="712">
        <v>0</v>
      </c>
      <c r="BK91" s="712">
        <f>BJ91</f>
        <v>0</v>
      </c>
      <c r="BL91" s="712">
        <v>0</v>
      </c>
      <c r="BM91" s="712">
        <v>0</v>
      </c>
      <c r="BN91" s="715">
        <f>BM91</f>
        <v>0</v>
      </c>
      <c r="BO91" s="712">
        <v>0</v>
      </c>
      <c r="BP91" s="712">
        <f>BO91</f>
        <v>0</v>
      </c>
      <c r="BQ91" s="712">
        <v>0</v>
      </c>
      <c r="BR91" s="712">
        <v>0</v>
      </c>
      <c r="BS91" s="715">
        <f>BR91</f>
        <v>0</v>
      </c>
      <c r="BT91" s="712">
        <v>0</v>
      </c>
      <c r="BU91" s="712">
        <f>BT91</f>
        <v>0</v>
      </c>
      <c r="BV91" s="712">
        <v>0</v>
      </c>
      <c r="BW91" s="712">
        <v>0</v>
      </c>
      <c r="BX91" s="715">
        <f>BW91</f>
        <v>0</v>
      </c>
      <c r="BY91" s="712">
        <f>BW91</f>
        <v>0</v>
      </c>
      <c r="BZ91" s="712">
        <f>BY91</f>
        <v>0</v>
      </c>
      <c r="CA91" s="712">
        <v>0</v>
      </c>
      <c r="CB91" s="712">
        <v>0</v>
      </c>
      <c r="CC91" s="715">
        <f>CB91</f>
        <v>0</v>
      </c>
      <c r="CD91" s="712">
        <f>CB91</f>
        <v>0</v>
      </c>
      <c r="CE91" s="712">
        <f>CD91</f>
        <v>0</v>
      </c>
      <c r="CF91" s="712">
        <v>0</v>
      </c>
      <c r="CG91" s="712">
        <v>0</v>
      </c>
      <c r="CH91" s="715">
        <f>CG91</f>
        <v>0</v>
      </c>
      <c r="CI91" s="712">
        <v>0</v>
      </c>
      <c r="CJ91" s="712">
        <v>0</v>
      </c>
      <c r="CK91" s="712">
        <f t="shared" ref="CK91:CP91" si="81">CJ91</f>
        <v>0</v>
      </c>
      <c r="CL91" s="712">
        <f t="shared" si="81"/>
        <v>0</v>
      </c>
      <c r="CM91" s="715">
        <f>CL91</f>
        <v>0</v>
      </c>
      <c r="CN91" s="712">
        <f>CL91</f>
        <v>0</v>
      </c>
      <c r="CO91" s="712">
        <f t="shared" si="81"/>
        <v>0</v>
      </c>
      <c r="CP91" s="712">
        <f t="shared" si="81"/>
        <v>0</v>
      </c>
      <c r="CQ91" s="712">
        <f>CP91</f>
        <v>0</v>
      </c>
      <c r="CR91" s="715">
        <f>CQ91</f>
        <v>0</v>
      </c>
      <c r="CS91" s="712">
        <f>CQ91</f>
        <v>0</v>
      </c>
      <c r="CT91" s="712">
        <f t="shared" ref="CT91:CW92" si="82">CS91</f>
        <v>0</v>
      </c>
      <c r="CU91" s="712">
        <f t="shared" si="82"/>
        <v>0</v>
      </c>
      <c r="CV91" s="712">
        <v>0</v>
      </c>
      <c r="CW91" s="715">
        <f t="shared" si="82"/>
        <v>0</v>
      </c>
      <c r="CX91" s="712">
        <v>0</v>
      </c>
      <c r="CY91" s="712">
        <v>0</v>
      </c>
      <c r="CZ91" s="712">
        <v>0</v>
      </c>
      <c r="DA91" s="712">
        <v>0</v>
      </c>
      <c r="DB91" s="715">
        <f>DA91</f>
        <v>0</v>
      </c>
      <c r="DC91" s="712">
        <v>0</v>
      </c>
      <c r="DD91" s="712">
        <v>0</v>
      </c>
      <c r="DE91" s="712">
        <v>3</v>
      </c>
      <c r="DF91" s="712">
        <v>0</v>
      </c>
      <c r="DG91" s="715">
        <f>DF91</f>
        <v>0</v>
      </c>
      <c r="DH91" s="712">
        <f>DF91</f>
        <v>0</v>
      </c>
      <c r="DI91" s="712">
        <v>0</v>
      </c>
      <c r="DJ91" s="712">
        <f t="shared" ref="DJ91:DL92" si="83">DI91</f>
        <v>0</v>
      </c>
      <c r="DK91" s="712">
        <f t="shared" si="83"/>
        <v>0</v>
      </c>
      <c r="DL91" s="715">
        <f t="shared" si="83"/>
        <v>0</v>
      </c>
      <c r="DM91" s="712">
        <f>DK91</f>
        <v>0</v>
      </c>
      <c r="DN91" s="712">
        <f>DM91</f>
        <v>0</v>
      </c>
      <c r="DO91" s="712">
        <v>998</v>
      </c>
      <c r="DP91" s="712">
        <v>999</v>
      </c>
      <c r="DQ91" s="715">
        <f>DP91</f>
        <v>999</v>
      </c>
      <c r="DR91" s="712">
        <v>999</v>
      </c>
      <c r="DS91" s="712">
        <v>1000</v>
      </c>
      <c r="DT91" s="712">
        <v>0</v>
      </c>
      <c r="DU91" s="712">
        <v>0</v>
      </c>
      <c r="DV91" s="715">
        <f>DU91</f>
        <v>0</v>
      </c>
      <c r="DW91" s="712">
        <v>0</v>
      </c>
      <c r="DX91" s="712">
        <v>1249</v>
      </c>
      <c r="DY91" s="712">
        <v>1249</v>
      </c>
      <c r="DZ91" s="712">
        <v>1250</v>
      </c>
      <c r="EA91" s="715">
        <f>DZ91</f>
        <v>1250</v>
      </c>
      <c r="EB91" s="712">
        <v>1250</v>
      </c>
      <c r="EC91" s="712">
        <v>1249</v>
      </c>
      <c r="ED91" s="712">
        <v>1249</v>
      </c>
      <c r="EE91" s="712">
        <v>1250</v>
      </c>
      <c r="EF91" s="715">
        <f>EE91</f>
        <v>1250</v>
      </c>
      <c r="EG91" s="712">
        <v>1250</v>
      </c>
      <c r="EH91" s="712">
        <v>0</v>
      </c>
      <c r="EI91" s="712">
        <v>0</v>
      </c>
      <c r="EJ91" s="712">
        <v>0</v>
      </c>
      <c r="EK91" s="715">
        <f>EJ91</f>
        <v>0</v>
      </c>
      <c r="EL91" s="712">
        <v>0</v>
      </c>
      <c r="EM91" s="712">
        <v>0</v>
      </c>
      <c r="EN91" s="712">
        <v>999</v>
      </c>
      <c r="EO91" s="712">
        <v>999</v>
      </c>
      <c r="EP91" s="715">
        <f>EO91</f>
        <v>999</v>
      </c>
      <c r="EQ91" s="712">
        <v>1000</v>
      </c>
      <c r="ER91" s="712">
        <f t="shared" ref="ER91:EU92" si="84">EQ91</f>
        <v>1000</v>
      </c>
      <c r="ES91" s="712">
        <f t="shared" si="84"/>
        <v>1000</v>
      </c>
      <c r="ET91" s="712">
        <f t="shared" si="84"/>
        <v>1000</v>
      </c>
      <c r="EU91" s="715">
        <f t="shared" si="84"/>
        <v>1000</v>
      </c>
      <c r="EV91" s="712">
        <f>ET91</f>
        <v>1000</v>
      </c>
      <c r="EW91" s="712">
        <f t="shared" ref="EW91:EZ92" si="85">EV91</f>
        <v>1000</v>
      </c>
      <c r="EX91" s="712">
        <f t="shared" si="85"/>
        <v>1000</v>
      </c>
      <c r="EY91" s="712">
        <f t="shared" si="85"/>
        <v>1000</v>
      </c>
      <c r="EZ91" s="715">
        <f t="shared" si="85"/>
        <v>1000</v>
      </c>
      <c r="FA91" s="712">
        <f>EY91</f>
        <v>1000</v>
      </c>
      <c r="FB91" s="712">
        <f t="shared" ref="FB91:FE92" si="86">FA91</f>
        <v>1000</v>
      </c>
      <c r="FC91" s="712">
        <f t="shared" si="86"/>
        <v>1000</v>
      </c>
      <c r="FD91" s="712">
        <f t="shared" si="86"/>
        <v>1000</v>
      </c>
      <c r="FE91" s="715">
        <f t="shared" si="86"/>
        <v>1000</v>
      </c>
      <c r="FF91" s="712">
        <f>FD91</f>
        <v>1000</v>
      </c>
      <c r="FG91" s="712">
        <f t="shared" ref="FG91:FJ92" si="87">FF91</f>
        <v>1000</v>
      </c>
      <c r="FH91" s="712">
        <f t="shared" si="87"/>
        <v>1000</v>
      </c>
      <c r="FI91" s="712">
        <f t="shared" si="87"/>
        <v>1000</v>
      </c>
      <c r="FJ91" s="715">
        <f t="shared" si="87"/>
        <v>1000</v>
      </c>
      <c r="FK91" s="712">
        <f>FI91</f>
        <v>1000</v>
      </c>
      <c r="FL91" s="712">
        <f t="shared" ref="FL91:FO92" si="88">FK91</f>
        <v>1000</v>
      </c>
      <c r="FM91" s="712">
        <f t="shared" si="88"/>
        <v>1000</v>
      </c>
      <c r="FN91" s="712">
        <f t="shared" si="88"/>
        <v>1000</v>
      </c>
      <c r="FO91" s="715">
        <f t="shared" si="88"/>
        <v>1000</v>
      </c>
      <c r="FP91" s="715"/>
    </row>
    <row r="92" spans="1:173">
      <c r="A92" s="171" t="s">
        <v>445</v>
      </c>
      <c r="B92" s="665"/>
      <c r="C92" s="665"/>
      <c r="D92" s="665"/>
      <c r="E92" s="665"/>
      <c r="F92" s="665"/>
      <c r="G92" s="665"/>
      <c r="H92" s="665"/>
      <c r="I92" s="665"/>
      <c r="J92" s="665"/>
      <c r="K92" s="714"/>
      <c r="L92" s="199">
        <v>9.2889999999999997</v>
      </c>
      <c r="M92" s="199">
        <v>8.452</v>
      </c>
      <c r="N92" s="199">
        <v>7.1909999999999998</v>
      </c>
      <c r="O92" s="199">
        <v>9.5289999999999999</v>
      </c>
      <c r="P92" s="715">
        <f>O92</f>
        <v>9.5289999999999999</v>
      </c>
      <c r="Q92" s="199">
        <v>14.321</v>
      </c>
      <c r="R92" s="199">
        <v>23.43</v>
      </c>
      <c r="S92" s="199">
        <v>33.828000000000003</v>
      </c>
      <c r="T92" s="199">
        <v>33.212000000000003</v>
      </c>
      <c r="U92" s="715">
        <f>T92</f>
        <v>33.212000000000003</v>
      </c>
      <c r="V92" s="199">
        <v>45.704000000000001</v>
      </c>
      <c r="W92" s="199">
        <v>69.394999999999996</v>
      </c>
      <c r="X92" s="199">
        <v>73.625</v>
      </c>
      <c r="Y92" s="199">
        <v>145.386</v>
      </c>
      <c r="Z92" s="715">
        <f>Y92</f>
        <v>145.386</v>
      </c>
      <c r="AA92" s="199">
        <v>182.45599999999999</v>
      </c>
      <c r="AB92" s="199">
        <v>190.274</v>
      </c>
      <c r="AC92" s="199">
        <f>203.832+0.584</f>
        <v>204.416</v>
      </c>
      <c r="AD92" s="199">
        <f>228.467+4.176</f>
        <v>232.643</v>
      </c>
      <c r="AE92" s="715">
        <f>AD92</f>
        <v>232.643</v>
      </c>
      <c r="AF92" s="199">
        <f>175.344+0.525</f>
        <v>175.869</v>
      </c>
      <c r="AG92" s="199">
        <v>183.196</v>
      </c>
      <c r="AH92" s="199">
        <v>187.405</v>
      </c>
      <c r="AI92" s="199">
        <v>144.755</v>
      </c>
      <c r="AJ92" s="715">
        <f>AI92</f>
        <v>144.755</v>
      </c>
      <c r="AK92" s="199">
        <v>140.88999999999999</v>
      </c>
      <c r="AL92" s="199">
        <v>148.797</v>
      </c>
      <c r="AM92" s="199">
        <v>150.833</v>
      </c>
      <c r="AN92" s="199">
        <v>182.077</v>
      </c>
      <c r="AO92" s="715">
        <f>AN92</f>
        <v>182.077</v>
      </c>
      <c r="AP92" s="199">
        <v>193.029</v>
      </c>
      <c r="AQ92" s="712">
        <v>204.45099999999999</v>
      </c>
      <c r="AR92" s="712">
        <v>247.39</v>
      </c>
      <c r="AS92" s="712">
        <v>259.26400000000001</v>
      </c>
      <c r="AT92" s="715">
        <f>AS92</f>
        <v>259.26400000000001</v>
      </c>
      <c r="AU92" s="712">
        <v>236.37899999999999</v>
      </c>
      <c r="AV92" s="712">
        <v>274.12799999999999</v>
      </c>
      <c r="AW92" s="712">
        <v>333.03300000000002</v>
      </c>
      <c r="AX92" s="712">
        <v>366.73200000000003</v>
      </c>
      <c r="AY92" s="715">
        <f>AX92</f>
        <v>366.73200000000003</v>
      </c>
      <c r="AZ92" s="712">
        <v>289.82100000000003</v>
      </c>
      <c r="BA92" s="712">
        <v>357.41699999999997</v>
      </c>
      <c r="BB92" s="712">
        <v>406.65</v>
      </c>
      <c r="BC92" s="712">
        <v>475.06200000000001</v>
      </c>
      <c r="BD92" s="715">
        <f>BC92</f>
        <v>475.06200000000001</v>
      </c>
      <c r="BE92" s="712">
        <v>448.697</v>
      </c>
      <c r="BF92" s="712">
        <v>696.12400000000002</v>
      </c>
      <c r="BG92" s="712">
        <v>617.21299999999997</v>
      </c>
      <c r="BH92" s="712">
        <v>559.72699999999998</v>
      </c>
      <c r="BI92" s="715">
        <f>BH92</f>
        <v>559.72699999999998</v>
      </c>
      <c r="BJ92" s="712">
        <v>476.05799999999999</v>
      </c>
      <c r="BK92" s="712">
        <v>615.34299999999996</v>
      </c>
      <c r="BL92" s="712">
        <v>567.27599999999995</v>
      </c>
      <c r="BM92" s="712">
        <v>439.851</v>
      </c>
      <c r="BN92" s="715">
        <f>BM92</f>
        <v>439.851</v>
      </c>
      <c r="BO92" s="712">
        <v>402.553</v>
      </c>
      <c r="BP92" s="712">
        <v>539.09799999999996</v>
      </c>
      <c r="BQ92" s="712">
        <v>491.71899999999999</v>
      </c>
      <c r="BR92" s="712">
        <v>656.54399999999998</v>
      </c>
      <c r="BS92" s="715">
        <f>BR92</f>
        <v>656.54399999999998</v>
      </c>
      <c r="BT92" s="712">
        <v>634.87099999999998</v>
      </c>
      <c r="BU92" s="712">
        <v>662.48599999999999</v>
      </c>
      <c r="BV92" s="712">
        <v>578.74099999999999</v>
      </c>
      <c r="BW92" s="712">
        <v>594.88599999999997</v>
      </c>
      <c r="BX92" s="715">
        <f>BW92</f>
        <v>594.88599999999997</v>
      </c>
      <c r="BY92" s="712">
        <v>551.82600000000002</v>
      </c>
      <c r="BZ92" s="712">
        <v>604.71</v>
      </c>
      <c r="CA92" s="712">
        <v>601.09400000000005</v>
      </c>
      <c r="CB92" s="712">
        <v>619.79499999999996</v>
      </c>
      <c r="CC92" s="715">
        <f>CB92</f>
        <v>619.79499999999996</v>
      </c>
      <c r="CD92" s="712">
        <v>597.31799999999998</v>
      </c>
      <c r="CE92" s="712">
        <v>625.52</v>
      </c>
      <c r="CF92" s="712">
        <v>652.64400000000001</v>
      </c>
      <c r="CG92" s="712">
        <v>621.10500000000002</v>
      </c>
      <c r="CH92" s="715">
        <f>CG92</f>
        <v>621.10500000000002</v>
      </c>
      <c r="CI92" s="712">
        <v>588.93700000000001</v>
      </c>
      <c r="CJ92" s="712">
        <v>607.10199999999998</v>
      </c>
      <c r="CK92" s="712">
        <v>605.80999999999995</v>
      </c>
      <c r="CL92" s="712">
        <v>602.80700000000002</v>
      </c>
      <c r="CM92" s="715">
        <f>CL92</f>
        <v>602.80700000000002</v>
      </c>
      <c r="CN92" s="712">
        <v>661</v>
      </c>
      <c r="CO92" s="712">
        <v>659</v>
      </c>
      <c r="CP92" s="712">
        <v>560</v>
      </c>
      <c r="CQ92" s="712">
        <v>642</v>
      </c>
      <c r="CR92" s="715">
        <f>CQ92</f>
        <v>642</v>
      </c>
      <c r="CS92" s="712">
        <v>636</v>
      </c>
      <c r="CT92" s="712">
        <v>556</v>
      </c>
      <c r="CU92" s="712">
        <v>507</v>
      </c>
      <c r="CV92" s="712">
        <v>507</v>
      </c>
      <c r="CW92" s="715">
        <f t="shared" si="82"/>
        <v>507</v>
      </c>
      <c r="CX92" s="712">
        <f>420</f>
        <v>420</v>
      </c>
      <c r="CY92" s="712">
        <v>517</v>
      </c>
      <c r="CZ92" s="712">
        <v>493</v>
      </c>
      <c r="DA92" s="712">
        <f>542+15</f>
        <v>557</v>
      </c>
      <c r="DB92" s="715">
        <f>DA92</f>
        <v>557</v>
      </c>
      <c r="DC92" s="712">
        <f>469+14</f>
        <v>483</v>
      </c>
      <c r="DD92" s="712">
        <f>648+14</f>
        <v>662</v>
      </c>
      <c r="DE92" s="712">
        <v>703</v>
      </c>
      <c r="DF92" s="712">
        <v>818</v>
      </c>
      <c r="DG92" s="715">
        <f>DF92</f>
        <v>818</v>
      </c>
      <c r="DH92" s="712">
        <v>815</v>
      </c>
      <c r="DI92" s="712">
        <v>880</v>
      </c>
      <c r="DJ92" s="712">
        <v>884</v>
      </c>
      <c r="DK92" s="712">
        <v>1097</v>
      </c>
      <c r="DL92" s="715">
        <f t="shared" si="83"/>
        <v>1097</v>
      </c>
      <c r="DM92" s="712">
        <v>1142</v>
      </c>
      <c r="DN92" s="712">
        <v>1517</v>
      </c>
      <c r="DO92" s="712">
        <v>1574</v>
      </c>
      <c r="DP92" s="712">
        <v>1725</v>
      </c>
      <c r="DQ92" s="715">
        <f>DP92</f>
        <v>1725</v>
      </c>
      <c r="DR92" s="712">
        <v>1787</v>
      </c>
      <c r="DS92" s="712">
        <v>1974</v>
      </c>
      <c r="DT92" s="712">
        <v>1948</v>
      </c>
      <c r="DU92" s="712">
        <v>2552</v>
      </c>
      <c r="DV92" s="715">
        <f>DU92</f>
        <v>2552</v>
      </c>
      <c r="DW92" s="712">
        <v>3563</v>
      </c>
      <c r="DX92" s="712">
        <v>3903</v>
      </c>
      <c r="DY92" s="712">
        <v>4115</v>
      </c>
      <c r="DZ92" s="712">
        <v>4120</v>
      </c>
      <c r="EA92" s="715">
        <f>DZ92</f>
        <v>4120</v>
      </c>
      <c r="EB92" s="712">
        <v>4869</v>
      </c>
      <c r="EC92" s="712">
        <v>7156</v>
      </c>
      <c r="ED92" s="712">
        <v>5472</v>
      </c>
      <c r="EE92" s="712">
        <v>6682</v>
      </c>
      <c r="EF92" s="715">
        <f>EE92</f>
        <v>6682</v>
      </c>
      <c r="EG92" s="712">
        <v>11258</v>
      </c>
      <c r="EH92" s="712">
        <v>10289</v>
      </c>
      <c r="EI92" s="712">
        <v>11126</v>
      </c>
      <c r="EJ92" s="712">
        <v>11737</v>
      </c>
      <c r="EK92" s="715">
        <f>EJ92</f>
        <v>11737</v>
      </c>
      <c r="EL92" s="712">
        <v>19211</v>
      </c>
      <c r="EM92" s="712">
        <v>15193</v>
      </c>
      <c r="EN92" s="712">
        <v>16452</v>
      </c>
      <c r="EO92" s="712">
        <v>21352</v>
      </c>
      <c r="EP92" s="715">
        <f>EO92</f>
        <v>21352</v>
      </c>
      <c r="EQ92" s="712">
        <v>29787</v>
      </c>
      <c r="ER92" s="712">
        <f t="shared" si="84"/>
        <v>29787</v>
      </c>
      <c r="ES92" s="712">
        <f t="shared" si="84"/>
        <v>29787</v>
      </c>
      <c r="ET92" s="712">
        <f t="shared" si="84"/>
        <v>29787</v>
      </c>
      <c r="EU92" s="715">
        <f t="shared" si="84"/>
        <v>29787</v>
      </c>
      <c r="EV92" s="712">
        <f>ET92</f>
        <v>29787</v>
      </c>
      <c r="EW92" s="712">
        <f t="shared" si="85"/>
        <v>29787</v>
      </c>
      <c r="EX92" s="712">
        <f t="shared" si="85"/>
        <v>29787</v>
      </c>
      <c r="EY92" s="712">
        <f t="shared" si="85"/>
        <v>29787</v>
      </c>
      <c r="EZ92" s="715">
        <f t="shared" si="85"/>
        <v>29787</v>
      </c>
      <c r="FA92" s="712">
        <f>EY92</f>
        <v>29787</v>
      </c>
      <c r="FB92" s="712">
        <f t="shared" si="86"/>
        <v>29787</v>
      </c>
      <c r="FC92" s="712">
        <f t="shared" si="86"/>
        <v>29787</v>
      </c>
      <c r="FD92" s="712">
        <f t="shared" si="86"/>
        <v>29787</v>
      </c>
      <c r="FE92" s="715">
        <f t="shared" si="86"/>
        <v>29787</v>
      </c>
      <c r="FF92" s="712">
        <f>FD92</f>
        <v>29787</v>
      </c>
      <c r="FG92" s="712">
        <f t="shared" si="87"/>
        <v>29787</v>
      </c>
      <c r="FH92" s="712">
        <f t="shared" si="87"/>
        <v>29787</v>
      </c>
      <c r="FI92" s="712">
        <f t="shared" si="87"/>
        <v>29787</v>
      </c>
      <c r="FJ92" s="715">
        <f t="shared" si="87"/>
        <v>29787</v>
      </c>
      <c r="FK92" s="712">
        <f>FI92</f>
        <v>29787</v>
      </c>
      <c r="FL92" s="712">
        <f t="shared" si="88"/>
        <v>29787</v>
      </c>
      <c r="FM92" s="712">
        <f t="shared" si="88"/>
        <v>29787</v>
      </c>
      <c r="FN92" s="712">
        <f t="shared" si="88"/>
        <v>29787</v>
      </c>
      <c r="FO92" s="715">
        <f t="shared" si="88"/>
        <v>29787</v>
      </c>
      <c r="FP92" s="715"/>
    </row>
    <row r="93" spans="1:173" s="169" customFormat="1">
      <c r="A93" s="147" t="s">
        <v>446</v>
      </c>
      <c r="B93" s="723"/>
      <c r="C93" s="723"/>
      <c r="D93" s="723"/>
      <c r="E93" s="723"/>
      <c r="F93" s="723"/>
      <c r="G93" s="723"/>
      <c r="H93" s="723"/>
      <c r="I93" s="723"/>
      <c r="J93" s="723"/>
      <c r="K93" s="714"/>
      <c r="L93" s="199">
        <f t="shared" ref="L93:BM93" si="89">SUM(L88:L89,L91:L92)</f>
        <v>38.655999999999999</v>
      </c>
      <c r="M93" s="199">
        <f t="shared" si="89"/>
        <v>44.997</v>
      </c>
      <c r="N93" s="199">
        <f t="shared" si="89"/>
        <v>52.234000000000002</v>
      </c>
      <c r="O93" s="199">
        <f t="shared" si="89"/>
        <v>76.224999999999994</v>
      </c>
      <c r="P93" s="715">
        <f>O93</f>
        <v>76.224999999999994</v>
      </c>
      <c r="Q93" s="199">
        <f t="shared" si="89"/>
        <v>84.397999999999996</v>
      </c>
      <c r="R93" s="199">
        <f t="shared" si="89"/>
        <v>100.42099999999999</v>
      </c>
      <c r="S93" s="199">
        <f t="shared" si="89"/>
        <v>121.229</v>
      </c>
      <c r="T93" s="199">
        <f t="shared" si="89"/>
        <v>110.33499999999999</v>
      </c>
      <c r="U93" s="715">
        <f>T93</f>
        <v>110.33499999999999</v>
      </c>
      <c r="V93" s="199">
        <f t="shared" si="89"/>
        <v>118.18100000000001</v>
      </c>
      <c r="W93" s="199">
        <f t="shared" si="89"/>
        <v>160.15100000000001</v>
      </c>
      <c r="X93" s="199">
        <f t="shared" si="89"/>
        <v>186.59199999999998</v>
      </c>
      <c r="Y93" s="199">
        <f t="shared" si="89"/>
        <v>363.30099999999999</v>
      </c>
      <c r="Z93" s="715">
        <f>Y93</f>
        <v>363.30099999999999</v>
      </c>
      <c r="AA93" s="199">
        <f t="shared" si="89"/>
        <v>376.76</v>
      </c>
      <c r="AB93" s="199">
        <f t="shared" si="89"/>
        <v>361.27600000000001</v>
      </c>
      <c r="AC93" s="199">
        <f t="shared" si="89"/>
        <v>380.58500000000004</v>
      </c>
      <c r="AD93" s="199">
        <f t="shared" si="89"/>
        <v>379.44799999999998</v>
      </c>
      <c r="AE93" s="715">
        <f>AD93</f>
        <v>379.44799999999998</v>
      </c>
      <c r="AF93" s="199">
        <f t="shared" si="89"/>
        <v>416.50900000000001</v>
      </c>
      <c r="AG93" s="199">
        <f t="shared" si="89"/>
        <v>476.23800000000006</v>
      </c>
      <c r="AH93" s="199">
        <f t="shared" si="89"/>
        <v>435.50200000000001</v>
      </c>
      <c r="AI93" s="199">
        <f t="shared" si="89"/>
        <v>334.11199999999997</v>
      </c>
      <c r="AJ93" s="715">
        <f>AI93</f>
        <v>334.11199999999997</v>
      </c>
      <c r="AK93" s="199">
        <f t="shared" si="89"/>
        <v>358.55099999999999</v>
      </c>
      <c r="AL93" s="199">
        <f t="shared" si="89"/>
        <v>374.036</v>
      </c>
      <c r="AM93" s="199">
        <f t="shared" si="89"/>
        <v>415.15300000000002</v>
      </c>
      <c r="AN93" s="199">
        <f t="shared" si="89"/>
        <v>421.15600000000001</v>
      </c>
      <c r="AO93" s="715">
        <f>AN93</f>
        <v>421.15600000000001</v>
      </c>
      <c r="AP93" s="199">
        <f t="shared" si="89"/>
        <v>375.52</v>
      </c>
      <c r="AQ93" s="712">
        <f t="shared" si="89"/>
        <v>425.49799999999999</v>
      </c>
      <c r="AR93" s="712">
        <f t="shared" si="89"/>
        <v>427.16699999999997</v>
      </c>
      <c r="AS93" s="712">
        <f t="shared" si="89"/>
        <v>438.65899999999999</v>
      </c>
      <c r="AT93" s="715">
        <f>AS93</f>
        <v>438.65899999999999</v>
      </c>
      <c r="AU93" s="712">
        <f t="shared" si="89"/>
        <v>534.52599999999995</v>
      </c>
      <c r="AV93" s="712">
        <f t="shared" si="89"/>
        <v>505.04399999999998</v>
      </c>
      <c r="AW93" s="712">
        <f t="shared" si="89"/>
        <v>657.42900000000009</v>
      </c>
      <c r="AX93" s="712">
        <f t="shared" si="89"/>
        <v>638.80700000000002</v>
      </c>
      <c r="AY93" s="715">
        <f>AX93</f>
        <v>638.80700000000002</v>
      </c>
      <c r="AZ93" s="712">
        <f t="shared" si="89"/>
        <v>623.86699999999996</v>
      </c>
      <c r="BA93" s="712">
        <f t="shared" si="89"/>
        <v>680.798</v>
      </c>
      <c r="BB93" s="712">
        <f t="shared" si="89"/>
        <v>856.44200000000001</v>
      </c>
      <c r="BC93" s="712">
        <f t="shared" si="89"/>
        <v>967.16100000000006</v>
      </c>
      <c r="BD93" s="715">
        <f>BC93</f>
        <v>967.16100000000006</v>
      </c>
      <c r="BE93" s="712">
        <f t="shared" si="89"/>
        <v>876.55200000000002</v>
      </c>
      <c r="BF93" s="712">
        <f t="shared" si="89"/>
        <v>1135.0160000000001</v>
      </c>
      <c r="BG93" s="712">
        <f t="shared" si="89"/>
        <v>1004.4649999999999</v>
      </c>
      <c r="BH93" s="712">
        <f t="shared" si="89"/>
        <v>778.59100000000001</v>
      </c>
      <c r="BI93" s="715">
        <f>BH93</f>
        <v>778.59100000000001</v>
      </c>
      <c r="BJ93" s="712">
        <f t="shared" si="89"/>
        <v>702.17200000000003</v>
      </c>
      <c r="BK93" s="712">
        <f t="shared" si="89"/>
        <v>891.32099999999991</v>
      </c>
      <c r="BL93" s="712">
        <f t="shared" si="89"/>
        <v>888.80599999999993</v>
      </c>
      <c r="BM93" s="712">
        <f t="shared" si="89"/>
        <v>784.37799999999993</v>
      </c>
      <c r="BN93" s="715">
        <f>BM93</f>
        <v>784.37799999999993</v>
      </c>
      <c r="BO93" s="712">
        <f t="shared" ref="BO93:BW93" si="90">SUM(BO88:BO89,BO91:BO92)</f>
        <v>765.29300000000001</v>
      </c>
      <c r="BP93" s="712">
        <f t="shared" si="90"/>
        <v>819.1389999999999</v>
      </c>
      <c r="BQ93" s="712">
        <f t="shared" si="90"/>
        <v>816.48900000000003</v>
      </c>
      <c r="BR93" s="712">
        <f t="shared" si="90"/>
        <v>942.68200000000002</v>
      </c>
      <c r="BS93" s="715">
        <f>BR93</f>
        <v>942.68200000000002</v>
      </c>
      <c r="BT93" s="712">
        <f t="shared" si="90"/>
        <v>981.16599999999994</v>
      </c>
      <c r="BU93" s="712">
        <f t="shared" si="90"/>
        <v>960.29899999999998</v>
      </c>
      <c r="BV93" s="712">
        <f t="shared" si="90"/>
        <v>886.68399999999997</v>
      </c>
      <c r="BW93" s="712">
        <f t="shared" si="90"/>
        <v>929.95799999999997</v>
      </c>
      <c r="BX93" s="715">
        <f>BW93</f>
        <v>929.95799999999997</v>
      </c>
      <c r="BY93" s="712">
        <f>SUM(BY88:BY89,BY91:BY92)</f>
        <v>947.404</v>
      </c>
      <c r="BZ93" s="712">
        <f>SUM(BZ88:BZ89,BZ91:BZ92)</f>
        <v>1021.96</v>
      </c>
      <c r="CA93" s="712">
        <f>SUM(CA88:CA89,CA91:CA92)</f>
        <v>991.35900000000004</v>
      </c>
      <c r="CB93" s="712">
        <f>SUM(CB88:CB89,CB91:CB92)</f>
        <v>976.22299999999996</v>
      </c>
      <c r="CC93" s="715">
        <f>CB93</f>
        <v>976.22299999999996</v>
      </c>
      <c r="CD93" s="712">
        <f>SUM(CD88:CD89,CD91:CD92)</f>
        <v>925.577</v>
      </c>
      <c r="CE93" s="712">
        <f>SUM(CE88:CE89,CE91:CE92)</f>
        <v>935.79099999999994</v>
      </c>
      <c r="CF93" s="712">
        <f>SUM(CF88:CF89,CF91:CF92)</f>
        <v>985.92700000000002</v>
      </c>
      <c r="CG93" s="712">
        <f>SUM(CG88:CG89,CG91:CG92)</f>
        <v>945.49600000000009</v>
      </c>
      <c r="CH93" s="715">
        <f>CG93</f>
        <v>945.49600000000009</v>
      </c>
      <c r="CI93" s="712">
        <f>SUM(CI88:CI89,CI91:CI92)</f>
        <v>897.94499999999994</v>
      </c>
      <c r="CJ93" s="712">
        <f>SUM(CJ88:CJ89,CJ91:CJ92)</f>
        <v>868.72900000000004</v>
      </c>
      <c r="CK93" s="712">
        <f>SUM(CK88:CK89,CK91:CK92)</f>
        <v>933.90699999999993</v>
      </c>
      <c r="CL93" s="712">
        <f>SUM(CL88:CL89,CL91:CL92)</f>
        <v>896.03</v>
      </c>
      <c r="CM93" s="715">
        <f>CL93</f>
        <v>896.03</v>
      </c>
      <c r="CN93" s="712">
        <f>SUM(CN88:CN89,CN91:CN92)</f>
        <v>883</v>
      </c>
      <c r="CO93" s="712">
        <f>SUM(CO88:CO89,CO91:CO92)</f>
        <v>936</v>
      </c>
      <c r="CP93" s="712">
        <f>SUM(CP88:CP89,CP91:CP92)</f>
        <v>855</v>
      </c>
      <c r="CQ93" s="712">
        <f>SUM(CQ88:CQ89,CQ91:CQ92)</f>
        <v>938</v>
      </c>
      <c r="CR93" s="715">
        <f>CQ93</f>
        <v>938</v>
      </c>
      <c r="CS93" s="712">
        <f>SUM(CS88:CS89,CS91:CS92)</f>
        <v>956</v>
      </c>
      <c r="CT93" s="712">
        <f>SUM(CT88:CT89,CT91:CT92)</f>
        <v>979</v>
      </c>
      <c r="CU93" s="712">
        <f>SUM(CU88:CU89,CU91:CU92)</f>
        <v>1030</v>
      </c>
      <c r="CV93" s="712">
        <f>SUM(CV88:CV89,CV91:CV92)</f>
        <v>992</v>
      </c>
      <c r="CW93" s="715">
        <f>CV93</f>
        <v>992</v>
      </c>
      <c r="CX93" s="712">
        <f>SUM(CX88:CX89,CX91:CX92)</f>
        <v>768</v>
      </c>
      <c r="CY93" s="712">
        <f>SUM(CY88:CY89,CY91:CY92)</f>
        <v>948</v>
      </c>
      <c r="CZ93" s="712">
        <f>SUM(CZ88:CZ89,CZ91:CZ92)</f>
        <v>1004</v>
      </c>
      <c r="DA93" s="712">
        <f>SUM(DA88:DA89,DA91:DA92)</f>
        <v>1153</v>
      </c>
      <c r="DB93" s="715">
        <f>DA93</f>
        <v>1153</v>
      </c>
      <c r="DC93" s="712">
        <f>SUM(DC88:DC89,DC91:DC92)</f>
        <v>1106</v>
      </c>
      <c r="DD93" s="712">
        <f>SUM(DD88:DD89,DD91:DD92)</f>
        <v>1462</v>
      </c>
      <c r="DE93" s="712">
        <f>SUM(DE88:DE89,DE91:DE92)</f>
        <v>1608</v>
      </c>
      <c r="DF93" s="712">
        <f>SUM(DF88:DF89,DF91:DF92)</f>
        <v>1329</v>
      </c>
      <c r="DG93" s="715">
        <f>DF93</f>
        <v>1329</v>
      </c>
      <c r="DH93" s="712">
        <f>SUM(DH88:DH89,DH91:DH92)</f>
        <v>1183</v>
      </c>
      <c r="DI93" s="712">
        <f>SUM(DI88:DI89,DI91:DI92)</f>
        <v>1317</v>
      </c>
      <c r="DJ93" s="712">
        <f>SUM(DJ88:DJ89,DJ91:DJ92)</f>
        <v>1475</v>
      </c>
      <c r="DK93" s="712">
        <f>SUM(DK88:DK89,DK91:DK92)</f>
        <v>1784</v>
      </c>
      <c r="DL93" s="715">
        <f>DK93</f>
        <v>1784</v>
      </c>
      <c r="DM93" s="712">
        <f>SUM(DM88:DM89,DM91:DM92)</f>
        <v>1903</v>
      </c>
      <c r="DN93" s="712">
        <f>SUM(DN88:DN89,DN91:DN92)</f>
        <v>2410</v>
      </c>
      <c r="DO93" s="712">
        <f>SUM(DO88:DO89,DO91:DO92)</f>
        <v>3669</v>
      </c>
      <c r="DP93" s="712">
        <f>SUM(DP88:DP89,DP91:DP92)</f>
        <v>3925</v>
      </c>
      <c r="DQ93" s="715">
        <f>DP93</f>
        <v>3925</v>
      </c>
      <c r="DR93" s="712">
        <f>SUM(DR88:DR89,DR91:DR92)</f>
        <v>4004</v>
      </c>
      <c r="DS93" s="712">
        <f>SUM(DS88:DS89,DS91:DS92)</f>
        <v>4448</v>
      </c>
      <c r="DT93" s="712">
        <f>SUM(DT88:DT89,DT91:DT92)</f>
        <v>3612</v>
      </c>
      <c r="DU93" s="712">
        <f>SUM(DU88:DU89,DU91:DU92)</f>
        <v>4335</v>
      </c>
      <c r="DV93" s="715">
        <f>DU93</f>
        <v>4335</v>
      </c>
      <c r="DW93" s="712">
        <f>SUM(DW88:DW89,DW91:DW92)</f>
        <v>5562</v>
      </c>
      <c r="DX93" s="712">
        <f>SUM(DX88:DX89,DX91:DX92)</f>
        <v>7573</v>
      </c>
      <c r="DY93" s="712">
        <f>SUM(DY88:DY89,DY91:DY92)</f>
        <v>6855</v>
      </c>
      <c r="DZ93" s="712">
        <f>SUM(DZ88:DZ89,DZ91:DZ92)</f>
        <v>6563</v>
      </c>
      <c r="EA93" s="715">
        <f>DZ93</f>
        <v>6563</v>
      </c>
      <c r="EB93" s="712">
        <f>SUM(EB88:EB89,EB91:EB92)</f>
        <v>7260</v>
      </c>
      <c r="EC93" s="712">
        <f>SUM(EC88:EC89,EC91:EC92)</f>
        <v>10334</v>
      </c>
      <c r="ED93" s="712">
        <f>SUM(ED88:ED89,ED91:ED92)</f>
        <v>9101</v>
      </c>
      <c r="EE93" s="712">
        <f>SUM(EE88:EE89,EE91:EE92)</f>
        <v>10631</v>
      </c>
      <c r="EF93" s="715">
        <f>EE93</f>
        <v>10631</v>
      </c>
      <c r="EG93" s="712">
        <f>SUM(EG88:EG89,EG91:EG92)</f>
        <v>15223</v>
      </c>
      <c r="EH93" s="712">
        <f>SUM(EH88:EH89,EH91:EH92)</f>
        <v>13969</v>
      </c>
      <c r="EI93" s="712">
        <f>SUM(EI88:EI89,EI91:EI92)</f>
        <v>16479</v>
      </c>
      <c r="EJ93" s="712">
        <f>SUM(EJ88:EJ89,EJ91:EJ92)</f>
        <v>18047</v>
      </c>
      <c r="EK93" s="715">
        <f>EJ93</f>
        <v>18047</v>
      </c>
      <c r="EL93" s="712">
        <f>SUM(EL88:EL89,EL91:EL92)</f>
        <v>26542</v>
      </c>
      <c r="EM93" s="712">
        <f>SUM(EM88:EM89,EM91:EM92)</f>
        <v>24257</v>
      </c>
      <c r="EN93" s="712">
        <f>SUM(EN88:EN89,EN91:EN92)</f>
        <v>26075</v>
      </c>
      <c r="EO93" s="712">
        <f>SUM(EO88:EO89,EO91:EO92)</f>
        <v>32163</v>
      </c>
      <c r="EP93" s="715">
        <f>EO93</f>
        <v>32163</v>
      </c>
      <c r="EQ93" s="712">
        <f>SUM(EQ88:EQ89,EQ91:EQ92)</f>
        <v>43884</v>
      </c>
      <c r="ER93" s="712">
        <f>SUM(ER88:ER89,ER91:ER92)</f>
        <v>44863.392412001238</v>
      </c>
      <c r="ES93" s="712">
        <f>SUM(ES88:ES89,ES91:ES92)</f>
        <v>46274.382483696863</v>
      </c>
      <c r="ET93" s="712">
        <f>SUM(ET88:ET89,ET91:ET92)</f>
        <v>47324.561268724254</v>
      </c>
      <c r="EU93" s="715">
        <f>ET93</f>
        <v>47324.561268724254</v>
      </c>
      <c r="EV93" s="712">
        <f>SUM(EV88:EV89,EV91:EV92)</f>
        <v>48070.936627553012</v>
      </c>
      <c r="EW93" s="712">
        <f>SUM(EW88:EW89,EW91:EW92)</f>
        <v>48928.364193693989</v>
      </c>
      <c r="EX93" s="712">
        <f>SUM(EX88:EX89,EX91:EX92)</f>
        <v>50012.888692991663</v>
      </c>
      <c r="EY93" s="712">
        <f>SUM(EY88:EY89,EY91:EY92)</f>
        <v>50656.972548716672</v>
      </c>
      <c r="EZ93" s="715">
        <f>EY93</f>
        <v>50656.972548716672</v>
      </c>
      <c r="FA93" s="712">
        <f>SUM(FA88:FA89,FA91:FA92)</f>
        <v>50898.650621237248</v>
      </c>
      <c r="FB93" s="712">
        <f>SUM(FB88:FB89,FB91:FB92)</f>
        <v>51219.248637742799</v>
      </c>
      <c r="FC93" s="712">
        <f>SUM(FC88:FC89,FC91:FC92)</f>
        <v>51950.277896102809</v>
      </c>
      <c r="FD93" s="712">
        <f>SUM(FD88:FD89,FD91:FD92)</f>
        <v>52486.556671545055</v>
      </c>
      <c r="FE93" s="715">
        <f>FD93</f>
        <v>52486.556671545055</v>
      </c>
      <c r="FF93" s="712">
        <f>SUM(FF88:FF89,FF91:FF92)</f>
        <v>52548.74620690709</v>
      </c>
      <c r="FG93" s="712">
        <f>SUM(FG88:FG89,FG91:FG92)</f>
        <v>52684.007351908411</v>
      </c>
      <c r="FH93" s="712">
        <f>SUM(FH88:FH89,FH91:FH92)</f>
        <v>53044.939689553168</v>
      </c>
      <c r="FI93" s="712">
        <f>SUM(FI88:FI89,FI91:FI92)</f>
        <v>53290.238552156123</v>
      </c>
      <c r="FJ93" s="715">
        <f>FI93</f>
        <v>53290.238552156123</v>
      </c>
      <c r="FK93" s="712">
        <f>SUM(FK88:FK89,FK91:FK92)</f>
        <v>53462.275571924758</v>
      </c>
      <c r="FL93" s="712">
        <f>SUM(FL88:FL89,FL91:FL92)</f>
        <v>53820.592135836203</v>
      </c>
      <c r="FM93" s="712">
        <f>SUM(FM88:FM89,FM91:FM92)</f>
        <v>54529.448583045567</v>
      </c>
      <c r="FN93" s="712">
        <f>SUM(FN88:FN89,FN91:FN92)</f>
        <v>55017.028963974604</v>
      </c>
      <c r="FO93" s="715">
        <f>FN93</f>
        <v>55017.028963974604</v>
      </c>
      <c r="FP93" s="715"/>
    </row>
    <row r="94" spans="1:173" s="169" customFormat="1">
      <c r="A94" s="147"/>
      <c r="B94" s="723"/>
      <c r="C94" s="723"/>
      <c r="D94" s="723"/>
      <c r="E94" s="723"/>
      <c r="F94" s="723"/>
      <c r="G94" s="723"/>
      <c r="H94" s="723"/>
      <c r="I94" s="723"/>
      <c r="J94" s="723"/>
      <c r="L94" s="732"/>
      <c r="M94" s="732"/>
      <c r="N94" s="732"/>
      <c r="O94" s="732"/>
      <c r="P94" s="715"/>
      <c r="Q94" s="732"/>
      <c r="R94" s="732"/>
      <c r="S94" s="732"/>
      <c r="T94" s="732"/>
      <c r="U94" s="715"/>
      <c r="V94" s="732"/>
      <c r="W94" s="732"/>
      <c r="X94" s="732"/>
      <c r="Y94" s="732"/>
      <c r="Z94" s="715"/>
      <c r="AA94" s="732"/>
      <c r="AB94" s="732"/>
      <c r="AC94" s="732"/>
      <c r="AD94" s="732"/>
      <c r="AE94" s="715"/>
      <c r="AF94" s="732"/>
      <c r="AG94" s="732"/>
      <c r="AH94" s="732"/>
      <c r="AI94" s="732"/>
      <c r="AJ94" s="715"/>
      <c r="AK94" s="732"/>
      <c r="AL94" s="732"/>
      <c r="AM94" s="732"/>
      <c r="AN94" s="715"/>
      <c r="AO94" s="715"/>
      <c r="AP94" s="715"/>
      <c r="AQ94" s="715"/>
      <c r="AR94" s="715"/>
      <c r="AS94" s="715"/>
      <c r="AT94" s="715"/>
      <c r="AU94" s="715"/>
      <c r="AV94" s="715"/>
      <c r="AW94" s="715"/>
      <c r="AX94" s="715"/>
      <c r="AY94" s="715"/>
      <c r="AZ94" s="715"/>
      <c r="BA94" s="715"/>
      <c r="BB94" s="715"/>
      <c r="BC94" s="715"/>
      <c r="BD94" s="715"/>
      <c r="BE94" s="715"/>
      <c r="BF94" s="715"/>
      <c r="BG94" s="715"/>
      <c r="BH94" s="715"/>
      <c r="BI94" s="715"/>
      <c r="BJ94" s="715"/>
      <c r="BK94" s="715"/>
      <c r="BL94" s="715"/>
      <c r="BM94" s="715"/>
      <c r="BN94" s="715"/>
      <c r="BO94" s="715"/>
      <c r="BP94" s="715"/>
      <c r="BQ94" s="715"/>
      <c r="BR94" s="715"/>
      <c r="BS94" s="715"/>
      <c r="BT94" s="715"/>
      <c r="BU94" s="715"/>
      <c r="BV94" s="715"/>
      <c r="BW94" s="715"/>
      <c r="BX94" s="715"/>
      <c r="BY94" s="715"/>
      <c r="BZ94" s="715"/>
      <c r="CA94" s="715"/>
      <c r="CB94" s="715"/>
      <c r="CC94" s="715"/>
      <c r="CD94" s="715"/>
      <c r="CE94" s="715"/>
      <c r="CF94" s="715"/>
      <c r="CG94" s="715"/>
      <c r="CH94" s="715"/>
      <c r="CI94" s="715"/>
      <c r="CJ94" s="715"/>
      <c r="CK94" s="715"/>
      <c r="CL94" s="715"/>
      <c r="CM94" s="715"/>
      <c r="CN94" s="715"/>
      <c r="CO94" s="715"/>
      <c r="CP94" s="715"/>
      <c r="CQ94" s="715"/>
      <c r="CR94" s="715"/>
      <c r="CS94" s="715"/>
      <c r="CT94" s="715"/>
      <c r="CU94" s="715"/>
      <c r="CV94" s="715"/>
      <c r="CW94" s="715"/>
      <c r="CX94" s="715"/>
      <c r="CY94" s="715"/>
      <c r="CZ94" s="715"/>
      <c r="DA94" s="715"/>
      <c r="DB94" s="715"/>
      <c r="DC94" s="715"/>
      <c r="DD94" s="715"/>
      <c r="DE94" s="715"/>
      <c r="DF94" s="715"/>
      <c r="DG94" s="715"/>
      <c r="DH94" s="715"/>
      <c r="DI94" s="715"/>
      <c r="DJ94" s="715"/>
      <c r="DK94" s="715"/>
      <c r="DL94" s="715"/>
      <c r="DM94" s="715"/>
      <c r="DN94" s="715"/>
      <c r="DO94" s="715"/>
      <c r="DP94" s="715"/>
      <c r="DQ94" s="715"/>
      <c r="DR94" s="715"/>
      <c r="DS94" s="715"/>
      <c r="DT94" s="715"/>
      <c r="DU94" s="715"/>
      <c r="DV94" s="715"/>
      <c r="DW94" s="715"/>
      <c r="DX94" s="715"/>
      <c r="DY94" s="715"/>
      <c r="DZ94" s="715"/>
      <c r="EA94" s="715"/>
      <c r="EB94" s="715"/>
      <c r="EC94" s="715"/>
      <c r="ED94" s="715"/>
      <c r="EE94" s="715"/>
      <c r="EF94" s="715"/>
      <c r="EG94" s="715"/>
      <c r="EH94" s="715"/>
      <c r="EI94" s="715"/>
      <c r="EJ94" s="715"/>
      <c r="EK94" s="715"/>
      <c r="EL94" s="715"/>
      <c r="EM94" s="715"/>
      <c r="EN94" s="715"/>
      <c r="EO94" s="715"/>
      <c r="EP94" s="715"/>
      <c r="EQ94" s="715"/>
      <c r="ER94" s="715"/>
      <c r="ES94" s="715"/>
      <c r="ET94" s="715"/>
      <c r="EU94" s="715"/>
      <c r="EV94" s="715"/>
      <c r="EW94" s="715"/>
      <c r="EX94" s="715"/>
      <c r="EY94" s="715"/>
      <c r="EZ94" s="715"/>
      <c r="FA94" s="715"/>
      <c r="FB94" s="715"/>
      <c r="FC94" s="715"/>
      <c r="FD94" s="715"/>
      <c r="FE94" s="715"/>
      <c r="FF94" s="715"/>
      <c r="FG94" s="715"/>
      <c r="FH94" s="715"/>
      <c r="FI94" s="715"/>
      <c r="FJ94" s="715"/>
      <c r="FK94" s="715"/>
      <c r="FL94" s="715"/>
      <c r="FM94" s="715"/>
      <c r="FN94" s="715"/>
      <c r="FO94" s="715"/>
      <c r="FP94" s="715"/>
    </row>
    <row r="95" spans="1:173">
      <c r="A95" s="171" t="s">
        <v>447</v>
      </c>
      <c r="B95" s="665"/>
      <c r="C95" s="665"/>
      <c r="D95" s="665"/>
      <c r="E95" s="665"/>
      <c r="F95" s="665"/>
      <c r="G95" s="665"/>
      <c r="H95" s="665"/>
      <c r="I95" s="665"/>
      <c r="J95" s="665"/>
      <c r="K95" s="714"/>
      <c r="L95" s="199">
        <v>1.298</v>
      </c>
      <c r="M95" s="199">
        <v>0.94199999999999995</v>
      </c>
      <c r="N95" s="199">
        <v>1.169</v>
      </c>
      <c r="O95" s="199">
        <v>0.96199999999999997</v>
      </c>
      <c r="P95" s="715">
        <f>O95</f>
        <v>0.96199999999999997</v>
      </c>
      <c r="Q95" s="199">
        <v>0.69699999999999995</v>
      </c>
      <c r="R95" s="199">
        <v>0.67200000000000004</v>
      </c>
      <c r="S95" s="199">
        <v>0.64400000000000002</v>
      </c>
      <c r="T95" s="199">
        <v>0.378</v>
      </c>
      <c r="U95" s="715">
        <f>T95</f>
        <v>0.378</v>
      </c>
      <c r="V95" s="199">
        <v>0.307</v>
      </c>
      <c r="W95" s="199">
        <v>3.6720000000000002</v>
      </c>
      <c r="X95" s="199">
        <v>6.9409999999999998</v>
      </c>
      <c r="Y95" s="199">
        <v>5.8609999999999998</v>
      </c>
      <c r="Z95" s="715">
        <f>Y95</f>
        <v>5.8609999999999998</v>
      </c>
      <c r="AA95" s="199">
        <v>4.9370000000000003</v>
      </c>
      <c r="AB95" s="199">
        <v>7.9260000000000002</v>
      </c>
      <c r="AC95" s="199">
        <v>6.34</v>
      </c>
      <c r="AD95" s="199">
        <v>4.88</v>
      </c>
      <c r="AE95" s="715">
        <f>AD95</f>
        <v>4.88</v>
      </c>
      <c r="AF95" s="199">
        <v>4.194</v>
      </c>
      <c r="AG95" s="199">
        <v>3.5219999999999998</v>
      </c>
      <c r="AH95" s="199">
        <v>2.6339999999999999</v>
      </c>
      <c r="AI95" s="199">
        <v>0.85599999999999998</v>
      </c>
      <c r="AJ95" s="715">
        <f>AI95</f>
        <v>0.85599999999999998</v>
      </c>
      <c r="AK95" s="199">
        <v>0.34499999999999997</v>
      </c>
      <c r="AL95" s="199">
        <v>0</v>
      </c>
      <c r="AM95" s="199">
        <f>AL95</f>
        <v>0</v>
      </c>
      <c r="AN95" s="199">
        <v>0</v>
      </c>
      <c r="AO95" s="715">
        <f>AN95</f>
        <v>0</v>
      </c>
      <c r="AP95" s="199">
        <v>0</v>
      </c>
      <c r="AQ95" s="712">
        <v>0</v>
      </c>
      <c r="AR95" s="712">
        <v>0</v>
      </c>
      <c r="AS95" s="712">
        <v>0</v>
      </c>
      <c r="AT95" s="715">
        <f>AS95</f>
        <v>0</v>
      </c>
      <c r="AU95" s="712">
        <v>0</v>
      </c>
      <c r="AV95" s="712">
        <f t="shared" ref="AV95:BD98" si="91">AU95</f>
        <v>0</v>
      </c>
      <c r="AW95" s="712">
        <f t="shared" si="91"/>
        <v>0</v>
      </c>
      <c r="AX95" s="712">
        <f t="shared" si="91"/>
        <v>0</v>
      </c>
      <c r="AY95" s="715">
        <f>AX95</f>
        <v>0</v>
      </c>
      <c r="AZ95" s="712">
        <f>AX95</f>
        <v>0</v>
      </c>
      <c r="BA95" s="712">
        <f t="shared" si="91"/>
        <v>0</v>
      </c>
      <c r="BB95" s="712">
        <f t="shared" si="91"/>
        <v>0</v>
      </c>
      <c r="BC95" s="712">
        <f t="shared" si="91"/>
        <v>0</v>
      </c>
      <c r="BD95" s="715">
        <f>BC95</f>
        <v>0</v>
      </c>
      <c r="BE95" s="712">
        <f>BC95</f>
        <v>0</v>
      </c>
      <c r="BF95" s="712">
        <f t="shared" ref="BF95:BI98" si="92">BE95</f>
        <v>0</v>
      </c>
      <c r="BG95" s="712">
        <f t="shared" si="92"/>
        <v>0</v>
      </c>
      <c r="BH95" s="712">
        <f t="shared" si="92"/>
        <v>0</v>
      </c>
      <c r="BI95" s="715">
        <f>BH95</f>
        <v>0</v>
      </c>
      <c r="BJ95" s="712">
        <f>BH95</f>
        <v>0</v>
      </c>
      <c r="BK95" s="712">
        <f t="shared" ref="BK95:BZ97" si="93">BJ95</f>
        <v>0</v>
      </c>
      <c r="BL95" s="712">
        <f t="shared" si="93"/>
        <v>0</v>
      </c>
      <c r="BM95" s="712">
        <f t="shared" si="93"/>
        <v>0</v>
      </c>
      <c r="BN95" s="715">
        <f>BM95</f>
        <v>0</v>
      </c>
      <c r="BO95" s="712">
        <f>BM95</f>
        <v>0</v>
      </c>
      <c r="BP95" s="712">
        <f t="shared" si="93"/>
        <v>0</v>
      </c>
      <c r="BQ95" s="712">
        <f t="shared" si="93"/>
        <v>0</v>
      </c>
      <c r="BR95" s="712">
        <f t="shared" si="93"/>
        <v>0</v>
      </c>
      <c r="BS95" s="715">
        <f>BR95</f>
        <v>0</v>
      </c>
      <c r="BT95" s="712">
        <f>BR95</f>
        <v>0</v>
      </c>
      <c r="BU95" s="712">
        <f t="shared" si="93"/>
        <v>0</v>
      </c>
      <c r="BV95" s="712">
        <f t="shared" si="93"/>
        <v>0</v>
      </c>
      <c r="BW95" s="712">
        <f t="shared" si="93"/>
        <v>0</v>
      </c>
      <c r="BX95" s="715">
        <f>BW95</f>
        <v>0</v>
      </c>
      <c r="BY95" s="712">
        <f>BW95</f>
        <v>0</v>
      </c>
      <c r="BZ95" s="712">
        <f t="shared" si="93"/>
        <v>0</v>
      </c>
      <c r="CA95" s="712">
        <f t="shared" ref="BN95:CC98" si="94">BZ95</f>
        <v>0</v>
      </c>
      <c r="CB95" s="712">
        <f t="shared" si="94"/>
        <v>0</v>
      </c>
      <c r="CC95" s="715">
        <f t="shared" si="94"/>
        <v>0</v>
      </c>
      <c r="CD95" s="712">
        <f>CB95</f>
        <v>0</v>
      </c>
      <c r="CE95" s="712">
        <f t="shared" ref="CE95:CF97" si="95">CD95</f>
        <v>0</v>
      </c>
      <c r="CF95" s="712">
        <f t="shared" si="95"/>
        <v>0</v>
      </c>
      <c r="CG95" s="712">
        <f>CF95</f>
        <v>0</v>
      </c>
      <c r="CH95" s="715">
        <f>CG95</f>
        <v>0</v>
      </c>
      <c r="CI95" s="712">
        <f>CG95</f>
        <v>0</v>
      </c>
      <c r="CJ95" s="712">
        <f>CI95</f>
        <v>0</v>
      </c>
      <c r="CK95" s="712">
        <f>CJ95</f>
        <v>0</v>
      </c>
      <c r="CL95" s="712">
        <f>CK95</f>
        <v>0</v>
      </c>
      <c r="CM95" s="715">
        <f>CL95</f>
        <v>0</v>
      </c>
      <c r="CN95" s="712">
        <f>CL95</f>
        <v>0</v>
      </c>
      <c r="CO95" s="712">
        <f>CN95</f>
        <v>0</v>
      </c>
      <c r="CP95" s="712">
        <f>CO95</f>
        <v>0</v>
      </c>
      <c r="CQ95" s="712">
        <f>CP95</f>
        <v>0</v>
      </c>
      <c r="CR95" s="715">
        <f>CQ95</f>
        <v>0</v>
      </c>
      <c r="CS95" s="712">
        <f>CQ95</f>
        <v>0</v>
      </c>
      <c r="CT95" s="712">
        <f>CS95</f>
        <v>0</v>
      </c>
      <c r="CU95" s="712">
        <f>CT95</f>
        <v>0</v>
      </c>
      <c r="CV95" s="712">
        <f>CU95</f>
        <v>0</v>
      </c>
      <c r="CW95" s="715">
        <f>CV95</f>
        <v>0</v>
      </c>
      <c r="CX95" s="712">
        <v>0</v>
      </c>
      <c r="CY95" s="712">
        <v>0</v>
      </c>
      <c r="CZ95" s="712">
        <v>0</v>
      </c>
      <c r="DA95" s="712">
        <v>0</v>
      </c>
      <c r="DB95" s="715">
        <f>DA95</f>
        <v>0</v>
      </c>
      <c r="DC95" s="712">
        <v>0</v>
      </c>
      <c r="DD95" s="712">
        <v>0</v>
      </c>
      <c r="DE95" s="712">
        <v>0</v>
      </c>
      <c r="DF95" s="712">
        <v>0</v>
      </c>
      <c r="DG95" s="715">
        <f>DF95</f>
        <v>0</v>
      </c>
      <c r="DH95" s="712">
        <f>DF95</f>
        <v>0</v>
      </c>
      <c r="DI95" s="712">
        <v>0</v>
      </c>
      <c r="DJ95" s="712">
        <f t="shared" ref="DJ95:DL98" si="96">DI95</f>
        <v>0</v>
      </c>
      <c r="DK95" s="712">
        <f t="shared" si="96"/>
        <v>0</v>
      </c>
      <c r="DL95" s="715">
        <f t="shared" si="96"/>
        <v>0</v>
      </c>
      <c r="DM95" s="712">
        <f>DK95</f>
        <v>0</v>
      </c>
      <c r="DN95" s="712">
        <f t="shared" ref="DN95:DU98" si="97">DM95</f>
        <v>0</v>
      </c>
      <c r="DO95" s="712">
        <f t="shared" si="97"/>
        <v>0</v>
      </c>
      <c r="DP95" s="712">
        <f t="shared" si="97"/>
        <v>0</v>
      </c>
      <c r="DQ95" s="715">
        <f t="shared" si="97"/>
        <v>0</v>
      </c>
      <c r="DR95" s="712">
        <f>DP95</f>
        <v>0</v>
      </c>
      <c r="DS95" s="712">
        <f t="shared" si="97"/>
        <v>0</v>
      </c>
      <c r="DT95" s="712">
        <f t="shared" si="97"/>
        <v>0</v>
      </c>
      <c r="DU95" s="712">
        <f t="shared" si="97"/>
        <v>0</v>
      </c>
      <c r="DV95" s="715">
        <f>DU95</f>
        <v>0</v>
      </c>
      <c r="DW95" s="712">
        <f>DU95</f>
        <v>0</v>
      </c>
      <c r="DX95" s="712">
        <f t="shared" ref="DX95:EM96" si="98">DW95</f>
        <v>0</v>
      </c>
      <c r="DY95" s="712">
        <f t="shared" si="98"/>
        <v>0</v>
      </c>
      <c r="DZ95" s="712">
        <f t="shared" si="98"/>
        <v>0</v>
      </c>
      <c r="EA95" s="715">
        <f>DZ95</f>
        <v>0</v>
      </c>
      <c r="EB95" s="712">
        <f t="shared" si="98"/>
        <v>0</v>
      </c>
      <c r="EC95" s="712">
        <f t="shared" si="98"/>
        <v>0</v>
      </c>
      <c r="ED95" s="712">
        <f t="shared" si="98"/>
        <v>0</v>
      </c>
      <c r="EE95" s="712">
        <f t="shared" si="98"/>
        <v>0</v>
      </c>
      <c r="EF95" s="715">
        <f>EE95</f>
        <v>0</v>
      </c>
      <c r="EG95" s="712">
        <f t="shared" si="98"/>
        <v>0</v>
      </c>
      <c r="EH95" s="712">
        <f t="shared" si="98"/>
        <v>0</v>
      </c>
      <c r="EI95" s="712">
        <f t="shared" si="98"/>
        <v>0</v>
      </c>
      <c r="EJ95" s="712">
        <f t="shared" si="98"/>
        <v>0</v>
      </c>
      <c r="EK95" s="715">
        <f>EJ95</f>
        <v>0</v>
      </c>
      <c r="EL95" s="712">
        <f t="shared" si="98"/>
        <v>0</v>
      </c>
      <c r="EM95" s="712">
        <f t="shared" si="98"/>
        <v>0</v>
      </c>
      <c r="EN95" s="712">
        <f t="shared" ref="EN95:EU98" si="99">EM95</f>
        <v>0</v>
      </c>
      <c r="EO95" s="712">
        <f t="shared" si="99"/>
        <v>0</v>
      </c>
      <c r="EP95" s="715">
        <f>EO95</f>
        <v>0</v>
      </c>
      <c r="EQ95" s="712">
        <f t="shared" si="99"/>
        <v>0</v>
      </c>
      <c r="ER95" s="712">
        <f t="shared" si="99"/>
        <v>0</v>
      </c>
      <c r="ES95" s="712">
        <f t="shared" si="99"/>
        <v>0</v>
      </c>
      <c r="ET95" s="712">
        <f t="shared" si="99"/>
        <v>0</v>
      </c>
      <c r="EU95" s="715">
        <f t="shared" si="99"/>
        <v>0</v>
      </c>
      <c r="EV95" s="712">
        <f>ET95</f>
        <v>0</v>
      </c>
      <c r="EW95" s="712">
        <f t="shared" ref="EW95:EZ98" si="100">EV95</f>
        <v>0</v>
      </c>
      <c r="EX95" s="712">
        <f t="shared" si="100"/>
        <v>0</v>
      </c>
      <c r="EY95" s="712">
        <f t="shared" si="100"/>
        <v>0</v>
      </c>
      <c r="EZ95" s="715">
        <f t="shared" si="100"/>
        <v>0</v>
      </c>
      <c r="FA95" s="712">
        <f>EY95</f>
        <v>0</v>
      </c>
      <c r="FB95" s="712">
        <f t="shared" ref="FB95:FE98" si="101">FA95</f>
        <v>0</v>
      </c>
      <c r="FC95" s="712">
        <f t="shared" si="101"/>
        <v>0</v>
      </c>
      <c r="FD95" s="712">
        <f t="shared" si="101"/>
        <v>0</v>
      </c>
      <c r="FE95" s="715">
        <f t="shared" si="101"/>
        <v>0</v>
      </c>
      <c r="FF95" s="712">
        <f>FD95</f>
        <v>0</v>
      </c>
      <c r="FG95" s="712">
        <f t="shared" ref="FG95:FJ98" si="102">FF95</f>
        <v>0</v>
      </c>
      <c r="FH95" s="712">
        <f t="shared" si="102"/>
        <v>0</v>
      </c>
      <c r="FI95" s="712">
        <f t="shared" si="102"/>
        <v>0</v>
      </c>
      <c r="FJ95" s="715">
        <f t="shared" si="102"/>
        <v>0</v>
      </c>
      <c r="FK95" s="712">
        <f>FI95</f>
        <v>0</v>
      </c>
      <c r="FL95" s="712">
        <f t="shared" ref="FL95:FO98" si="103">FK95</f>
        <v>0</v>
      </c>
      <c r="FM95" s="712">
        <f t="shared" si="103"/>
        <v>0</v>
      </c>
      <c r="FN95" s="712">
        <f t="shared" si="103"/>
        <v>0</v>
      </c>
      <c r="FO95" s="715">
        <f t="shared" si="103"/>
        <v>0</v>
      </c>
      <c r="FP95" s="715"/>
    </row>
    <row r="96" spans="1:173">
      <c r="A96" s="171" t="s">
        <v>448</v>
      </c>
      <c r="B96" s="665"/>
      <c r="C96" s="665"/>
      <c r="D96" s="665"/>
      <c r="E96" s="665"/>
      <c r="F96" s="665"/>
      <c r="G96" s="665"/>
      <c r="H96" s="665"/>
      <c r="I96" s="665"/>
      <c r="J96" s="665"/>
      <c r="K96" s="714"/>
      <c r="L96" s="199">
        <v>0</v>
      </c>
      <c r="M96" s="199">
        <v>0</v>
      </c>
      <c r="N96" s="199">
        <v>0</v>
      </c>
      <c r="O96" s="199">
        <v>0</v>
      </c>
      <c r="P96" s="715">
        <f>O96</f>
        <v>0</v>
      </c>
      <c r="Q96" s="199">
        <v>0</v>
      </c>
      <c r="R96" s="199">
        <v>0</v>
      </c>
      <c r="S96" s="199">
        <v>300</v>
      </c>
      <c r="T96" s="199">
        <v>300</v>
      </c>
      <c r="U96" s="715">
        <f>T96</f>
        <v>300</v>
      </c>
      <c r="V96" s="199">
        <v>300</v>
      </c>
      <c r="W96" s="199">
        <v>300</v>
      </c>
      <c r="X96" s="199">
        <v>300</v>
      </c>
      <c r="Y96" s="199">
        <v>300</v>
      </c>
      <c r="Z96" s="715">
        <f>Y96</f>
        <v>300</v>
      </c>
      <c r="AA96" s="199">
        <v>300</v>
      </c>
      <c r="AB96" s="199">
        <v>300</v>
      </c>
      <c r="AC96" s="199">
        <v>300</v>
      </c>
      <c r="AD96" s="199">
        <v>300</v>
      </c>
      <c r="AE96" s="715">
        <f>AD96</f>
        <v>300</v>
      </c>
      <c r="AF96" s="199">
        <v>300</v>
      </c>
      <c r="AG96" s="199">
        <v>300</v>
      </c>
      <c r="AH96" s="199">
        <v>0</v>
      </c>
      <c r="AI96" s="199">
        <v>0</v>
      </c>
      <c r="AJ96" s="715">
        <f>AI96</f>
        <v>0</v>
      </c>
      <c r="AK96" s="199">
        <v>0</v>
      </c>
      <c r="AL96" s="199">
        <v>0</v>
      </c>
      <c r="AM96" s="199">
        <v>0</v>
      </c>
      <c r="AN96" s="199">
        <v>0</v>
      </c>
      <c r="AO96" s="715">
        <f>AN96</f>
        <v>0</v>
      </c>
      <c r="AP96" s="199">
        <v>0</v>
      </c>
      <c r="AQ96" s="712">
        <v>0</v>
      </c>
      <c r="AR96" s="712">
        <v>0</v>
      </c>
      <c r="AS96" s="712">
        <v>0</v>
      </c>
      <c r="AT96" s="715">
        <f>AS96</f>
        <v>0</v>
      </c>
      <c r="AU96" s="712">
        <v>0</v>
      </c>
      <c r="AV96" s="712">
        <f t="shared" si="91"/>
        <v>0</v>
      </c>
      <c r="AW96" s="712">
        <f t="shared" si="91"/>
        <v>0</v>
      </c>
      <c r="AX96" s="712">
        <f t="shared" si="91"/>
        <v>0</v>
      </c>
      <c r="AY96" s="715">
        <f t="shared" si="91"/>
        <v>0</v>
      </c>
      <c r="AZ96" s="712">
        <f>AX96</f>
        <v>0</v>
      </c>
      <c r="BA96" s="712">
        <f t="shared" si="91"/>
        <v>0</v>
      </c>
      <c r="BB96" s="712">
        <f t="shared" si="91"/>
        <v>0</v>
      </c>
      <c r="BC96" s="712">
        <f t="shared" si="91"/>
        <v>0</v>
      </c>
      <c r="BD96" s="715">
        <f t="shared" si="91"/>
        <v>0</v>
      </c>
      <c r="BE96" s="712">
        <f>BC96</f>
        <v>0</v>
      </c>
      <c r="BF96" s="712">
        <f t="shared" si="92"/>
        <v>0</v>
      </c>
      <c r="BG96" s="712">
        <f t="shared" si="92"/>
        <v>0</v>
      </c>
      <c r="BH96" s="712">
        <f t="shared" si="92"/>
        <v>0</v>
      </c>
      <c r="BI96" s="715">
        <f t="shared" si="92"/>
        <v>0</v>
      </c>
      <c r="BJ96" s="712">
        <f>BH96</f>
        <v>0</v>
      </c>
      <c r="BK96" s="712">
        <f t="shared" si="93"/>
        <v>0</v>
      </c>
      <c r="BL96" s="712">
        <f t="shared" si="93"/>
        <v>0</v>
      </c>
      <c r="BM96" s="712">
        <f t="shared" si="93"/>
        <v>0</v>
      </c>
      <c r="BN96" s="715">
        <f t="shared" si="93"/>
        <v>0</v>
      </c>
      <c r="BO96" s="712">
        <f>BM96</f>
        <v>0</v>
      </c>
      <c r="BP96" s="712">
        <f t="shared" si="93"/>
        <v>0</v>
      </c>
      <c r="BQ96" s="712">
        <f t="shared" si="93"/>
        <v>0</v>
      </c>
      <c r="BR96" s="712">
        <f t="shared" si="93"/>
        <v>0</v>
      </c>
      <c r="BS96" s="715">
        <f t="shared" si="93"/>
        <v>0</v>
      </c>
      <c r="BT96" s="712">
        <f>BR96</f>
        <v>0</v>
      </c>
      <c r="BU96" s="712">
        <f t="shared" si="93"/>
        <v>0</v>
      </c>
      <c r="BV96" s="712">
        <f t="shared" si="93"/>
        <v>0</v>
      </c>
      <c r="BW96" s="712">
        <f t="shared" si="93"/>
        <v>0</v>
      </c>
      <c r="BX96" s="715">
        <f t="shared" si="93"/>
        <v>0</v>
      </c>
      <c r="BY96" s="712">
        <f>BW96</f>
        <v>0</v>
      </c>
      <c r="BZ96" s="712">
        <f t="shared" si="93"/>
        <v>0</v>
      </c>
      <c r="CA96" s="712">
        <f t="shared" si="94"/>
        <v>0</v>
      </c>
      <c r="CB96" s="712">
        <f t="shared" si="94"/>
        <v>0</v>
      </c>
      <c r="CC96" s="715">
        <f t="shared" si="94"/>
        <v>0</v>
      </c>
      <c r="CD96" s="712">
        <f>CB96</f>
        <v>0</v>
      </c>
      <c r="CE96" s="712">
        <f t="shared" si="95"/>
        <v>0</v>
      </c>
      <c r="CF96" s="712">
        <f t="shared" si="95"/>
        <v>0</v>
      </c>
      <c r="CG96" s="712">
        <v>1356.375</v>
      </c>
      <c r="CH96" s="715">
        <f>CG96</f>
        <v>1356.375</v>
      </c>
      <c r="CI96" s="712">
        <v>1363.2760000000001</v>
      </c>
      <c r="CJ96" s="712">
        <v>1370.249</v>
      </c>
      <c r="CK96" s="712">
        <v>1377.259</v>
      </c>
      <c r="CL96" s="712">
        <v>1384.3420000000001</v>
      </c>
      <c r="CM96" s="715">
        <f>CL96</f>
        <v>1384.3420000000001</v>
      </c>
      <c r="CN96" s="712">
        <v>1391</v>
      </c>
      <c r="CO96" s="712">
        <v>1399</v>
      </c>
      <c r="CP96" s="712">
        <v>1406</v>
      </c>
      <c r="CQ96" s="712">
        <f>1413+87</f>
        <v>1500</v>
      </c>
      <c r="CR96" s="715">
        <f>CQ96</f>
        <v>1500</v>
      </c>
      <c r="CS96" s="712">
        <f>1421+79</f>
        <v>1500</v>
      </c>
      <c r="CT96" s="712">
        <f>1428+72</f>
        <v>1500</v>
      </c>
      <c r="CU96" s="712">
        <f>1011+45</f>
        <v>1056</v>
      </c>
      <c r="CV96" s="712">
        <f>796+31</f>
        <v>827</v>
      </c>
      <c r="CW96" s="715">
        <f>CV96</f>
        <v>827</v>
      </c>
      <c r="CX96" s="712">
        <f>215+7</f>
        <v>222</v>
      </c>
      <c r="CY96" s="712">
        <f>84+2</f>
        <v>86</v>
      </c>
      <c r="CZ96" s="712">
        <v>23</v>
      </c>
      <c r="DA96" s="712">
        <v>0</v>
      </c>
      <c r="DB96" s="715">
        <f>DA96</f>
        <v>0</v>
      </c>
      <c r="DC96" s="712">
        <v>0</v>
      </c>
      <c r="DD96" s="712">
        <v>0</v>
      </c>
      <c r="DE96" s="712">
        <v>0</v>
      </c>
      <c r="DF96" s="712">
        <v>0</v>
      </c>
      <c r="DG96" s="715">
        <f>DF96</f>
        <v>0</v>
      </c>
      <c r="DH96" s="712">
        <f>DF96</f>
        <v>0</v>
      </c>
      <c r="DI96" s="712">
        <v>0</v>
      </c>
      <c r="DJ96" s="712">
        <f t="shared" si="96"/>
        <v>0</v>
      </c>
      <c r="DK96" s="712">
        <f t="shared" si="96"/>
        <v>0</v>
      </c>
      <c r="DL96" s="715">
        <f t="shared" si="96"/>
        <v>0</v>
      </c>
      <c r="DM96" s="712">
        <f>DK96</f>
        <v>0</v>
      </c>
      <c r="DN96" s="712">
        <f t="shared" si="97"/>
        <v>0</v>
      </c>
      <c r="DO96" s="712">
        <f t="shared" si="97"/>
        <v>0</v>
      </c>
      <c r="DP96" s="712">
        <f t="shared" si="97"/>
        <v>0</v>
      </c>
      <c r="DQ96" s="715">
        <f t="shared" si="97"/>
        <v>0</v>
      </c>
      <c r="DR96" s="712">
        <f>DP96</f>
        <v>0</v>
      </c>
      <c r="DS96" s="712">
        <f t="shared" si="97"/>
        <v>0</v>
      </c>
      <c r="DT96" s="712">
        <f t="shared" si="97"/>
        <v>0</v>
      </c>
      <c r="DU96" s="712">
        <f t="shared" si="97"/>
        <v>0</v>
      </c>
      <c r="DV96" s="715">
        <f>DU96</f>
        <v>0</v>
      </c>
      <c r="DW96" s="712">
        <f>DU96</f>
        <v>0</v>
      </c>
      <c r="DX96" s="712">
        <f t="shared" si="98"/>
        <v>0</v>
      </c>
      <c r="DY96" s="712">
        <f t="shared" si="98"/>
        <v>0</v>
      </c>
      <c r="DZ96" s="712">
        <f t="shared" si="98"/>
        <v>0</v>
      </c>
      <c r="EA96" s="715">
        <f>DZ96</f>
        <v>0</v>
      </c>
      <c r="EB96" s="712">
        <f t="shared" si="98"/>
        <v>0</v>
      </c>
      <c r="EC96" s="712">
        <f t="shared" si="98"/>
        <v>0</v>
      </c>
      <c r="ED96" s="712">
        <f t="shared" si="98"/>
        <v>0</v>
      </c>
      <c r="EE96" s="712">
        <f t="shared" si="98"/>
        <v>0</v>
      </c>
      <c r="EF96" s="715">
        <f>EE96</f>
        <v>0</v>
      </c>
      <c r="EG96" s="712">
        <f t="shared" si="98"/>
        <v>0</v>
      </c>
      <c r="EH96" s="712">
        <f t="shared" si="98"/>
        <v>0</v>
      </c>
      <c r="EI96" s="712">
        <f t="shared" si="98"/>
        <v>0</v>
      </c>
      <c r="EJ96" s="712">
        <f t="shared" si="98"/>
        <v>0</v>
      </c>
      <c r="EK96" s="715">
        <f>EJ96</f>
        <v>0</v>
      </c>
      <c r="EL96" s="712">
        <f t="shared" si="98"/>
        <v>0</v>
      </c>
      <c r="EM96" s="712">
        <f t="shared" si="98"/>
        <v>0</v>
      </c>
      <c r="EN96" s="712">
        <f t="shared" si="99"/>
        <v>0</v>
      </c>
      <c r="EO96" s="712">
        <f t="shared" si="99"/>
        <v>0</v>
      </c>
      <c r="EP96" s="715">
        <f>EO96</f>
        <v>0</v>
      </c>
      <c r="EQ96" s="712">
        <f t="shared" si="99"/>
        <v>0</v>
      </c>
      <c r="ER96" s="712">
        <f t="shared" si="99"/>
        <v>0</v>
      </c>
      <c r="ES96" s="712">
        <f t="shared" si="99"/>
        <v>0</v>
      </c>
      <c r="ET96" s="712">
        <f t="shared" si="99"/>
        <v>0</v>
      </c>
      <c r="EU96" s="715">
        <f t="shared" si="99"/>
        <v>0</v>
      </c>
      <c r="EV96" s="712">
        <f>ET96</f>
        <v>0</v>
      </c>
      <c r="EW96" s="712">
        <f t="shared" si="100"/>
        <v>0</v>
      </c>
      <c r="EX96" s="712">
        <f t="shared" si="100"/>
        <v>0</v>
      </c>
      <c r="EY96" s="712">
        <f t="shared" si="100"/>
        <v>0</v>
      </c>
      <c r="EZ96" s="715">
        <f t="shared" si="100"/>
        <v>0</v>
      </c>
      <c r="FA96" s="712">
        <f>EY96</f>
        <v>0</v>
      </c>
      <c r="FB96" s="712">
        <f t="shared" si="101"/>
        <v>0</v>
      </c>
      <c r="FC96" s="712">
        <f t="shared" si="101"/>
        <v>0</v>
      </c>
      <c r="FD96" s="712">
        <f t="shared" si="101"/>
        <v>0</v>
      </c>
      <c r="FE96" s="715">
        <f t="shared" si="101"/>
        <v>0</v>
      </c>
      <c r="FF96" s="712">
        <f>FD96</f>
        <v>0</v>
      </c>
      <c r="FG96" s="712">
        <f t="shared" si="102"/>
        <v>0</v>
      </c>
      <c r="FH96" s="712">
        <f t="shared" si="102"/>
        <v>0</v>
      </c>
      <c r="FI96" s="712">
        <f t="shared" si="102"/>
        <v>0</v>
      </c>
      <c r="FJ96" s="715">
        <f t="shared" si="102"/>
        <v>0</v>
      </c>
      <c r="FK96" s="712">
        <f>FI96</f>
        <v>0</v>
      </c>
      <c r="FL96" s="712">
        <f t="shared" si="103"/>
        <v>0</v>
      </c>
      <c r="FM96" s="712">
        <f t="shared" si="103"/>
        <v>0</v>
      </c>
      <c r="FN96" s="712">
        <f t="shared" si="103"/>
        <v>0</v>
      </c>
      <c r="FO96" s="715">
        <f t="shared" si="103"/>
        <v>0</v>
      </c>
      <c r="FP96" s="715"/>
      <c r="FQ96" s="186"/>
    </row>
    <row r="97" spans="1:173">
      <c r="A97" s="171" t="s">
        <v>449</v>
      </c>
      <c r="B97" s="665"/>
      <c r="C97" s="665"/>
      <c r="D97" s="665"/>
      <c r="E97" s="665"/>
      <c r="F97" s="665"/>
      <c r="G97" s="665"/>
      <c r="H97" s="665"/>
      <c r="I97" s="665"/>
      <c r="J97" s="665"/>
      <c r="K97" s="714"/>
      <c r="L97" s="199">
        <v>0</v>
      </c>
      <c r="M97" s="199">
        <v>6</v>
      </c>
      <c r="N97" s="199">
        <v>5.75</v>
      </c>
      <c r="O97" s="199">
        <v>0.5</v>
      </c>
      <c r="P97" s="715">
        <f>O97</f>
        <v>0.5</v>
      </c>
      <c r="Q97" s="199">
        <v>0.25</v>
      </c>
      <c r="R97" s="199">
        <v>0</v>
      </c>
      <c r="S97" s="199">
        <v>0</v>
      </c>
      <c r="T97" s="199">
        <v>0</v>
      </c>
      <c r="U97" s="715">
        <f>T97</f>
        <v>0</v>
      </c>
      <c r="V97" s="199">
        <v>0</v>
      </c>
      <c r="W97" s="199">
        <v>0</v>
      </c>
      <c r="X97" s="199">
        <v>0</v>
      </c>
      <c r="Y97" s="199">
        <v>0</v>
      </c>
      <c r="Z97" s="715">
        <f>Y97</f>
        <v>0</v>
      </c>
      <c r="AA97" s="199">
        <v>0</v>
      </c>
      <c r="AB97" s="199">
        <v>0</v>
      </c>
      <c r="AC97" s="199">
        <v>0</v>
      </c>
      <c r="AD97" s="199">
        <v>0</v>
      </c>
      <c r="AE97" s="715">
        <f>AD97</f>
        <v>0</v>
      </c>
      <c r="AF97" s="199">
        <v>6</v>
      </c>
      <c r="AG97" s="199">
        <v>4.5</v>
      </c>
      <c r="AH97" s="199">
        <f>4.582</f>
        <v>4.5819999999999999</v>
      </c>
      <c r="AI97" s="199">
        <v>4.5819999999999999</v>
      </c>
      <c r="AJ97" s="715">
        <f>AI97</f>
        <v>4.5819999999999999</v>
      </c>
      <c r="AK97" s="199">
        <v>4.5819999999999999</v>
      </c>
      <c r="AL97" s="199">
        <v>3.0819999999999999</v>
      </c>
      <c r="AM97" s="199">
        <v>7.4829999999999997</v>
      </c>
      <c r="AN97" s="199">
        <v>8.3580000000000005</v>
      </c>
      <c r="AO97" s="715">
        <f>AN97</f>
        <v>8.3580000000000005</v>
      </c>
      <c r="AP97" s="199">
        <v>8.2330000000000005</v>
      </c>
      <c r="AQ97" s="712">
        <v>6.7329999999999997</v>
      </c>
      <c r="AR97" s="712">
        <v>8.1460000000000008</v>
      </c>
      <c r="AS97" s="712">
        <v>10.624000000000001</v>
      </c>
      <c r="AT97" s="715">
        <f>AS97</f>
        <v>10.624000000000001</v>
      </c>
      <c r="AU97" s="712">
        <v>0</v>
      </c>
      <c r="AV97" s="712">
        <v>0</v>
      </c>
      <c r="AW97" s="712">
        <v>0</v>
      </c>
      <c r="AX97" s="712">
        <f t="shared" si="91"/>
        <v>0</v>
      </c>
      <c r="AY97" s="715">
        <f t="shared" si="91"/>
        <v>0</v>
      </c>
      <c r="AZ97" s="712">
        <f>AX97</f>
        <v>0</v>
      </c>
      <c r="BA97" s="712">
        <f t="shared" si="91"/>
        <v>0</v>
      </c>
      <c r="BB97" s="712">
        <f t="shared" si="91"/>
        <v>0</v>
      </c>
      <c r="BC97" s="712">
        <f t="shared" si="91"/>
        <v>0</v>
      </c>
      <c r="BD97" s="715">
        <f t="shared" si="91"/>
        <v>0</v>
      </c>
      <c r="BE97" s="712">
        <f>BC97</f>
        <v>0</v>
      </c>
      <c r="BF97" s="712">
        <f t="shared" si="92"/>
        <v>0</v>
      </c>
      <c r="BG97" s="712">
        <f t="shared" si="92"/>
        <v>0</v>
      </c>
      <c r="BH97" s="712">
        <f t="shared" si="92"/>
        <v>0</v>
      </c>
      <c r="BI97" s="715">
        <f t="shared" si="92"/>
        <v>0</v>
      </c>
      <c r="BJ97" s="712">
        <f>BH97</f>
        <v>0</v>
      </c>
      <c r="BK97" s="712">
        <f t="shared" si="93"/>
        <v>0</v>
      </c>
      <c r="BL97" s="712">
        <f t="shared" si="93"/>
        <v>0</v>
      </c>
      <c r="BM97" s="712">
        <f t="shared" si="93"/>
        <v>0</v>
      </c>
      <c r="BN97" s="715">
        <f t="shared" si="93"/>
        <v>0</v>
      </c>
      <c r="BO97" s="712">
        <f>BM97</f>
        <v>0</v>
      </c>
      <c r="BP97" s="712">
        <f t="shared" si="93"/>
        <v>0</v>
      </c>
      <c r="BQ97" s="712">
        <f t="shared" si="93"/>
        <v>0</v>
      </c>
      <c r="BR97" s="712">
        <f t="shared" si="93"/>
        <v>0</v>
      </c>
      <c r="BS97" s="715">
        <f t="shared" si="93"/>
        <v>0</v>
      </c>
      <c r="BT97" s="712">
        <f>BR97</f>
        <v>0</v>
      </c>
      <c r="BU97" s="712">
        <f t="shared" si="93"/>
        <v>0</v>
      </c>
      <c r="BV97" s="712">
        <f t="shared" si="93"/>
        <v>0</v>
      </c>
      <c r="BW97" s="712">
        <f t="shared" si="93"/>
        <v>0</v>
      </c>
      <c r="BX97" s="715">
        <f t="shared" si="93"/>
        <v>0</v>
      </c>
      <c r="BY97" s="712">
        <f>BW97</f>
        <v>0</v>
      </c>
      <c r="BZ97" s="712">
        <f t="shared" si="93"/>
        <v>0</v>
      </c>
      <c r="CA97" s="712">
        <f t="shared" si="94"/>
        <v>0</v>
      </c>
      <c r="CB97" s="712">
        <f t="shared" si="94"/>
        <v>0</v>
      </c>
      <c r="CC97" s="715">
        <f t="shared" si="94"/>
        <v>0</v>
      </c>
      <c r="CD97" s="712">
        <f>CB97</f>
        <v>0</v>
      </c>
      <c r="CE97" s="712">
        <f t="shared" si="95"/>
        <v>0</v>
      </c>
      <c r="CF97" s="712">
        <f t="shared" si="95"/>
        <v>0</v>
      </c>
      <c r="CG97" s="712">
        <f>CF97</f>
        <v>0</v>
      </c>
      <c r="CH97" s="715">
        <f>CG97</f>
        <v>0</v>
      </c>
      <c r="CI97" s="712">
        <f>CG97</f>
        <v>0</v>
      </c>
      <c r="CJ97" s="712">
        <f>CI97</f>
        <v>0</v>
      </c>
      <c r="CK97" s="712">
        <f>CJ97</f>
        <v>0</v>
      </c>
      <c r="CL97" s="712">
        <f>CK97</f>
        <v>0</v>
      </c>
      <c r="CM97" s="715">
        <f>CL97</f>
        <v>0</v>
      </c>
      <c r="CN97" s="712">
        <f>CL97</f>
        <v>0</v>
      </c>
      <c r="CO97" s="712">
        <f>CN97</f>
        <v>0</v>
      </c>
      <c r="CP97" s="712">
        <f>CO97</f>
        <v>0</v>
      </c>
      <c r="CQ97" s="712">
        <f>CP97</f>
        <v>0</v>
      </c>
      <c r="CR97" s="715">
        <f>CQ97</f>
        <v>0</v>
      </c>
      <c r="CS97" s="712">
        <f>CQ97</f>
        <v>0</v>
      </c>
      <c r="CT97" s="712">
        <f>CS97</f>
        <v>0</v>
      </c>
      <c r="CU97" s="712">
        <v>1982</v>
      </c>
      <c r="CV97" s="712">
        <v>1983</v>
      </c>
      <c r="CW97" s="715">
        <f>CV97</f>
        <v>1983</v>
      </c>
      <c r="CX97" s="712">
        <f>1984</f>
        <v>1984</v>
      </c>
      <c r="CY97" s="712">
        <v>1984</v>
      </c>
      <c r="CZ97" s="712">
        <v>1985</v>
      </c>
      <c r="DA97" s="712">
        <v>1985</v>
      </c>
      <c r="DB97" s="715">
        <f>DA97</f>
        <v>1985</v>
      </c>
      <c r="DC97" s="712">
        <v>1986</v>
      </c>
      <c r="DD97" s="712">
        <v>1987</v>
      </c>
      <c r="DE97" s="712">
        <v>1987</v>
      </c>
      <c r="DF97" s="712">
        <v>1988</v>
      </c>
      <c r="DG97" s="715">
        <f>DF97</f>
        <v>1988</v>
      </c>
      <c r="DH97" s="712">
        <v>1988</v>
      </c>
      <c r="DI97" s="712">
        <v>1989</v>
      </c>
      <c r="DJ97" s="712">
        <v>1990</v>
      </c>
      <c r="DK97" s="712">
        <v>1991</v>
      </c>
      <c r="DL97" s="715">
        <f t="shared" si="96"/>
        <v>1991</v>
      </c>
      <c r="DM97" s="712">
        <v>6959</v>
      </c>
      <c r="DN97" s="712">
        <v>6960</v>
      </c>
      <c r="DO97" s="712">
        <v>5963</v>
      </c>
      <c r="DP97" s="712">
        <v>5964</v>
      </c>
      <c r="DQ97" s="715">
        <f t="shared" si="97"/>
        <v>5964</v>
      </c>
      <c r="DR97" s="712">
        <v>5964</v>
      </c>
      <c r="DS97" s="712">
        <v>10943</v>
      </c>
      <c r="DT97" s="712">
        <v>10944</v>
      </c>
      <c r="DU97" s="712">
        <v>10946</v>
      </c>
      <c r="DV97" s="715">
        <f>DU97</f>
        <v>10946</v>
      </c>
      <c r="DW97" s="712">
        <v>10947</v>
      </c>
      <c r="DX97" s="712">
        <v>9700</v>
      </c>
      <c r="DY97" s="712">
        <v>9701</v>
      </c>
      <c r="DZ97" s="712">
        <v>9703</v>
      </c>
      <c r="EA97" s="715">
        <f>DZ97</f>
        <v>9703</v>
      </c>
      <c r="EB97" s="712">
        <v>9704</v>
      </c>
      <c r="EC97" s="712">
        <v>8456</v>
      </c>
      <c r="ED97" s="712">
        <v>8457</v>
      </c>
      <c r="EE97" s="712">
        <v>8459</v>
      </c>
      <c r="EF97" s="715">
        <f>EE97</f>
        <v>8459</v>
      </c>
      <c r="EG97" s="712">
        <v>8460</v>
      </c>
      <c r="EH97" s="712">
        <v>8461</v>
      </c>
      <c r="EI97" s="712">
        <v>8462</v>
      </c>
      <c r="EJ97" s="712">
        <v>8463</v>
      </c>
      <c r="EK97" s="715">
        <f>EJ97</f>
        <v>8463</v>
      </c>
      <c r="EL97" s="712">
        <v>8464</v>
      </c>
      <c r="EM97" s="712">
        <v>8466</v>
      </c>
      <c r="EN97" s="712">
        <v>7468</v>
      </c>
      <c r="EO97" s="712">
        <v>7469</v>
      </c>
      <c r="EP97" s="715">
        <f>EO97</f>
        <v>7469</v>
      </c>
      <c r="EQ97" s="712">
        <v>7470</v>
      </c>
      <c r="ER97" s="712">
        <f t="shared" si="99"/>
        <v>7470</v>
      </c>
      <c r="ES97" s="712">
        <f t="shared" si="99"/>
        <v>7470</v>
      </c>
      <c r="ET97" s="712">
        <f t="shared" si="99"/>
        <v>7470</v>
      </c>
      <c r="EU97" s="715">
        <f t="shared" si="99"/>
        <v>7470</v>
      </c>
      <c r="EV97" s="712">
        <f>ET97</f>
        <v>7470</v>
      </c>
      <c r="EW97" s="712">
        <f t="shared" si="100"/>
        <v>7470</v>
      </c>
      <c r="EX97" s="712">
        <f t="shared" si="100"/>
        <v>7470</v>
      </c>
      <c r="EY97" s="712">
        <f t="shared" si="100"/>
        <v>7470</v>
      </c>
      <c r="EZ97" s="715">
        <f t="shared" si="100"/>
        <v>7470</v>
      </c>
      <c r="FA97" s="712">
        <f>EY97</f>
        <v>7470</v>
      </c>
      <c r="FB97" s="712">
        <f t="shared" si="101"/>
        <v>7470</v>
      </c>
      <c r="FC97" s="712">
        <f t="shared" si="101"/>
        <v>7470</v>
      </c>
      <c r="FD97" s="712">
        <f t="shared" si="101"/>
        <v>7470</v>
      </c>
      <c r="FE97" s="715">
        <f t="shared" si="101"/>
        <v>7470</v>
      </c>
      <c r="FF97" s="712">
        <f>FD97</f>
        <v>7470</v>
      </c>
      <c r="FG97" s="712">
        <f t="shared" si="102"/>
        <v>7470</v>
      </c>
      <c r="FH97" s="712">
        <f t="shared" si="102"/>
        <v>7470</v>
      </c>
      <c r="FI97" s="712">
        <f t="shared" si="102"/>
        <v>7470</v>
      </c>
      <c r="FJ97" s="715">
        <f t="shared" si="102"/>
        <v>7470</v>
      </c>
      <c r="FK97" s="712">
        <f>FI97</f>
        <v>7470</v>
      </c>
      <c r="FL97" s="712">
        <f t="shared" si="103"/>
        <v>7470</v>
      </c>
      <c r="FM97" s="712">
        <f t="shared" si="103"/>
        <v>7470</v>
      </c>
      <c r="FN97" s="712">
        <f t="shared" si="103"/>
        <v>7470</v>
      </c>
      <c r="FO97" s="715">
        <f t="shared" si="103"/>
        <v>7470</v>
      </c>
      <c r="FP97" s="715"/>
      <c r="FQ97" s="193"/>
    </row>
    <row r="98" spans="1:173">
      <c r="A98" s="171" t="s">
        <v>450</v>
      </c>
      <c r="B98" s="665"/>
      <c r="C98" s="665"/>
      <c r="D98" s="665"/>
      <c r="E98" s="665"/>
      <c r="F98" s="665"/>
      <c r="G98" s="665"/>
      <c r="H98" s="665"/>
      <c r="I98" s="665"/>
      <c r="J98" s="665"/>
      <c r="K98" s="714"/>
      <c r="L98" s="199">
        <v>0</v>
      </c>
      <c r="M98" s="199">
        <v>0</v>
      </c>
      <c r="N98" s="199">
        <v>0</v>
      </c>
      <c r="O98" s="199">
        <v>0</v>
      </c>
      <c r="P98" s="715">
        <f>O98</f>
        <v>0</v>
      </c>
      <c r="Q98" s="199">
        <v>200</v>
      </c>
      <c r="R98" s="199">
        <v>200</v>
      </c>
      <c r="S98" s="199">
        <v>200</v>
      </c>
      <c r="T98" s="199">
        <v>200</v>
      </c>
      <c r="U98" s="715">
        <f>T98</f>
        <v>200</v>
      </c>
      <c r="V98" s="199">
        <v>200</v>
      </c>
      <c r="W98" s="199">
        <v>197.864</v>
      </c>
      <c r="X98" s="199">
        <v>143.18100000000001</v>
      </c>
      <c r="Y98" s="199">
        <v>70.192999999999998</v>
      </c>
      <c r="Z98" s="715">
        <f>Y98</f>
        <v>70.192999999999998</v>
      </c>
      <c r="AA98" s="199">
        <v>49.369</v>
      </c>
      <c r="AB98" s="199">
        <v>62.42</v>
      </c>
      <c r="AC98" s="199">
        <v>63.494999999999997</v>
      </c>
      <c r="AD98" s="199">
        <v>0</v>
      </c>
      <c r="AE98" s="715">
        <f>AD98</f>
        <v>0</v>
      </c>
      <c r="AF98" s="199">
        <v>0</v>
      </c>
      <c r="AG98" s="199">
        <v>0</v>
      </c>
      <c r="AH98" s="199">
        <v>6.38</v>
      </c>
      <c r="AI98" s="199">
        <v>8.609</v>
      </c>
      <c r="AJ98" s="715">
        <f>AI98</f>
        <v>8.609</v>
      </c>
      <c r="AK98" s="199">
        <v>8.609</v>
      </c>
      <c r="AL98" s="199">
        <v>8.609</v>
      </c>
      <c r="AM98" s="199">
        <f>8.609</f>
        <v>8.609</v>
      </c>
      <c r="AN98" s="199">
        <f>20.754</f>
        <v>20.754000000000001</v>
      </c>
      <c r="AO98" s="715">
        <f>AN98</f>
        <v>20.754000000000001</v>
      </c>
      <c r="AP98" s="199">
        <f>20.754</f>
        <v>20.754000000000001</v>
      </c>
      <c r="AQ98" s="712">
        <f>20.754</f>
        <v>20.754000000000001</v>
      </c>
      <c r="AR98" s="712">
        <v>20.754000000000001</v>
      </c>
      <c r="AS98" s="712">
        <v>8.26</v>
      </c>
      <c r="AT98" s="715">
        <f>AS98</f>
        <v>8.26</v>
      </c>
      <c r="AU98" s="712">
        <v>17.681999999999999</v>
      </c>
      <c r="AV98" s="712">
        <v>24.236999999999998</v>
      </c>
      <c r="AW98" s="712">
        <f>27.667+0.34</f>
        <v>28.007000000000001</v>
      </c>
      <c r="AX98" s="712">
        <v>29.536999999999999</v>
      </c>
      <c r="AY98" s="715">
        <f t="shared" si="91"/>
        <v>29.536999999999999</v>
      </c>
      <c r="AZ98" s="712">
        <v>81.106999999999999</v>
      </c>
      <c r="BA98" s="712">
        <v>95.191000000000003</v>
      </c>
      <c r="BB98" s="712">
        <v>140.89500000000001</v>
      </c>
      <c r="BC98" s="712">
        <v>162.59800000000001</v>
      </c>
      <c r="BD98" s="715">
        <f t="shared" si="91"/>
        <v>162.59800000000001</v>
      </c>
      <c r="BE98" s="712">
        <v>193.72800000000001</v>
      </c>
      <c r="BF98" s="712">
        <v>162.11799999999999</v>
      </c>
      <c r="BG98" s="712">
        <v>157.358</v>
      </c>
      <c r="BH98" s="712">
        <f>151.85+25.634</f>
        <v>177.48399999999998</v>
      </c>
      <c r="BI98" s="715">
        <f t="shared" si="92"/>
        <v>177.48399999999998</v>
      </c>
      <c r="BJ98" s="712">
        <f>132.305+25.351</f>
        <v>157.65600000000001</v>
      </c>
      <c r="BK98" s="712">
        <f>134.619+25.06</f>
        <v>159.679</v>
      </c>
      <c r="BL98" s="712">
        <f>126.373+24.76</f>
        <v>151.13300000000001</v>
      </c>
      <c r="BM98" s="712">
        <f>111.95+24.45</f>
        <v>136.4</v>
      </c>
      <c r="BN98" s="715">
        <f t="shared" si="94"/>
        <v>136.4</v>
      </c>
      <c r="BO98" s="712">
        <f>152.994+24.098</f>
        <v>177.09199999999998</v>
      </c>
      <c r="BP98" s="712">
        <f>127.881+23.734</f>
        <v>151.61500000000001</v>
      </c>
      <c r="BQ98" s="712">
        <f>177.851+23.359</f>
        <v>201.21</v>
      </c>
      <c r="BR98" s="712">
        <f>347.713+23.389</f>
        <v>371.10200000000003</v>
      </c>
      <c r="BS98" s="715">
        <f t="shared" si="94"/>
        <v>371.10200000000003</v>
      </c>
      <c r="BT98" s="712">
        <f>284.813+22.957</f>
        <v>307.77</v>
      </c>
      <c r="BU98" s="712">
        <f>241.353+22.493</f>
        <v>263.846</v>
      </c>
      <c r="BV98" s="712">
        <f>206.96+21.949</f>
        <v>228.90900000000002</v>
      </c>
      <c r="BW98" s="712">
        <f>455.807+21.439</f>
        <v>477.24600000000004</v>
      </c>
      <c r="BX98" s="715">
        <f t="shared" si="94"/>
        <v>477.24600000000004</v>
      </c>
      <c r="BY98" s="712">
        <f>452.505+20.83</f>
        <v>473.33499999999998</v>
      </c>
      <c r="BZ98" s="712">
        <f>396.019+20.237</f>
        <v>416.25600000000003</v>
      </c>
      <c r="CA98" s="712">
        <f>341.312+19.627</f>
        <v>360.93900000000002</v>
      </c>
      <c r="CB98" s="712">
        <f>589.321+18.998</f>
        <v>608.31900000000007</v>
      </c>
      <c r="CC98" s="715">
        <f>CB98</f>
        <v>608.31900000000007</v>
      </c>
      <c r="CD98" s="712">
        <f>511.433+18.333</f>
        <v>529.76599999999996</v>
      </c>
      <c r="CE98" s="712">
        <f>443.943+17.685</f>
        <v>461.62799999999999</v>
      </c>
      <c r="CF98" s="712">
        <f>387.784+17.015</f>
        <v>404.79899999999998</v>
      </c>
      <c r="CG98" s="712">
        <f>475.125+17.5</f>
        <v>492.625</v>
      </c>
      <c r="CH98" s="715">
        <f>CG98</f>
        <v>492.625</v>
      </c>
      <c r="CI98" s="712">
        <f>419.774+16.683</f>
        <v>436.45699999999999</v>
      </c>
      <c r="CJ98" s="712">
        <f>374.113+15.842</f>
        <v>389.95499999999998</v>
      </c>
      <c r="CK98" s="712">
        <f>355.133+14.977</f>
        <v>370.10999999999996</v>
      </c>
      <c r="CL98" s="712">
        <f>488.928+14.086</f>
        <v>503.01400000000001</v>
      </c>
      <c r="CM98" s="715">
        <f>CL98</f>
        <v>503.01400000000001</v>
      </c>
      <c r="CN98" s="712">
        <f>448+13</f>
        <v>461</v>
      </c>
      <c r="CO98" s="712">
        <f>447+12</f>
        <v>459</v>
      </c>
      <c r="CP98" s="712">
        <f>437+11</f>
        <v>448</v>
      </c>
      <c r="CQ98" s="712">
        <f>453+10</f>
        <v>463</v>
      </c>
      <c r="CR98" s="715">
        <f>CQ98</f>
        <v>463</v>
      </c>
      <c r="CS98" s="712">
        <f>447+9</f>
        <v>456</v>
      </c>
      <c r="CT98" s="712">
        <f>494+8</f>
        <v>502</v>
      </c>
      <c r="CU98" s="712">
        <f>213+7</f>
        <v>220</v>
      </c>
      <c r="CV98" s="712">
        <f>271+6</f>
        <v>277</v>
      </c>
      <c r="CW98" s="715">
        <f>CV98</f>
        <v>277</v>
      </c>
      <c r="CX98" s="712">
        <f>300+4</f>
        <v>304</v>
      </c>
      <c r="CY98" s="712">
        <f>408+3</f>
        <v>411</v>
      </c>
      <c r="CZ98" s="712">
        <f>464+1</f>
        <v>465</v>
      </c>
      <c r="DA98" s="712">
        <v>632</v>
      </c>
      <c r="DB98" s="715">
        <f>DA98</f>
        <v>632</v>
      </c>
      <c r="DC98" s="712">
        <v>651</v>
      </c>
      <c r="DD98" s="712">
        <v>638</v>
      </c>
      <c r="DE98" s="712">
        <v>587</v>
      </c>
      <c r="DF98" s="712">
        <v>633</v>
      </c>
      <c r="DG98" s="715">
        <f>DF98</f>
        <v>633</v>
      </c>
      <c r="DH98" s="712">
        <f>486+660</f>
        <v>1146</v>
      </c>
      <c r="DI98" s="712">
        <f>483+650</f>
        <v>1133</v>
      </c>
      <c r="DJ98" s="712">
        <f>469+662</f>
        <v>1131</v>
      </c>
      <c r="DK98" s="712">
        <f>561+775</f>
        <v>1336</v>
      </c>
      <c r="DL98" s="715">
        <f t="shared" si="96"/>
        <v>1336</v>
      </c>
      <c r="DM98" s="712">
        <f>519+774</f>
        <v>1293</v>
      </c>
      <c r="DN98" s="712">
        <f>611+1285</f>
        <v>1896</v>
      </c>
      <c r="DO98" s="712">
        <f>604+1311</f>
        <v>1915</v>
      </c>
      <c r="DP98" s="712">
        <f>634+1375</f>
        <v>2009</v>
      </c>
      <c r="DQ98" s="715">
        <f t="shared" si="97"/>
        <v>2009</v>
      </c>
      <c r="DR98" s="712">
        <f>640+1414</f>
        <v>2054</v>
      </c>
      <c r="DS98" s="712">
        <f>716+1396</f>
        <v>2112</v>
      </c>
      <c r="DT98" s="712">
        <f>743+1535</f>
        <v>2278</v>
      </c>
      <c r="DU98" s="712">
        <f>741+1553</f>
        <v>2294</v>
      </c>
      <c r="DV98" s="715">
        <f>DU98</f>
        <v>2294</v>
      </c>
      <c r="DW98" s="712">
        <f>752+1631</f>
        <v>2383</v>
      </c>
      <c r="DX98" s="712">
        <f>743+1609</f>
        <v>2352</v>
      </c>
      <c r="DY98" s="712">
        <f>798+1785</f>
        <v>2583</v>
      </c>
      <c r="DZ98" s="712">
        <f>902+1913</f>
        <v>2815</v>
      </c>
      <c r="EA98" s="715">
        <f>DZ98</f>
        <v>2815</v>
      </c>
      <c r="EB98" s="712">
        <f>939+2037</f>
        <v>2976</v>
      </c>
      <c r="EC98" s="712">
        <f>1041+2223</f>
        <v>3264</v>
      </c>
      <c r="ED98" s="712">
        <f>1091+2234</f>
        <v>3325</v>
      </c>
      <c r="EE98" s="712">
        <f>1119+2541</f>
        <v>3660</v>
      </c>
      <c r="EF98" s="715">
        <f>EE98</f>
        <v>3660</v>
      </c>
      <c r="EG98" s="712">
        <f>1281+2966</f>
        <v>4247</v>
      </c>
      <c r="EH98" s="712">
        <f>1304+3336</f>
        <v>4640</v>
      </c>
      <c r="EI98" s="712">
        <f>1490+3683</f>
        <v>5173</v>
      </c>
      <c r="EJ98" s="712">
        <f>1519+4245</f>
        <v>5764</v>
      </c>
      <c r="EK98" s="715">
        <f>EJ98</f>
        <v>5764</v>
      </c>
      <c r="EL98" s="712">
        <f>1521+4884</f>
        <v>6405</v>
      </c>
      <c r="EM98" s="712">
        <f>1831+6055</f>
        <v>7886</v>
      </c>
      <c r="EN98" s="712">
        <f>2014+6694</f>
        <v>8708</v>
      </c>
      <c r="EO98" s="712">
        <f>2572+7306</f>
        <v>9878</v>
      </c>
      <c r="EP98" s="715">
        <f>EO98</f>
        <v>9878</v>
      </c>
      <c r="EQ98" s="712">
        <f>3878+8768</f>
        <v>12646</v>
      </c>
      <c r="ER98" s="712">
        <f t="shared" si="99"/>
        <v>12646</v>
      </c>
      <c r="ES98" s="712">
        <f t="shared" si="99"/>
        <v>12646</v>
      </c>
      <c r="ET98" s="712">
        <f t="shared" si="99"/>
        <v>12646</v>
      </c>
      <c r="EU98" s="715">
        <f t="shared" si="99"/>
        <v>12646</v>
      </c>
      <c r="EV98" s="712">
        <f>ET98</f>
        <v>12646</v>
      </c>
      <c r="EW98" s="712">
        <f t="shared" si="100"/>
        <v>12646</v>
      </c>
      <c r="EX98" s="712">
        <f t="shared" si="100"/>
        <v>12646</v>
      </c>
      <c r="EY98" s="712">
        <f t="shared" si="100"/>
        <v>12646</v>
      </c>
      <c r="EZ98" s="715">
        <f t="shared" si="100"/>
        <v>12646</v>
      </c>
      <c r="FA98" s="712">
        <f>EY98</f>
        <v>12646</v>
      </c>
      <c r="FB98" s="712">
        <f t="shared" si="101"/>
        <v>12646</v>
      </c>
      <c r="FC98" s="712">
        <f t="shared" si="101"/>
        <v>12646</v>
      </c>
      <c r="FD98" s="712">
        <f t="shared" si="101"/>
        <v>12646</v>
      </c>
      <c r="FE98" s="715">
        <f t="shared" si="101"/>
        <v>12646</v>
      </c>
      <c r="FF98" s="712">
        <f>FD98</f>
        <v>12646</v>
      </c>
      <c r="FG98" s="712">
        <f t="shared" si="102"/>
        <v>12646</v>
      </c>
      <c r="FH98" s="712">
        <f t="shared" si="102"/>
        <v>12646</v>
      </c>
      <c r="FI98" s="712">
        <f t="shared" si="102"/>
        <v>12646</v>
      </c>
      <c r="FJ98" s="715">
        <f t="shared" si="102"/>
        <v>12646</v>
      </c>
      <c r="FK98" s="712">
        <f>FI98</f>
        <v>12646</v>
      </c>
      <c r="FL98" s="712">
        <f t="shared" si="103"/>
        <v>12646</v>
      </c>
      <c r="FM98" s="712">
        <f t="shared" si="103"/>
        <v>12646</v>
      </c>
      <c r="FN98" s="712">
        <f t="shared" si="103"/>
        <v>12646</v>
      </c>
      <c r="FO98" s="715">
        <f t="shared" si="103"/>
        <v>12646</v>
      </c>
      <c r="FP98" s="715"/>
    </row>
    <row r="99" spans="1:173">
      <c r="B99" s="665"/>
      <c r="C99" s="665"/>
      <c r="D99" s="665"/>
      <c r="E99" s="665"/>
      <c r="F99" s="665"/>
      <c r="G99" s="665"/>
      <c r="H99" s="665"/>
      <c r="I99" s="665"/>
      <c r="J99" s="665"/>
      <c r="K99" s="204"/>
      <c r="L99" s="199"/>
      <c r="M99" s="199"/>
      <c r="N99" s="199"/>
      <c r="O99" s="199"/>
      <c r="P99" s="712"/>
      <c r="Q99" s="199"/>
      <c r="R99" s="199"/>
      <c r="S99" s="199"/>
      <c r="T99" s="199"/>
      <c r="U99" s="712"/>
      <c r="V99" s="199"/>
      <c r="W99" s="199"/>
      <c r="X99" s="199"/>
      <c r="Y99" s="199"/>
      <c r="Z99" s="712"/>
      <c r="AA99" s="199"/>
      <c r="AB99" s="199"/>
      <c r="AC99" s="199"/>
      <c r="AD99" s="199"/>
      <c r="AE99" s="712"/>
      <c r="AF99" s="199"/>
      <c r="AG99" s="199"/>
      <c r="AH99" s="199"/>
      <c r="AI99" s="199"/>
      <c r="AJ99" s="712"/>
      <c r="AK99" s="199"/>
      <c r="AL99" s="199"/>
      <c r="AM99" s="199"/>
      <c r="AN99" s="712"/>
      <c r="AO99" s="712"/>
      <c r="AP99" s="712"/>
      <c r="AQ99" s="712"/>
      <c r="AR99" s="712"/>
      <c r="AS99" s="712"/>
      <c r="AT99" s="712"/>
      <c r="AU99" s="712"/>
      <c r="AV99" s="712"/>
      <c r="AW99" s="712"/>
      <c r="AX99" s="712"/>
      <c r="AY99" s="712"/>
      <c r="AZ99" s="712"/>
      <c r="BA99" s="712"/>
      <c r="BB99" s="712"/>
      <c r="BC99" s="712"/>
      <c r="BD99" s="712"/>
      <c r="BE99" s="712"/>
      <c r="BF99" s="712"/>
      <c r="BG99" s="712"/>
      <c r="BH99" s="712"/>
      <c r="BI99" s="712"/>
      <c r="BJ99" s="712"/>
      <c r="BK99" s="712"/>
      <c r="BL99" s="712"/>
      <c r="BM99" s="712"/>
      <c r="BN99" s="712"/>
      <c r="BO99" s="712"/>
      <c r="BP99" s="712"/>
      <c r="BQ99" s="712"/>
      <c r="BR99" s="712"/>
      <c r="BS99" s="712"/>
      <c r="BT99" s="712"/>
      <c r="BU99" s="712"/>
      <c r="BV99" s="712"/>
      <c r="BW99" s="712"/>
      <c r="BX99" s="712"/>
      <c r="BY99" s="712"/>
      <c r="BZ99" s="712"/>
      <c r="CA99" s="712"/>
      <c r="CB99" s="712"/>
      <c r="CC99" s="712"/>
      <c r="CD99" s="712"/>
      <c r="CE99" s="712"/>
      <c r="CF99" s="712"/>
      <c r="CG99" s="712"/>
      <c r="CH99" s="712"/>
      <c r="CI99" s="712"/>
      <c r="CJ99" s="712"/>
      <c r="CK99" s="712"/>
      <c r="CL99" s="712"/>
      <c r="CM99" s="712"/>
      <c r="CN99" s="712"/>
      <c r="CO99" s="712"/>
      <c r="CP99" s="712"/>
      <c r="CQ99" s="712"/>
      <c r="CR99" s="712"/>
      <c r="CS99" s="712"/>
      <c r="CT99" s="712"/>
      <c r="CU99" s="712"/>
      <c r="CV99" s="712"/>
      <c r="CW99" s="712"/>
      <c r="CX99" s="712"/>
      <c r="CY99" s="712"/>
      <c r="CZ99" s="712"/>
      <c r="DA99" s="712"/>
      <c r="DB99" s="712"/>
      <c r="DC99" s="712"/>
      <c r="DD99" s="712"/>
      <c r="DE99" s="712"/>
      <c r="DF99" s="712"/>
      <c r="DG99" s="712"/>
      <c r="DH99" s="712"/>
      <c r="DI99" s="712"/>
      <c r="DJ99" s="712"/>
      <c r="DK99" s="712"/>
      <c r="DL99" s="712"/>
      <c r="DM99" s="712"/>
      <c r="DN99" s="712"/>
      <c r="DO99" s="712"/>
      <c r="DP99" s="712"/>
      <c r="DQ99" s="712"/>
      <c r="DR99" s="712"/>
      <c r="DS99" s="712"/>
      <c r="DT99" s="712"/>
      <c r="DU99" s="712"/>
      <c r="DV99" s="712"/>
      <c r="DW99" s="712"/>
      <c r="DX99" s="712"/>
      <c r="DY99" s="712"/>
      <c r="DZ99" s="712"/>
      <c r="EA99" s="712"/>
      <c r="EB99" s="712"/>
      <c r="EC99" s="712"/>
      <c r="ED99" s="712"/>
      <c r="EE99" s="712"/>
      <c r="EF99" s="712"/>
      <c r="EG99" s="712"/>
      <c r="EH99" s="712"/>
      <c r="EI99" s="712"/>
      <c r="EJ99" s="712"/>
      <c r="EK99" s="712"/>
      <c r="EL99" s="712"/>
      <c r="EM99" s="712"/>
      <c r="EN99" s="712"/>
      <c r="EO99" s="712"/>
      <c r="EP99" s="712"/>
      <c r="EQ99" s="712"/>
      <c r="ER99" s="712"/>
      <c r="ES99" s="712"/>
      <c r="ET99" s="712"/>
      <c r="EU99" s="712"/>
      <c r="EV99" s="712"/>
      <c r="EW99" s="712"/>
      <c r="EX99" s="712"/>
      <c r="EY99" s="712"/>
      <c r="EZ99" s="712"/>
      <c r="FA99" s="712"/>
      <c r="FB99" s="712"/>
      <c r="FC99" s="712"/>
      <c r="FD99" s="712"/>
      <c r="FE99" s="712"/>
      <c r="FF99" s="712"/>
      <c r="FG99" s="712"/>
      <c r="FH99" s="712"/>
      <c r="FI99" s="712"/>
      <c r="FJ99" s="712"/>
      <c r="FK99" s="712"/>
      <c r="FL99" s="712"/>
      <c r="FM99" s="712"/>
      <c r="FN99" s="712"/>
      <c r="FO99" s="712"/>
      <c r="FP99" s="712"/>
    </row>
    <row r="100" spans="1:173" s="169" customFormat="1">
      <c r="A100" s="171" t="s">
        <v>451</v>
      </c>
      <c r="B100" s="665"/>
      <c r="C100" s="665"/>
      <c r="D100" s="665"/>
      <c r="E100" s="665"/>
      <c r="F100" s="665"/>
      <c r="G100" s="665"/>
      <c r="H100" s="665"/>
      <c r="I100" s="665"/>
      <c r="J100" s="665"/>
      <c r="K100" s="186"/>
      <c r="L100" s="199">
        <f t="shared" ref="L100:BW100" si="104">SUM(L93:L98)</f>
        <v>39.954000000000001</v>
      </c>
      <c r="M100" s="199">
        <f t="shared" si="104"/>
        <v>51.939</v>
      </c>
      <c r="N100" s="199">
        <f t="shared" si="104"/>
        <v>59.152999999999999</v>
      </c>
      <c r="O100" s="199">
        <f t="shared" si="104"/>
        <v>77.686999999999998</v>
      </c>
      <c r="P100" s="715">
        <f>O100</f>
        <v>77.686999999999998</v>
      </c>
      <c r="Q100" s="199">
        <f t="shared" si="104"/>
        <v>285.34500000000003</v>
      </c>
      <c r="R100" s="199">
        <f t="shared" si="104"/>
        <v>301.09299999999996</v>
      </c>
      <c r="S100" s="199">
        <f t="shared" si="104"/>
        <v>621.87300000000005</v>
      </c>
      <c r="T100" s="199">
        <f t="shared" si="104"/>
        <v>610.71299999999997</v>
      </c>
      <c r="U100" s="715">
        <f>T100</f>
        <v>610.71299999999997</v>
      </c>
      <c r="V100" s="199">
        <f t="shared" si="104"/>
        <v>618.48800000000006</v>
      </c>
      <c r="W100" s="199">
        <f t="shared" si="104"/>
        <v>661.68700000000001</v>
      </c>
      <c r="X100" s="199">
        <f t="shared" si="104"/>
        <v>636.71400000000006</v>
      </c>
      <c r="Y100" s="199">
        <f t="shared" si="104"/>
        <v>739.35500000000002</v>
      </c>
      <c r="Z100" s="715">
        <f>Y100</f>
        <v>739.35500000000002</v>
      </c>
      <c r="AA100" s="199">
        <f t="shared" si="104"/>
        <v>731.06600000000003</v>
      </c>
      <c r="AB100" s="199">
        <f t="shared" si="104"/>
        <v>731.62199999999996</v>
      </c>
      <c r="AC100" s="199">
        <f t="shared" si="104"/>
        <v>750.42</v>
      </c>
      <c r="AD100" s="199">
        <f t="shared" si="104"/>
        <v>684.32799999999997</v>
      </c>
      <c r="AE100" s="715">
        <f>AD100</f>
        <v>684.32799999999997</v>
      </c>
      <c r="AF100" s="199">
        <f t="shared" si="104"/>
        <v>726.70299999999997</v>
      </c>
      <c r="AG100" s="199">
        <f t="shared" si="104"/>
        <v>784.26</v>
      </c>
      <c r="AH100" s="199">
        <f t="shared" si="104"/>
        <v>449.09800000000001</v>
      </c>
      <c r="AI100" s="199">
        <f t="shared" si="104"/>
        <v>348.15899999999993</v>
      </c>
      <c r="AJ100" s="715">
        <f>AI100</f>
        <v>348.15899999999993</v>
      </c>
      <c r="AK100" s="199">
        <f t="shared" si="104"/>
        <v>372.08699999999999</v>
      </c>
      <c r="AL100" s="199">
        <f t="shared" si="104"/>
        <v>385.72699999999998</v>
      </c>
      <c r="AM100" s="199">
        <f t="shared" si="104"/>
        <v>431.245</v>
      </c>
      <c r="AN100" s="199">
        <f t="shared" si="104"/>
        <v>450.26800000000003</v>
      </c>
      <c r="AO100" s="715">
        <f>AN100</f>
        <v>450.26800000000003</v>
      </c>
      <c r="AP100" s="199">
        <f t="shared" si="104"/>
        <v>404.50700000000001</v>
      </c>
      <c r="AQ100" s="712">
        <f t="shared" si="104"/>
        <v>452.98500000000001</v>
      </c>
      <c r="AR100" s="712">
        <f t="shared" si="104"/>
        <v>456.06700000000001</v>
      </c>
      <c r="AS100" s="712">
        <f t="shared" si="104"/>
        <v>457.54300000000001</v>
      </c>
      <c r="AT100" s="715">
        <f>AS100</f>
        <v>457.54300000000001</v>
      </c>
      <c r="AU100" s="712">
        <f t="shared" si="104"/>
        <v>552.20799999999997</v>
      </c>
      <c r="AV100" s="712">
        <f t="shared" si="104"/>
        <v>529.28099999999995</v>
      </c>
      <c r="AW100" s="712">
        <f t="shared" si="104"/>
        <v>685.43600000000004</v>
      </c>
      <c r="AX100" s="712">
        <f t="shared" si="104"/>
        <v>668.34400000000005</v>
      </c>
      <c r="AY100" s="715">
        <f>AX100</f>
        <v>668.34400000000005</v>
      </c>
      <c r="AZ100" s="712">
        <f t="shared" si="104"/>
        <v>704.97399999999993</v>
      </c>
      <c r="BA100" s="712">
        <f t="shared" si="104"/>
        <v>775.98900000000003</v>
      </c>
      <c r="BB100" s="712">
        <f>SUM(BB93:BB98)</f>
        <v>997.33699999999999</v>
      </c>
      <c r="BC100" s="712">
        <f>SUM(BC93:BC98)</f>
        <v>1129.759</v>
      </c>
      <c r="BD100" s="715">
        <f>BC100</f>
        <v>1129.759</v>
      </c>
      <c r="BE100" s="712">
        <f t="shared" si="104"/>
        <v>1070.28</v>
      </c>
      <c r="BF100" s="712">
        <f t="shared" si="104"/>
        <v>1297.134</v>
      </c>
      <c r="BG100" s="712">
        <f t="shared" si="104"/>
        <v>1161.8229999999999</v>
      </c>
      <c r="BH100" s="712">
        <f t="shared" si="104"/>
        <v>956.07500000000005</v>
      </c>
      <c r="BI100" s="715">
        <f>BH100</f>
        <v>956.07500000000005</v>
      </c>
      <c r="BJ100" s="712">
        <f t="shared" si="104"/>
        <v>859.82799999999997</v>
      </c>
      <c r="BK100" s="712">
        <f t="shared" si="104"/>
        <v>1051</v>
      </c>
      <c r="BL100" s="712">
        <f t="shared" si="104"/>
        <v>1039.9389999999999</v>
      </c>
      <c r="BM100" s="712">
        <f t="shared" si="104"/>
        <v>920.77799999999991</v>
      </c>
      <c r="BN100" s="715">
        <f>BM100</f>
        <v>920.77799999999991</v>
      </c>
      <c r="BO100" s="712">
        <f t="shared" si="104"/>
        <v>942.38499999999999</v>
      </c>
      <c r="BP100" s="712">
        <f t="shared" si="104"/>
        <v>970.75399999999991</v>
      </c>
      <c r="BQ100" s="712">
        <f t="shared" si="104"/>
        <v>1017.6990000000001</v>
      </c>
      <c r="BR100" s="712">
        <f t="shared" si="104"/>
        <v>1313.7840000000001</v>
      </c>
      <c r="BS100" s="715">
        <f>BR100</f>
        <v>1313.7840000000001</v>
      </c>
      <c r="BT100" s="712">
        <f t="shared" si="104"/>
        <v>1288.9359999999999</v>
      </c>
      <c r="BU100" s="712">
        <f t="shared" si="104"/>
        <v>1224.145</v>
      </c>
      <c r="BV100" s="712">
        <f t="shared" si="104"/>
        <v>1115.5930000000001</v>
      </c>
      <c r="BW100" s="712">
        <f t="shared" si="104"/>
        <v>1407.204</v>
      </c>
      <c r="BX100" s="715">
        <f>BW100</f>
        <v>1407.204</v>
      </c>
      <c r="BY100" s="712">
        <f>SUM(BY93:BY98)</f>
        <v>1420.739</v>
      </c>
      <c r="BZ100" s="712">
        <f>SUM(BZ93:BZ98)</f>
        <v>1438.2160000000001</v>
      </c>
      <c r="CA100" s="712">
        <f>SUM(CA93:CA98)</f>
        <v>1352.298</v>
      </c>
      <c r="CB100" s="712">
        <f>SUM(CB93:CB98)</f>
        <v>1584.5419999999999</v>
      </c>
      <c r="CC100" s="715">
        <f>CB100</f>
        <v>1584.5419999999999</v>
      </c>
      <c r="CD100" s="712">
        <f>SUM(CD93:CD98)</f>
        <v>1455.3429999999998</v>
      </c>
      <c r="CE100" s="712">
        <f>SUM(CE93:CE98)</f>
        <v>1397.4189999999999</v>
      </c>
      <c r="CF100" s="712">
        <f>SUM(CF93:CF98)</f>
        <v>1390.7260000000001</v>
      </c>
      <c r="CG100" s="712">
        <f>SUM(CG93:CG98)</f>
        <v>2794.4960000000001</v>
      </c>
      <c r="CH100" s="715">
        <f>CG100</f>
        <v>2794.4960000000001</v>
      </c>
      <c r="CI100" s="712">
        <f>SUM(CI93:CI98)</f>
        <v>2697.6779999999999</v>
      </c>
      <c r="CJ100" s="712">
        <f>SUM(CJ93:CJ98)</f>
        <v>2628.933</v>
      </c>
      <c r="CK100" s="712">
        <f>SUM(CK93:CK98)</f>
        <v>2681.2760000000003</v>
      </c>
      <c r="CL100" s="712">
        <f>SUM(CL93:CL98)</f>
        <v>2783.3860000000004</v>
      </c>
      <c r="CM100" s="715">
        <f>CL100</f>
        <v>2783.3860000000004</v>
      </c>
      <c r="CN100" s="712">
        <f>SUM(CN93:CN98)</f>
        <v>2735</v>
      </c>
      <c r="CO100" s="712">
        <f>SUM(CO93:CO98)</f>
        <v>2794</v>
      </c>
      <c r="CP100" s="712">
        <f>SUM(CP93:CP98)</f>
        <v>2709</v>
      </c>
      <c r="CQ100" s="712">
        <f>SUM(CQ93:CQ98)</f>
        <v>2901</v>
      </c>
      <c r="CR100" s="715">
        <f>CQ100</f>
        <v>2901</v>
      </c>
      <c r="CS100" s="712">
        <f>SUM(CS93:CS98)</f>
        <v>2912</v>
      </c>
      <c r="CT100" s="712">
        <f>SUM(CT93:CT98)</f>
        <v>2981</v>
      </c>
      <c r="CU100" s="712">
        <f>SUM(CU93:CU98)</f>
        <v>4288</v>
      </c>
      <c r="CV100" s="712">
        <f>SUM(CV93:CV98)</f>
        <v>4079</v>
      </c>
      <c r="CW100" s="715">
        <f>CV100</f>
        <v>4079</v>
      </c>
      <c r="CX100" s="712">
        <f>SUM(CX93:CX98)</f>
        <v>3278</v>
      </c>
      <c r="CY100" s="712">
        <f>SUM(CY93:CY98)</f>
        <v>3429</v>
      </c>
      <c r="CZ100" s="712">
        <f>SUM(CZ93:CZ98)</f>
        <v>3477</v>
      </c>
      <c r="DA100" s="712">
        <f>SUM(DA93:DA98)</f>
        <v>3770</v>
      </c>
      <c r="DB100" s="715">
        <f>DA100</f>
        <v>3770</v>
      </c>
      <c r="DC100" s="712">
        <f>SUM(DC93:DC98)</f>
        <v>3743</v>
      </c>
      <c r="DD100" s="712">
        <f>SUM(DD93:DD98)</f>
        <v>4087</v>
      </c>
      <c r="DE100" s="712">
        <f>SUM(DE93:DE98)</f>
        <v>4182</v>
      </c>
      <c r="DF100" s="712">
        <f>SUM(DF93:DF98)</f>
        <v>3950</v>
      </c>
      <c r="DG100" s="715">
        <f>DF100</f>
        <v>3950</v>
      </c>
      <c r="DH100" s="712">
        <f>SUM(DH93:DH98)</f>
        <v>4317</v>
      </c>
      <c r="DI100" s="712">
        <f>SUM(DI93:DI98)</f>
        <v>4439</v>
      </c>
      <c r="DJ100" s="712">
        <f>SUM(DJ93:DJ98)</f>
        <v>4596</v>
      </c>
      <c r="DK100" s="712">
        <f>SUM(DK93:DK98)</f>
        <v>5111</v>
      </c>
      <c r="DL100" s="715">
        <f>DK100</f>
        <v>5111</v>
      </c>
      <c r="DM100" s="712">
        <f>SUM(DM93:DM98)</f>
        <v>10155</v>
      </c>
      <c r="DN100" s="712">
        <f>SUM(DN93:DN98)</f>
        <v>11266</v>
      </c>
      <c r="DO100" s="712">
        <f>SUM(DO93:DO98)</f>
        <v>11547</v>
      </c>
      <c r="DP100" s="712">
        <f>SUM(DP93:DP98)</f>
        <v>11898</v>
      </c>
      <c r="DQ100" s="715">
        <f>DP100</f>
        <v>11898</v>
      </c>
      <c r="DR100" s="712">
        <f>SUM(DR93:DR98)</f>
        <v>12022</v>
      </c>
      <c r="DS100" s="712">
        <f>SUM(DS93:DS98)</f>
        <v>17503</v>
      </c>
      <c r="DT100" s="712">
        <f>SUM(DT93:DT98)</f>
        <v>16834</v>
      </c>
      <c r="DU100" s="712">
        <f>SUM(DU93:DU98)</f>
        <v>17575</v>
      </c>
      <c r="DV100" s="715">
        <f>DU100</f>
        <v>17575</v>
      </c>
      <c r="DW100" s="712">
        <f>SUM(DW93:DW98)</f>
        <v>18892</v>
      </c>
      <c r="DX100" s="712">
        <f>SUM(DX93:DX98)</f>
        <v>19625</v>
      </c>
      <c r="DY100" s="712">
        <f>SUM(DY93:DY98)</f>
        <v>19139</v>
      </c>
      <c r="DZ100" s="712">
        <f>SUM(DZ93:DZ98)</f>
        <v>19081</v>
      </c>
      <c r="EA100" s="715">
        <f>DZ100</f>
        <v>19081</v>
      </c>
      <c r="EB100" s="712">
        <f>SUM(EB93:EB98)</f>
        <v>19940</v>
      </c>
      <c r="EC100" s="712">
        <f>SUM(EC93:EC98)</f>
        <v>22054</v>
      </c>
      <c r="ED100" s="712">
        <f>SUM(ED93:ED98)</f>
        <v>20883</v>
      </c>
      <c r="EE100" s="712">
        <f>SUM(EE93:EE98)</f>
        <v>22750</v>
      </c>
      <c r="EF100" s="715">
        <f>EE100</f>
        <v>22750</v>
      </c>
      <c r="EG100" s="712">
        <f>SUM(EG93:EG98)</f>
        <v>27930</v>
      </c>
      <c r="EH100" s="712">
        <f>SUM(EH93:EH98)</f>
        <v>27070</v>
      </c>
      <c r="EI100" s="712">
        <f>SUM(EI93:EI98)</f>
        <v>30114</v>
      </c>
      <c r="EJ100" s="712">
        <f>SUM(EJ93:EJ98)</f>
        <v>32274</v>
      </c>
      <c r="EK100" s="715">
        <f>EJ100</f>
        <v>32274</v>
      </c>
      <c r="EL100" s="712">
        <f>SUM(EL93:EL98)</f>
        <v>41411</v>
      </c>
      <c r="EM100" s="712">
        <f>SUM(EM93:EM98)</f>
        <v>40609</v>
      </c>
      <c r="EN100" s="712">
        <f>SUM(EN93:EN98)</f>
        <v>42251</v>
      </c>
      <c r="EO100" s="712">
        <f>SUM(EO93:EO98)</f>
        <v>49510</v>
      </c>
      <c r="EP100" s="715">
        <f>EO100</f>
        <v>49510</v>
      </c>
      <c r="EQ100" s="712">
        <f>SUM(EQ93:EQ98)</f>
        <v>64000</v>
      </c>
      <c r="ER100" s="712">
        <f>SUM(ER93:ER98)</f>
        <v>64979.392412001238</v>
      </c>
      <c r="ES100" s="712">
        <f>SUM(ES93:ES98)</f>
        <v>66390.382483696856</v>
      </c>
      <c r="ET100" s="712">
        <f>SUM(ET93:ET98)</f>
        <v>67440.561268724254</v>
      </c>
      <c r="EU100" s="715">
        <f>ET100</f>
        <v>67440.561268724254</v>
      </c>
      <c r="EV100" s="712">
        <f>SUM(EV93:EV98)</f>
        <v>68186.936627553019</v>
      </c>
      <c r="EW100" s="712">
        <f>SUM(EW93:EW98)</f>
        <v>69044.364193693997</v>
      </c>
      <c r="EX100" s="712">
        <f>SUM(EX93:EX98)</f>
        <v>70128.888692991663</v>
      </c>
      <c r="EY100" s="712">
        <f>SUM(EY93:EY98)</f>
        <v>70772.972548716672</v>
      </c>
      <c r="EZ100" s="715">
        <f>EY100</f>
        <v>70772.972548716672</v>
      </c>
      <c r="FA100" s="712">
        <f>SUM(FA93:FA98)</f>
        <v>71014.650621237248</v>
      </c>
      <c r="FB100" s="712">
        <f>SUM(FB93:FB98)</f>
        <v>71335.248637742799</v>
      </c>
      <c r="FC100" s="712">
        <f>SUM(FC93:FC98)</f>
        <v>72066.277896102809</v>
      </c>
      <c r="FD100" s="712">
        <f>SUM(FD93:FD98)</f>
        <v>72602.556671545055</v>
      </c>
      <c r="FE100" s="715">
        <f>FD100</f>
        <v>72602.556671545055</v>
      </c>
      <c r="FF100" s="712">
        <f>SUM(FF93:FF98)</f>
        <v>72664.74620690709</v>
      </c>
      <c r="FG100" s="712">
        <f>SUM(FG93:FG98)</f>
        <v>72800.007351908411</v>
      </c>
      <c r="FH100" s="712">
        <f>SUM(FH93:FH98)</f>
        <v>73160.939689553168</v>
      </c>
      <c r="FI100" s="712">
        <f>SUM(FI93:FI98)</f>
        <v>73406.238552156123</v>
      </c>
      <c r="FJ100" s="715">
        <f>FI100</f>
        <v>73406.238552156123</v>
      </c>
      <c r="FK100" s="712">
        <f>SUM(FK93:FK98)</f>
        <v>73578.275571924751</v>
      </c>
      <c r="FL100" s="712">
        <f>SUM(FL93:FL98)</f>
        <v>73936.592135836196</v>
      </c>
      <c r="FM100" s="712">
        <f>SUM(FM93:FM98)</f>
        <v>74645.448583045567</v>
      </c>
      <c r="FN100" s="712">
        <f>SUM(FN93:FN98)</f>
        <v>75133.028963974604</v>
      </c>
      <c r="FO100" s="715">
        <f>FN100</f>
        <v>75133.028963974604</v>
      </c>
      <c r="FP100" s="715"/>
    </row>
    <row r="101" spans="1:173">
      <c r="B101" s="665"/>
      <c r="C101" s="665"/>
      <c r="D101" s="665"/>
      <c r="E101" s="665"/>
      <c r="F101" s="665"/>
      <c r="G101" s="665"/>
      <c r="H101" s="665"/>
      <c r="I101" s="665"/>
      <c r="J101" s="665"/>
      <c r="K101" s="149"/>
      <c r="L101" s="199"/>
      <c r="M101" s="199"/>
      <c r="N101" s="199"/>
      <c r="O101" s="199"/>
      <c r="P101" s="712"/>
      <c r="Q101" s="199"/>
      <c r="R101" s="199"/>
      <c r="S101" s="199"/>
      <c r="T101" s="199"/>
      <c r="U101" s="712"/>
      <c r="V101" s="199"/>
      <c r="W101" s="199"/>
      <c r="X101" s="199"/>
      <c r="Y101" s="199"/>
      <c r="Z101" s="712"/>
      <c r="AA101" s="199"/>
      <c r="AB101" s="199"/>
      <c r="AC101" s="199"/>
      <c r="AD101" s="199"/>
      <c r="AE101" s="712"/>
      <c r="AF101" s="199"/>
      <c r="AG101" s="199"/>
      <c r="AH101" s="199"/>
      <c r="AI101" s="199"/>
      <c r="AJ101" s="712"/>
      <c r="AK101" s="199"/>
      <c r="AL101" s="199"/>
      <c r="AM101" s="199"/>
      <c r="AN101" s="712"/>
      <c r="AO101" s="712"/>
      <c r="AP101" s="712"/>
      <c r="AQ101" s="712"/>
      <c r="AR101" s="712"/>
      <c r="AS101" s="712"/>
      <c r="AT101" s="712"/>
      <c r="AU101" s="712"/>
      <c r="AV101" s="712"/>
      <c r="AW101" s="712"/>
      <c r="AX101" s="712"/>
      <c r="AY101" s="712"/>
      <c r="AZ101" s="712"/>
      <c r="BA101" s="712"/>
      <c r="BB101" s="712"/>
      <c r="BC101" s="712"/>
      <c r="BD101" s="712"/>
      <c r="BE101" s="712"/>
      <c r="BF101" s="712"/>
      <c r="BG101" s="712"/>
      <c r="BH101" s="712"/>
      <c r="BI101" s="712"/>
      <c r="BJ101" s="712"/>
      <c r="BK101" s="712"/>
      <c r="BL101" s="712"/>
      <c r="BM101" s="712"/>
      <c r="BN101" s="712"/>
      <c r="BO101" s="712"/>
      <c r="BP101" s="712"/>
      <c r="BQ101" s="712"/>
      <c r="BR101" s="712"/>
      <c r="BS101" s="712"/>
      <c r="BT101" s="712"/>
      <c r="BU101" s="712"/>
      <c r="BV101" s="712"/>
      <c r="BW101" s="712"/>
      <c r="BX101" s="712"/>
      <c r="BY101" s="712"/>
      <c r="BZ101" s="712"/>
      <c r="CA101" s="712"/>
      <c r="CB101" s="712"/>
      <c r="CC101" s="712"/>
      <c r="CD101" s="712"/>
      <c r="CE101" s="712"/>
      <c r="CF101" s="712"/>
      <c r="CG101" s="712"/>
      <c r="CH101" s="712"/>
      <c r="CI101" s="712"/>
      <c r="CJ101" s="712"/>
      <c r="CK101" s="712"/>
      <c r="CL101" s="712"/>
      <c r="CM101" s="712"/>
      <c r="CN101" s="712"/>
      <c r="CO101" s="712"/>
      <c r="CP101" s="712"/>
      <c r="CQ101" s="712"/>
      <c r="CR101" s="712"/>
      <c r="CS101" s="712"/>
      <c r="CT101" s="712"/>
      <c r="CU101" s="712"/>
      <c r="CV101" s="712"/>
      <c r="CW101" s="712"/>
      <c r="CX101" s="712"/>
      <c r="CY101" s="712"/>
      <c r="CZ101" s="712"/>
      <c r="DA101" s="712"/>
      <c r="DB101" s="712"/>
      <c r="DC101" s="712"/>
      <c r="DD101" s="712"/>
      <c r="DE101" s="712"/>
      <c r="DF101" s="712"/>
      <c r="DG101" s="712"/>
      <c r="DH101" s="712"/>
      <c r="DI101" s="712"/>
      <c r="DJ101" s="712"/>
      <c r="DK101" s="712"/>
      <c r="DL101" s="712"/>
      <c r="DM101" s="712"/>
      <c r="DN101" s="712"/>
      <c r="DO101" s="712"/>
      <c r="DP101" s="712"/>
      <c r="DQ101" s="712"/>
      <c r="DR101" s="712"/>
      <c r="DS101" s="712"/>
      <c r="DT101" s="712"/>
      <c r="DU101" s="712"/>
      <c r="DV101" s="712"/>
      <c r="DW101" s="712"/>
      <c r="DX101" s="712"/>
      <c r="DY101" s="712"/>
      <c r="DZ101" s="712"/>
      <c r="EA101" s="712"/>
      <c r="EB101" s="712"/>
      <c r="EC101" s="712"/>
      <c r="ED101" s="712"/>
      <c r="EE101" s="712"/>
      <c r="EF101" s="712"/>
      <c r="EG101" s="712"/>
      <c r="EH101" s="712"/>
      <c r="EI101" s="712"/>
      <c r="EJ101" s="712"/>
      <c r="EK101" s="712"/>
      <c r="EL101" s="712"/>
      <c r="EM101" s="712"/>
      <c r="EN101" s="712"/>
      <c r="EO101" s="712"/>
      <c r="EP101" s="712"/>
      <c r="EQ101" s="712"/>
      <c r="ER101" s="712"/>
      <c r="ES101" s="712"/>
      <c r="ET101" s="712"/>
      <c r="EU101" s="712"/>
      <c r="EV101" s="712"/>
      <c r="EW101" s="712"/>
      <c r="EX101" s="712"/>
      <c r="EY101" s="712"/>
      <c r="EZ101" s="712"/>
      <c r="FA101" s="712"/>
      <c r="FB101" s="712"/>
      <c r="FC101" s="712"/>
      <c r="FD101" s="712"/>
      <c r="FE101" s="712"/>
      <c r="FF101" s="712"/>
      <c r="FG101" s="712"/>
      <c r="FH101" s="712"/>
      <c r="FI101" s="712"/>
      <c r="FJ101" s="712"/>
      <c r="FK101" s="712"/>
      <c r="FL101" s="712"/>
      <c r="FM101" s="712"/>
      <c r="FN101" s="712"/>
      <c r="FO101" s="712"/>
      <c r="FP101" s="712"/>
    </row>
    <row r="102" spans="1:173" s="169" customFormat="1">
      <c r="A102" s="171" t="s">
        <v>452</v>
      </c>
      <c r="B102" s="665"/>
      <c r="C102" s="665"/>
      <c r="D102" s="665"/>
      <c r="E102" s="665"/>
      <c r="F102" s="665"/>
      <c r="G102" s="665"/>
      <c r="H102" s="665"/>
      <c r="I102" s="665"/>
      <c r="J102" s="665"/>
      <c r="K102" s="186"/>
      <c r="L102" s="199">
        <v>86.701999999999998</v>
      </c>
      <c r="M102" s="199">
        <v>82.463999999999999</v>
      </c>
      <c r="N102" s="199">
        <v>98.4</v>
      </c>
      <c r="O102" s="199">
        <v>124.563</v>
      </c>
      <c r="P102" s="715">
        <f>O102</f>
        <v>124.563</v>
      </c>
      <c r="Q102" s="199">
        <v>162.446</v>
      </c>
      <c r="R102" s="199">
        <v>206.09</v>
      </c>
      <c r="S102" s="199">
        <v>361.47300000000001</v>
      </c>
      <c r="T102" s="199">
        <v>405.714</v>
      </c>
      <c r="U102" s="715">
        <f>T102</f>
        <v>405.714</v>
      </c>
      <c r="V102" s="199">
        <v>463.29599999999999</v>
      </c>
      <c r="W102" s="199">
        <v>527.57100000000003</v>
      </c>
      <c r="X102" s="199">
        <v>610.63599999999997</v>
      </c>
      <c r="Y102" s="199">
        <v>763.81899999999996</v>
      </c>
      <c r="Z102" s="715">
        <f>Y102</f>
        <v>763.81899999999996</v>
      </c>
      <c r="AA102" s="199">
        <v>868.65099999999995</v>
      </c>
      <c r="AB102" s="199">
        <v>883.53200000000004</v>
      </c>
      <c r="AC102" s="199">
        <v>879.27700000000004</v>
      </c>
      <c r="AD102" s="199">
        <v>932.68700000000001</v>
      </c>
      <c r="AE102" s="715">
        <f>AD102</f>
        <v>932.68700000000001</v>
      </c>
      <c r="AF102" s="199">
        <v>960.83</v>
      </c>
      <c r="AG102" s="199">
        <v>995.85299999999995</v>
      </c>
      <c r="AH102" s="199">
        <v>1009.682</v>
      </c>
      <c r="AI102" s="199">
        <v>1051.1849999999999</v>
      </c>
      <c r="AJ102" s="715">
        <f>AI102</f>
        <v>1051.1849999999999</v>
      </c>
      <c r="AK102" s="199">
        <v>1086.1030000000001</v>
      </c>
      <c r="AL102" s="199">
        <v>1095.162</v>
      </c>
      <c r="AM102" s="199">
        <v>1108.4110000000001</v>
      </c>
      <c r="AN102" s="199">
        <v>1178.268</v>
      </c>
      <c r="AO102" s="715">
        <f>AN102</f>
        <v>1178.268</v>
      </c>
      <c r="AP102" s="199">
        <v>1230.587</v>
      </c>
      <c r="AQ102" s="712">
        <v>1275.2329999999999</v>
      </c>
      <c r="AR102" s="712">
        <v>1349.441</v>
      </c>
      <c r="AS102" s="712">
        <v>1457.7560000000001</v>
      </c>
      <c r="AT102" s="715">
        <f>AS102</f>
        <v>1457.7560000000001</v>
      </c>
      <c r="AU102" s="712">
        <v>1648.62</v>
      </c>
      <c r="AV102" s="712">
        <v>1654.548</v>
      </c>
      <c r="AW102" s="712">
        <v>1845.7170000000001</v>
      </c>
      <c r="AX102" s="712">
        <v>2006.9190000000001</v>
      </c>
      <c r="AY102" s="715">
        <f>AX102</f>
        <v>2006.9190000000001</v>
      </c>
      <c r="AZ102" s="712">
        <v>2095.8939999999998</v>
      </c>
      <c r="BA102" s="712">
        <v>2260.2779999999998</v>
      </c>
      <c r="BB102" s="712">
        <v>2477.9259999999999</v>
      </c>
      <c r="BC102" s="712">
        <v>2617.9119999999998</v>
      </c>
      <c r="BD102" s="715">
        <f>BC102</f>
        <v>2617.9119999999998</v>
      </c>
      <c r="BE102" s="712">
        <v>2737.1779999999999</v>
      </c>
      <c r="BF102" s="712">
        <v>2662.915</v>
      </c>
      <c r="BG102" s="712">
        <v>2487.0749999999998</v>
      </c>
      <c r="BH102" s="712">
        <v>2394.652</v>
      </c>
      <c r="BI102" s="715">
        <f>BH102</f>
        <v>2394.652</v>
      </c>
      <c r="BJ102" s="712">
        <v>2318.8760000000002</v>
      </c>
      <c r="BK102" s="712">
        <v>2247.4090000000001</v>
      </c>
      <c r="BL102" s="712">
        <v>2423.6350000000002</v>
      </c>
      <c r="BM102" s="712">
        <v>2665.14</v>
      </c>
      <c r="BN102" s="715">
        <f>BM102</f>
        <v>2665.14</v>
      </c>
      <c r="BO102" s="712">
        <v>2860.645</v>
      </c>
      <c r="BP102" s="712">
        <v>2760.5140000000001</v>
      </c>
      <c r="BQ102" s="712">
        <v>2897.88</v>
      </c>
      <c r="BR102" s="712">
        <v>3181.462</v>
      </c>
      <c r="BS102" s="715">
        <f>BR102</f>
        <v>3181.462</v>
      </c>
      <c r="BT102" s="712">
        <v>3447.808</v>
      </c>
      <c r="BU102" s="712">
        <v>3689.4690000000001</v>
      </c>
      <c r="BV102" s="712">
        <v>3973.45</v>
      </c>
      <c r="BW102" s="712">
        <v>4145.7240000000002</v>
      </c>
      <c r="BX102" s="715">
        <f>BW102</f>
        <v>4145.7240000000002</v>
      </c>
      <c r="BY102" s="712">
        <v>4287.4279999999999</v>
      </c>
      <c r="BZ102" s="712">
        <v>4453.665</v>
      </c>
      <c r="CA102" s="712">
        <v>4722.8459999999995</v>
      </c>
      <c r="CB102" s="712">
        <v>4827.7030000000004</v>
      </c>
      <c r="CC102" s="715">
        <f>CB102</f>
        <v>4827.7030000000004</v>
      </c>
      <c r="CD102" s="712">
        <v>4824.1840000000002</v>
      </c>
      <c r="CE102" s="712">
        <v>4172.1729999999998</v>
      </c>
      <c r="CF102" s="712">
        <v>4320.6469999999999</v>
      </c>
      <c r="CG102" s="712">
        <v>4456.3980000000001</v>
      </c>
      <c r="CH102" s="715">
        <f>CG102</f>
        <v>4456.3980000000001</v>
      </c>
      <c r="CI102" s="712">
        <v>4166.9849999999997</v>
      </c>
      <c r="CJ102" s="712">
        <v>4304.7860000000001</v>
      </c>
      <c r="CK102" s="712">
        <v>4204.5929999999998</v>
      </c>
      <c r="CL102" s="712">
        <v>4417.982</v>
      </c>
      <c r="CM102" s="715">
        <f>CL102</f>
        <v>4417.982</v>
      </c>
      <c r="CN102" s="712">
        <v>4556</v>
      </c>
      <c r="CO102" s="712">
        <v>4185</v>
      </c>
      <c r="CP102" s="712">
        <v>4465</v>
      </c>
      <c r="CQ102" s="712">
        <v>4469</v>
      </c>
      <c r="CR102" s="715">
        <f>CQ102</f>
        <v>4469</v>
      </c>
      <c r="CS102" s="712">
        <v>4196</v>
      </c>
      <c r="CT102" s="712">
        <v>4480</v>
      </c>
      <c r="CU102" s="712">
        <v>5324</v>
      </c>
      <c r="CV102" s="712">
        <v>5762</v>
      </c>
      <c r="CW102" s="715">
        <f>CV102</f>
        <v>5762</v>
      </c>
      <c r="CX102" s="712">
        <f>6132</f>
        <v>6132</v>
      </c>
      <c r="CY102" s="712">
        <v>5973</v>
      </c>
      <c r="CZ102" s="712">
        <f>6352+1</f>
        <v>6353</v>
      </c>
      <c r="DA102" s="712">
        <v>7471</v>
      </c>
      <c r="DB102" s="715">
        <f>DA102</f>
        <v>7471</v>
      </c>
      <c r="DC102" s="712">
        <v>7717</v>
      </c>
      <c r="DD102" s="712">
        <v>8795</v>
      </c>
      <c r="DE102" s="712">
        <v>9475</v>
      </c>
      <c r="DF102" s="712">
        <v>9342</v>
      </c>
      <c r="DG102" s="715">
        <f>DF102</f>
        <v>9342</v>
      </c>
      <c r="DH102" s="712">
        <v>9704</v>
      </c>
      <c r="DI102" s="712">
        <v>10336</v>
      </c>
      <c r="DJ102" s="712">
        <v>11214</v>
      </c>
      <c r="DK102" s="712">
        <v>12204</v>
      </c>
      <c r="DL102" s="715">
        <f>DK102</f>
        <v>12204</v>
      </c>
      <c r="DM102" s="712">
        <v>13099</v>
      </c>
      <c r="DN102" s="712">
        <v>13914</v>
      </c>
      <c r="DO102" s="712">
        <v>15334</v>
      </c>
      <c r="DP102" s="712">
        <v>16893</v>
      </c>
      <c r="DQ102" s="715">
        <f>DP102</f>
        <v>16893</v>
      </c>
      <c r="DR102" s="712">
        <v>18774</v>
      </c>
      <c r="DS102" s="712">
        <v>21147</v>
      </c>
      <c r="DT102" s="712">
        <v>23798</v>
      </c>
      <c r="DU102" s="712">
        <v>26612</v>
      </c>
      <c r="DV102" s="715">
        <f>DU102</f>
        <v>26612</v>
      </c>
      <c r="DW102" s="712">
        <v>26320</v>
      </c>
      <c r="DX102" s="712">
        <v>23851</v>
      </c>
      <c r="DY102" s="712">
        <v>21349</v>
      </c>
      <c r="DZ102" s="712">
        <v>22101</v>
      </c>
      <c r="EA102" s="715">
        <f>DZ102</f>
        <v>22101</v>
      </c>
      <c r="EB102" s="712">
        <v>24520</v>
      </c>
      <c r="EC102" s="712">
        <v>27501</v>
      </c>
      <c r="ED102" s="712">
        <v>33265</v>
      </c>
      <c r="EE102" s="712">
        <v>42978</v>
      </c>
      <c r="EF102" s="715">
        <f>EE102</f>
        <v>42978</v>
      </c>
      <c r="EG102" s="712">
        <v>49142</v>
      </c>
      <c r="EH102" s="712">
        <v>58157</v>
      </c>
      <c r="EI102" s="712">
        <v>65899</v>
      </c>
      <c r="EJ102" s="712">
        <v>79327</v>
      </c>
      <c r="EK102" s="715">
        <f>EJ102</f>
        <v>79327</v>
      </c>
      <c r="EL102" s="712">
        <v>83843</v>
      </c>
      <c r="EM102" s="712">
        <v>100131</v>
      </c>
      <c r="EN102" s="712">
        <v>118897</v>
      </c>
      <c r="EO102" s="712">
        <v>157293</v>
      </c>
      <c r="EP102" s="715">
        <f>EO102</f>
        <v>157293</v>
      </c>
      <c r="EQ102" s="712">
        <v>195474</v>
      </c>
      <c r="ER102" s="712">
        <f>EQ102+ER113+ER141+ER142+ER118+ER144</f>
        <v>222824.45175985162</v>
      </c>
      <c r="ES102" s="712">
        <f>ER102+ES113+ES141+ES142+ES118+ES144</f>
        <v>260831.27745100981</v>
      </c>
      <c r="ET102" s="712">
        <f>ES102+ET113+ET141+ET142+ET118+ET144</f>
        <v>307969.57343916007</v>
      </c>
      <c r="EU102" s="715">
        <f>ET102</f>
        <v>307969.57343916007</v>
      </c>
      <c r="EV102" s="712">
        <f>ET102+EV113+EV141+EV142+EV118+EV144</f>
        <v>359413.45194229489</v>
      </c>
      <c r="EW102" s="712">
        <f>EV102+EW113+EW141+EW142+EW118+EW144</f>
        <v>418665.36502453295</v>
      </c>
      <c r="EX102" s="712">
        <f>EW102+EX113+EX141+EX142+EX118+EX144</f>
        <v>486040.20842624997</v>
      </c>
      <c r="EY102" s="712">
        <f>EX102+EY113+EY141+EY142+EY118+EY144</f>
        <v>560022.55841492384</v>
      </c>
      <c r="EZ102" s="715">
        <f>EY102</f>
        <v>560022.55841492384</v>
      </c>
      <c r="FA102" s="712">
        <f>EY102+FA113+FA141+FA142+FA118+FA144</f>
        <v>636714.10235214082</v>
      </c>
      <c r="FB102" s="712">
        <f>FA102+FB113+FB141+FB142+FB118+FB144</f>
        <v>713187.07681659493</v>
      </c>
      <c r="FC102" s="712">
        <f>FB102+FC113+FC141+FC142+FC118+FC144</f>
        <v>797789.23672791594</v>
      </c>
      <c r="FD102" s="712">
        <f>FC102+FD113+FD141+FD142+FD118+FD144</f>
        <v>888550.04341237503</v>
      </c>
      <c r="FE102" s="715">
        <f>FD102</f>
        <v>888550.04341237503</v>
      </c>
      <c r="FF102" s="712">
        <f>FD102+FF113+FF141+FF142+FF118+FF144</f>
        <v>977740.52649135282</v>
      </c>
      <c r="FG102" s="712">
        <f>FF102+FG113+FG141+FG142+FG118+FG144</f>
        <v>1068334.2129944826</v>
      </c>
      <c r="FH102" s="712">
        <f>FG102+FH113+FH141+FH142+FH118+FH144</f>
        <v>1163183.0303410639</v>
      </c>
      <c r="FI102" s="712">
        <f>FH102+FI113+FI141+FI142+FI118+FI144</f>
        <v>1260884.1569329249</v>
      </c>
      <c r="FJ102" s="715">
        <f>FI102</f>
        <v>1260884.1569329249</v>
      </c>
      <c r="FK102" s="712">
        <f>FI102+FK113+FK141+FK142+FK118+FK144</f>
        <v>1358462.1570832406</v>
      </c>
      <c r="FL102" s="712">
        <f>FK102+FL113+FL141+FL142+FL118+FL144</f>
        <v>1455886.1689855773</v>
      </c>
      <c r="FM102" s="712">
        <f>FL102+FM113+FM141+FM142+FM118+FM144</f>
        <v>1562156.6921577973</v>
      </c>
      <c r="FN102" s="712">
        <f>FM102+FN113+FN141+FN142+FN118+FN144</f>
        <v>1674646.6769599493</v>
      </c>
      <c r="FO102" s="715">
        <f>FN102</f>
        <v>1674646.6769599493</v>
      </c>
      <c r="FP102" s="715"/>
    </row>
    <row r="103" spans="1:173">
      <c r="B103" s="665"/>
      <c r="C103" s="665"/>
      <c r="D103" s="665"/>
      <c r="E103" s="665"/>
      <c r="F103" s="665"/>
      <c r="G103" s="665"/>
      <c r="H103" s="665"/>
      <c r="I103" s="665"/>
      <c r="J103" s="665"/>
      <c r="K103" s="149"/>
      <c r="L103" s="199"/>
      <c r="M103" s="199"/>
      <c r="N103" s="199"/>
      <c r="O103" s="199"/>
      <c r="P103" s="712"/>
      <c r="Q103" s="199"/>
      <c r="R103" s="199"/>
      <c r="S103" s="199"/>
      <c r="T103" s="199"/>
      <c r="U103" s="712"/>
      <c r="V103" s="199"/>
      <c r="W103" s="199"/>
      <c r="X103" s="199"/>
      <c r="Y103" s="199"/>
      <c r="Z103" s="712"/>
      <c r="AA103" s="199"/>
      <c r="AB103" s="199"/>
      <c r="AC103" s="732"/>
      <c r="AD103" s="732"/>
      <c r="AE103" s="712"/>
      <c r="AF103" s="732"/>
      <c r="AG103" s="732"/>
      <c r="AH103" s="732"/>
      <c r="AI103" s="732"/>
      <c r="AJ103" s="712"/>
      <c r="AK103" s="732"/>
      <c r="AL103" s="732"/>
      <c r="AM103" s="712"/>
      <c r="AN103" s="712"/>
      <c r="AO103" s="712"/>
      <c r="AP103" s="712"/>
      <c r="AQ103" s="712"/>
      <c r="AR103" s="712"/>
      <c r="AS103" s="712"/>
      <c r="AT103" s="712"/>
      <c r="AU103" s="712"/>
      <c r="AV103" s="712"/>
      <c r="AW103" s="712"/>
      <c r="AX103" s="712"/>
      <c r="AY103" s="712"/>
      <c r="AZ103" s="712"/>
      <c r="BA103" s="712"/>
      <c r="BB103" s="712"/>
      <c r="BC103" s="712"/>
      <c r="BD103" s="712"/>
      <c r="BE103" s="712"/>
      <c r="BF103" s="712"/>
      <c r="BG103" s="712"/>
      <c r="BH103" s="712"/>
      <c r="BI103" s="712"/>
      <c r="BJ103" s="712"/>
      <c r="BK103" s="712"/>
      <c r="BL103" s="712"/>
      <c r="BM103" s="712"/>
      <c r="BN103" s="712"/>
      <c r="BO103" s="712"/>
      <c r="BP103" s="712"/>
      <c r="BQ103" s="712"/>
      <c r="BR103" s="712"/>
      <c r="BS103" s="712"/>
      <c r="BT103" s="712"/>
      <c r="BU103" s="712"/>
      <c r="BV103" s="712"/>
      <c r="BW103" s="712"/>
      <c r="BX103" s="712"/>
      <c r="BY103" s="712"/>
      <c r="BZ103" s="712"/>
      <c r="CA103" s="712"/>
      <c r="CB103" s="712"/>
      <c r="CC103" s="712"/>
      <c r="CD103" s="712"/>
      <c r="CE103" s="712"/>
      <c r="CF103" s="712"/>
      <c r="CG103" s="712"/>
      <c r="CH103" s="712"/>
      <c r="CI103" s="712"/>
      <c r="CJ103" s="712"/>
      <c r="CK103" s="712"/>
      <c r="CL103" s="712"/>
      <c r="CM103" s="712"/>
      <c r="CN103" s="712"/>
      <c r="CO103" s="712"/>
      <c r="CP103" s="712"/>
      <c r="CQ103" s="712"/>
      <c r="CR103" s="712"/>
      <c r="CS103" s="712"/>
      <c r="CT103" s="712"/>
      <c r="CU103" s="712"/>
      <c r="CV103" s="712"/>
      <c r="CW103" s="712"/>
      <c r="CX103" s="712"/>
      <c r="CY103" s="712"/>
      <c r="CZ103" s="712"/>
      <c r="DA103" s="712"/>
      <c r="DB103" s="712"/>
      <c r="DC103" s="712"/>
      <c r="DD103" s="712"/>
      <c r="DE103" s="712"/>
      <c r="DF103" s="712"/>
      <c r="DG103" s="712"/>
      <c r="DH103" s="712"/>
      <c r="DI103" s="712"/>
      <c r="DJ103" s="712"/>
      <c r="DK103" s="712"/>
      <c r="DL103" s="712"/>
      <c r="DM103" s="712"/>
      <c r="DN103" s="712"/>
      <c r="DO103" s="712"/>
      <c r="DP103" s="712"/>
      <c r="DQ103" s="712"/>
      <c r="DR103" s="712"/>
      <c r="DS103" s="712"/>
      <c r="DT103" s="712"/>
      <c r="DU103" s="712"/>
      <c r="DV103" s="712"/>
      <c r="DW103" s="712"/>
      <c r="DX103" s="712"/>
      <c r="DY103" s="712"/>
      <c r="DZ103" s="712"/>
      <c r="EA103" s="712"/>
      <c r="EB103" s="712"/>
      <c r="EC103" s="712"/>
      <c r="ED103" s="712"/>
      <c r="EE103" s="712"/>
      <c r="EF103" s="712"/>
      <c r="EG103" s="712"/>
      <c r="EH103" s="712"/>
      <c r="EI103" s="712"/>
      <c r="EJ103" s="712"/>
      <c r="EK103" s="712"/>
      <c r="EL103" s="712"/>
      <c r="EM103" s="712"/>
      <c r="EN103" s="712"/>
      <c r="EO103" s="712"/>
      <c r="EP103" s="712"/>
      <c r="EQ103" s="712"/>
      <c r="ER103" s="712"/>
      <c r="ES103" s="712"/>
      <c r="ET103" s="712"/>
      <c r="EU103" s="712"/>
      <c r="EV103" s="712"/>
      <c r="EW103" s="712"/>
      <c r="EX103" s="712"/>
      <c r="EY103" s="712"/>
      <c r="EZ103" s="712"/>
      <c r="FA103" s="712"/>
      <c r="FB103" s="712"/>
      <c r="FC103" s="712"/>
      <c r="FD103" s="712"/>
      <c r="FE103" s="712"/>
      <c r="FF103" s="712"/>
      <c r="FG103" s="712"/>
      <c r="FH103" s="712"/>
      <c r="FI103" s="712"/>
      <c r="FJ103" s="712"/>
      <c r="FK103" s="712"/>
      <c r="FL103" s="712"/>
      <c r="FM103" s="712"/>
      <c r="FN103" s="712"/>
      <c r="FO103" s="712"/>
      <c r="FP103" s="712"/>
    </row>
    <row r="104" spans="1:173" s="169" customFormat="1">
      <c r="A104" s="147" t="s">
        <v>453</v>
      </c>
      <c r="B104" s="725"/>
      <c r="C104" s="725"/>
      <c r="D104" s="725"/>
      <c r="E104" s="725"/>
      <c r="F104" s="725"/>
      <c r="G104" s="725"/>
      <c r="H104" s="725"/>
      <c r="I104" s="725"/>
      <c r="J104" s="725"/>
      <c r="K104" s="726"/>
      <c r="L104" s="727">
        <f t="shared" ref="L104:BW104" si="105">L102+L100</f>
        <v>126.65600000000001</v>
      </c>
      <c r="M104" s="727">
        <f t="shared" si="105"/>
        <v>134.40299999999999</v>
      </c>
      <c r="N104" s="727">
        <f t="shared" si="105"/>
        <v>157.553</v>
      </c>
      <c r="O104" s="727">
        <f t="shared" si="105"/>
        <v>202.25</v>
      </c>
      <c r="P104" s="728">
        <f>O104</f>
        <v>202.25</v>
      </c>
      <c r="Q104" s="727">
        <f t="shared" si="105"/>
        <v>447.79100000000005</v>
      </c>
      <c r="R104" s="727">
        <f t="shared" si="105"/>
        <v>507.18299999999999</v>
      </c>
      <c r="S104" s="727">
        <f t="shared" si="105"/>
        <v>983.346</v>
      </c>
      <c r="T104" s="727">
        <f t="shared" si="105"/>
        <v>1016.4269999999999</v>
      </c>
      <c r="U104" s="728">
        <f>T104</f>
        <v>1016.4269999999999</v>
      </c>
      <c r="V104" s="727">
        <f t="shared" si="105"/>
        <v>1081.7840000000001</v>
      </c>
      <c r="W104" s="727">
        <f t="shared" si="105"/>
        <v>1189.258</v>
      </c>
      <c r="X104" s="727">
        <f t="shared" si="105"/>
        <v>1247.3499999999999</v>
      </c>
      <c r="Y104" s="727">
        <f t="shared" si="105"/>
        <v>1503.174</v>
      </c>
      <c r="Z104" s="728">
        <f>Y104</f>
        <v>1503.174</v>
      </c>
      <c r="AA104" s="727">
        <f t="shared" si="105"/>
        <v>1599.7170000000001</v>
      </c>
      <c r="AB104" s="727">
        <f t="shared" si="105"/>
        <v>1615.154</v>
      </c>
      <c r="AC104" s="727">
        <f t="shared" si="105"/>
        <v>1629.6970000000001</v>
      </c>
      <c r="AD104" s="727">
        <f t="shared" si="105"/>
        <v>1617.0149999999999</v>
      </c>
      <c r="AE104" s="728">
        <f>AD104</f>
        <v>1617.0149999999999</v>
      </c>
      <c r="AF104" s="727">
        <f t="shared" si="105"/>
        <v>1687.5329999999999</v>
      </c>
      <c r="AG104" s="727">
        <f t="shared" si="105"/>
        <v>1780.1129999999998</v>
      </c>
      <c r="AH104" s="727">
        <f t="shared" si="105"/>
        <v>1458.78</v>
      </c>
      <c r="AI104" s="727">
        <f t="shared" si="105"/>
        <v>1399.3439999999998</v>
      </c>
      <c r="AJ104" s="728">
        <f>AI104</f>
        <v>1399.3439999999998</v>
      </c>
      <c r="AK104" s="727">
        <f t="shared" si="105"/>
        <v>1458.19</v>
      </c>
      <c r="AL104" s="727">
        <f t="shared" si="105"/>
        <v>1480.8890000000001</v>
      </c>
      <c r="AM104" s="727">
        <f t="shared" si="105"/>
        <v>1539.6559999999999</v>
      </c>
      <c r="AN104" s="727">
        <f t="shared" si="105"/>
        <v>1628.5360000000001</v>
      </c>
      <c r="AO104" s="728">
        <f>AN104</f>
        <v>1628.5360000000001</v>
      </c>
      <c r="AP104" s="727">
        <f t="shared" si="105"/>
        <v>1635.0940000000001</v>
      </c>
      <c r="AQ104" s="727">
        <f t="shared" si="105"/>
        <v>1728.2179999999998</v>
      </c>
      <c r="AR104" s="727">
        <f t="shared" si="105"/>
        <v>1805.508</v>
      </c>
      <c r="AS104" s="727">
        <f t="shared" si="105"/>
        <v>1915.299</v>
      </c>
      <c r="AT104" s="728">
        <f>AS104</f>
        <v>1915.299</v>
      </c>
      <c r="AU104" s="727">
        <f t="shared" si="105"/>
        <v>2200.828</v>
      </c>
      <c r="AV104" s="727">
        <f t="shared" si="105"/>
        <v>2183.8289999999997</v>
      </c>
      <c r="AW104" s="727">
        <f t="shared" si="105"/>
        <v>2531.1530000000002</v>
      </c>
      <c r="AX104" s="727">
        <f t="shared" si="105"/>
        <v>2675.2629999999999</v>
      </c>
      <c r="AY104" s="728">
        <f>AX104</f>
        <v>2675.2629999999999</v>
      </c>
      <c r="AZ104" s="727">
        <f t="shared" si="105"/>
        <v>2800.8679999999995</v>
      </c>
      <c r="BA104" s="727">
        <f t="shared" si="105"/>
        <v>3036.2669999999998</v>
      </c>
      <c r="BB104" s="727">
        <f>BB102+BB100</f>
        <v>3475.2629999999999</v>
      </c>
      <c r="BC104" s="727">
        <f>BC102+BC100</f>
        <v>3747.6709999999998</v>
      </c>
      <c r="BD104" s="728">
        <f>BC104</f>
        <v>3747.6709999999998</v>
      </c>
      <c r="BE104" s="727">
        <f t="shared" si="105"/>
        <v>3807.4579999999996</v>
      </c>
      <c r="BF104" s="727">
        <f t="shared" si="105"/>
        <v>3960.049</v>
      </c>
      <c r="BG104" s="727">
        <f t="shared" si="105"/>
        <v>3648.8979999999997</v>
      </c>
      <c r="BH104" s="727">
        <f t="shared" si="105"/>
        <v>3350.7269999999999</v>
      </c>
      <c r="BI104" s="728">
        <f>BH104</f>
        <v>3350.7269999999999</v>
      </c>
      <c r="BJ104" s="727">
        <f t="shared" si="105"/>
        <v>3178.7040000000002</v>
      </c>
      <c r="BK104" s="727">
        <f t="shared" si="105"/>
        <v>3298.4090000000001</v>
      </c>
      <c r="BL104" s="727">
        <f t="shared" si="105"/>
        <v>3463.5740000000001</v>
      </c>
      <c r="BM104" s="727">
        <f t="shared" si="105"/>
        <v>3585.9179999999997</v>
      </c>
      <c r="BN104" s="728">
        <f>BM104</f>
        <v>3585.9179999999997</v>
      </c>
      <c r="BO104" s="727">
        <f t="shared" si="105"/>
        <v>3803.0299999999997</v>
      </c>
      <c r="BP104" s="727">
        <f t="shared" si="105"/>
        <v>3731.268</v>
      </c>
      <c r="BQ104" s="727">
        <f t="shared" si="105"/>
        <v>3915.5790000000002</v>
      </c>
      <c r="BR104" s="727">
        <f t="shared" si="105"/>
        <v>4495.2460000000001</v>
      </c>
      <c r="BS104" s="728">
        <f>BR104</f>
        <v>4495.2460000000001</v>
      </c>
      <c r="BT104" s="727">
        <f t="shared" si="105"/>
        <v>4736.7439999999997</v>
      </c>
      <c r="BU104" s="727">
        <f t="shared" si="105"/>
        <v>4913.6139999999996</v>
      </c>
      <c r="BV104" s="727">
        <f t="shared" si="105"/>
        <v>5089.0429999999997</v>
      </c>
      <c r="BW104" s="727">
        <f t="shared" si="105"/>
        <v>5552.9279999999999</v>
      </c>
      <c r="BX104" s="728">
        <f>BW104</f>
        <v>5552.9279999999999</v>
      </c>
      <c r="BY104" s="727">
        <f>BY102+BY100</f>
        <v>5708.1669999999995</v>
      </c>
      <c r="BZ104" s="727">
        <f>BZ102+BZ100</f>
        <v>5891.8810000000003</v>
      </c>
      <c r="CA104" s="727">
        <f>CA102+CA100</f>
        <v>6075.1439999999993</v>
      </c>
      <c r="CB104" s="727">
        <f>CB102+CB100</f>
        <v>6412.2450000000008</v>
      </c>
      <c r="CC104" s="728">
        <f>CB104</f>
        <v>6412.2450000000008</v>
      </c>
      <c r="CD104" s="727">
        <f>CD102+CD100</f>
        <v>6279.527</v>
      </c>
      <c r="CE104" s="727">
        <f>CE102+CE100</f>
        <v>5569.5919999999996</v>
      </c>
      <c r="CF104" s="727">
        <f>CF102+CF100</f>
        <v>5711.3729999999996</v>
      </c>
      <c r="CG104" s="727">
        <f>CG102+CG100</f>
        <v>7250.8940000000002</v>
      </c>
      <c r="CH104" s="728">
        <f>CG104</f>
        <v>7250.8940000000002</v>
      </c>
      <c r="CI104" s="727">
        <f>CI102+CI100</f>
        <v>6864.6629999999996</v>
      </c>
      <c r="CJ104" s="727">
        <f>CJ102+CJ100</f>
        <v>6933.7190000000001</v>
      </c>
      <c r="CK104" s="727">
        <f>CK102+CK100</f>
        <v>6885.8690000000006</v>
      </c>
      <c r="CL104" s="727">
        <f>CL102+CL100</f>
        <v>7201.3680000000004</v>
      </c>
      <c r="CM104" s="728">
        <f>CL104</f>
        <v>7201.3680000000004</v>
      </c>
      <c r="CN104" s="727">
        <f>CN102+CN100</f>
        <v>7291</v>
      </c>
      <c r="CO104" s="727">
        <f>CO102+CO100</f>
        <v>6979</v>
      </c>
      <c r="CP104" s="727">
        <f>CP102+CP100</f>
        <v>7174</v>
      </c>
      <c r="CQ104" s="727">
        <f>CQ102+CQ100</f>
        <v>7370</v>
      </c>
      <c r="CR104" s="728">
        <f>CQ104</f>
        <v>7370</v>
      </c>
      <c r="CS104" s="727">
        <f>CS102+CS100</f>
        <v>7108</v>
      </c>
      <c r="CT104" s="727">
        <f>CT102+CT100</f>
        <v>7461</v>
      </c>
      <c r="CU104" s="727">
        <f>CU102+CU100</f>
        <v>9612</v>
      </c>
      <c r="CV104" s="727">
        <f>CV102+CV100</f>
        <v>9841</v>
      </c>
      <c r="CW104" s="728">
        <f>CV104</f>
        <v>9841</v>
      </c>
      <c r="CX104" s="727">
        <f>CX102+CX100</f>
        <v>9410</v>
      </c>
      <c r="CY104" s="727">
        <f>CY102+CY100</f>
        <v>9402</v>
      </c>
      <c r="CZ104" s="727">
        <f>CZ102+CZ100</f>
        <v>9830</v>
      </c>
      <c r="DA104" s="727">
        <f>DA102+DA100</f>
        <v>11241</v>
      </c>
      <c r="DB104" s="728">
        <f>DA104</f>
        <v>11241</v>
      </c>
      <c r="DC104" s="727">
        <f>DC102+DC100</f>
        <v>11460</v>
      </c>
      <c r="DD104" s="727">
        <f>DD102+DD100</f>
        <v>12882</v>
      </c>
      <c r="DE104" s="727">
        <f>DE102+DE100</f>
        <v>13657</v>
      </c>
      <c r="DF104" s="727">
        <f>DF102+DF100</f>
        <v>13292</v>
      </c>
      <c r="DG104" s="728">
        <f>DF104</f>
        <v>13292</v>
      </c>
      <c r="DH104" s="727">
        <f>DH102+DH100</f>
        <v>14021</v>
      </c>
      <c r="DI104" s="727">
        <f>DI102+DI100</f>
        <v>14775</v>
      </c>
      <c r="DJ104" s="727">
        <f>DJ102+DJ100</f>
        <v>15810</v>
      </c>
      <c r="DK104" s="727">
        <f>DK102+DK100</f>
        <v>17315</v>
      </c>
      <c r="DL104" s="728">
        <f>DK104</f>
        <v>17315</v>
      </c>
      <c r="DM104" s="727">
        <f>DM102+DM100</f>
        <v>23254</v>
      </c>
      <c r="DN104" s="727">
        <f>DN102+DN100</f>
        <v>25180</v>
      </c>
      <c r="DO104" s="727">
        <f>DO102+DO100</f>
        <v>26881</v>
      </c>
      <c r="DP104" s="727">
        <f>DP102+DP100</f>
        <v>28791</v>
      </c>
      <c r="DQ104" s="728">
        <f>DP104</f>
        <v>28791</v>
      </c>
      <c r="DR104" s="727">
        <f>DR102+DR100</f>
        <v>30796</v>
      </c>
      <c r="DS104" s="727">
        <f>DS102+DS100</f>
        <v>38650</v>
      </c>
      <c r="DT104" s="727">
        <f>DT102+DT100</f>
        <v>40632</v>
      </c>
      <c r="DU104" s="727">
        <f>DU102+DU100</f>
        <v>44187</v>
      </c>
      <c r="DV104" s="728">
        <f>DU104</f>
        <v>44187</v>
      </c>
      <c r="DW104" s="727">
        <f>DW102+DW100</f>
        <v>45212</v>
      </c>
      <c r="DX104" s="727">
        <f>DX102+DX100</f>
        <v>43476</v>
      </c>
      <c r="DY104" s="727">
        <f>DY102+DY100</f>
        <v>40488</v>
      </c>
      <c r="DZ104" s="727">
        <f>DZ102+DZ100</f>
        <v>41182</v>
      </c>
      <c r="EA104" s="728">
        <f>DZ104</f>
        <v>41182</v>
      </c>
      <c r="EB104" s="727">
        <f>EB102+EB100</f>
        <v>44460</v>
      </c>
      <c r="EC104" s="727">
        <f>EC102+EC100</f>
        <v>49555</v>
      </c>
      <c r="ED104" s="727">
        <f>ED102+ED100</f>
        <v>54148</v>
      </c>
      <c r="EE104" s="727">
        <f>EE102+EE100</f>
        <v>65728</v>
      </c>
      <c r="EF104" s="728">
        <f>EE104</f>
        <v>65728</v>
      </c>
      <c r="EG104" s="727">
        <f>EG102+EG100</f>
        <v>77072</v>
      </c>
      <c r="EH104" s="727">
        <f>EH102+EH100</f>
        <v>85227</v>
      </c>
      <c r="EI104" s="727">
        <f>EI102+EI100</f>
        <v>96013</v>
      </c>
      <c r="EJ104" s="727">
        <f>EJ102+EJ100</f>
        <v>111601</v>
      </c>
      <c r="EK104" s="728">
        <f>EJ104</f>
        <v>111601</v>
      </c>
      <c r="EL104" s="727">
        <f>EL102+EL100</f>
        <v>125254</v>
      </c>
      <c r="EM104" s="727">
        <f>EM102+EM100</f>
        <v>140740</v>
      </c>
      <c r="EN104" s="727">
        <f>EN102+EN100</f>
        <v>161148</v>
      </c>
      <c r="EO104" s="727">
        <f>EO102+EO100</f>
        <v>206803</v>
      </c>
      <c r="EP104" s="728">
        <f>EO104</f>
        <v>206803</v>
      </c>
      <c r="EQ104" s="727">
        <f>EQ102+EQ100</f>
        <v>259474</v>
      </c>
      <c r="ER104" s="727">
        <f>ER102+ER100</f>
        <v>287803.84417185286</v>
      </c>
      <c r="ES104" s="727">
        <f>ES102+ES100</f>
        <v>327221.65993470664</v>
      </c>
      <c r="ET104" s="727">
        <f>ET102+ET100</f>
        <v>375410.13470788434</v>
      </c>
      <c r="EU104" s="728">
        <f>ET104</f>
        <v>375410.13470788434</v>
      </c>
      <c r="EV104" s="727">
        <f>EV102+EV100</f>
        <v>427600.38856984791</v>
      </c>
      <c r="EW104" s="727">
        <f>EW102+EW100</f>
        <v>487709.72921822697</v>
      </c>
      <c r="EX104" s="727">
        <f>EX102+EX100</f>
        <v>556169.0971192416</v>
      </c>
      <c r="EY104" s="727">
        <f>EY102+EY100</f>
        <v>630795.53096364054</v>
      </c>
      <c r="EZ104" s="728">
        <f>EY104</f>
        <v>630795.53096364054</v>
      </c>
      <c r="FA104" s="727">
        <f>FA102+FA100</f>
        <v>707728.75297337805</v>
      </c>
      <c r="FB104" s="727">
        <f>FB102+FB100</f>
        <v>784522.32545433776</v>
      </c>
      <c r="FC104" s="727">
        <f>FC102+FC100</f>
        <v>869855.51462401869</v>
      </c>
      <c r="FD104" s="727">
        <f>FD102+FD100</f>
        <v>961152.60008392006</v>
      </c>
      <c r="FE104" s="728">
        <f>FD104</f>
        <v>961152.60008392006</v>
      </c>
      <c r="FF104" s="727">
        <f>FF102+FF100</f>
        <v>1050405.2726982599</v>
      </c>
      <c r="FG104" s="727">
        <f>FG102+FG100</f>
        <v>1141134.220346391</v>
      </c>
      <c r="FH104" s="727">
        <f>FH102+FH100</f>
        <v>1236343.970030617</v>
      </c>
      <c r="FI104" s="727">
        <f>FI102+FI100</f>
        <v>1334290.395485081</v>
      </c>
      <c r="FJ104" s="728">
        <f>FI104</f>
        <v>1334290.395485081</v>
      </c>
      <c r="FK104" s="727">
        <f>FK102+FK100</f>
        <v>1432040.4326551654</v>
      </c>
      <c r="FL104" s="727">
        <f>FL102+FL100</f>
        <v>1529822.7611214134</v>
      </c>
      <c r="FM104" s="727">
        <f>FM102+FM100</f>
        <v>1636802.1407408428</v>
      </c>
      <c r="FN104" s="727">
        <f>FN102+FN100</f>
        <v>1749779.705923924</v>
      </c>
      <c r="FO104" s="728">
        <f>FN104</f>
        <v>1749779.705923924</v>
      </c>
      <c r="FP104" s="728"/>
    </row>
    <row r="105" spans="1:173">
      <c r="M105" s="205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48"/>
      <c r="BG105" s="148"/>
      <c r="BH105" s="148"/>
      <c r="BI105" s="148"/>
      <c r="BJ105" s="148"/>
      <c r="BK105" s="148"/>
      <c r="BL105" s="148"/>
      <c r="BM105" s="148"/>
      <c r="BN105" s="148"/>
      <c r="BO105" s="148"/>
      <c r="BP105" s="148"/>
      <c r="BQ105" s="148"/>
      <c r="BR105" s="148"/>
      <c r="BS105" s="148"/>
      <c r="BT105" s="148"/>
      <c r="BU105" s="148"/>
      <c r="BV105" s="148"/>
      <c r="BW105" s="148"/>
      <c r="BX105" s="148"/>
      <c r="BY105" s="148"/>
      <c r="BZ105" s="148"/>
      <c r="CA105" s="148"/>
      <c r="CB105" s="148"/>
      <c r="CC105" s="148"/>
      <c r="CD105" s="148"/>
      <c r="CE105" s="148"/>
      <c r="CF105" s="148"/>
      <c r="CG105" s="148"/>
      <c r="CH105" s="148"/>
      <c r="CI105" s="148"/>
      <c r="CJ105" s="148"/>
      <c r="CK105" s="148"/>
      <c r="CL105" s="148"/>
      <c r="CM105" s="148"/>
      <c r="CN105" s="148"/>
      <c r="CO105" s="148"/>
      <c r="CP105" s="148"/>
      <c r="CQ105" s="148"/>
      <c r="CR105" s="148"/>
      <c r="CS105" s="148"/>
      <c r="CT105" s="148"/>
      <c r="CU105" s="148"/>
      <c r="CV105" s="148"/>
      <c r="CW105" s="148"/>
      <c r="CX105" s="148"/>
      <c r="CY105" s="148"/>
      <c r="CZ105" s="148"/>
      <c r="DA105" s="148"/>
      <c r="DC105" s="148"/>
      <c r="DD105" s="148"/>
      <c r="DE105" s="148"/>
      <c r="DF105" s="148"/>
      <c r="DG105" s="148"/>
      <c r="DH105" s="148"/>
      <c r="DI105" s="148"/>
      <c r="DJ105" s="148"/>
      <c r="DK105" s="148"/>
      <c r="DL105" s="148"/>
      <c r="DM105" s="148"/>
      <c r="DN105" s="148"/>
      <c r="DO105" s="148"/>
      <c r="DP105" s="148"/>
      <c r="DQ105" s="148"/>
      <c r="DR105" s="148"/>
      <c r="DS105" s="148"/>
      <c r="DT105" s="148"/>
      <c r="DU105" s="148"/>
      <c r="DV105" s="148"/>
      <c r="DW105" s="148"/>
      <c r="DX105" s="148"/>
      <c r="DY105" s="148"/>
      <c r="DZ105" s="148"/>
      <c r="EA105" s="148"/>
      <c r="EB105" s="148"/>
      <c r="EC105" s="148"/>
      <c r="ED105" s="148"/>
      <c r="EE105" s="148"/>
      <c r="EF105" s="148"/>
      <c r="EG105" s="148"/>
      <c r="EH105" s="148"/>
      <c r="EI105" s="148"/>
      <c r="EJ105" s="148"/>
      <c r="EK105" s="148"/>
      <c r="EL105" s="148"/>
      <c r="EM105" s="148"/>
      <c r="EN105" s="148"/>
      <c r="EO105" s="148"/>
      <c r="EP105" s="148"/>
      <c r="EQ105" s="148"/>
      <c r="ER105" s="148"/>
      <c r="ES105" s="148"/>
      <c r="ET105" s="148"/>
      <c r="EU105" s="148"/>
      <c r="EV105" s="148"/>
      <c r="EW105" s="148"/>
      <c r="EX105" s="148"/>
      <c r="EY105" s="148"/>
      <c r="EZ105" s="148"/>
      <c r="FA105" s="148"/>
      <c r="FB105" s="148"/>
      <c r="FC105" s="148"/>
      <c r="FD105" s="148"/>
      <c r="FE105" s="148"/>
      <c r="FF105" s="148"/>
      <c r="FG105" s="148"/>
      <c r="FH105" s="148"/>
      <c r="FI105" s="148"/>
      <c r="FJ105" s="148"/>
      <c r="FK105" s="148"/>
      <c r="FL105" s="148"/>
      <c r="FM105" s="148"/>
      <c r="FN105" s="148"/>
      <c r="FO105" s="148"/>
      <c r="FP105" s="148"/>
    </row>
    <row r="106" spans="1:173">
      <c r="A106" s="171" t="s">
        <v>454</v>
      </c>
      <c r="M106" s="205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  <c r="BC106" s="148"/>
      <c r="BD106" s="148"/>
      <c r="BE106" s="148"/>
      <c r="BF106" s="148"/>
      <c r="BG106" s="148"/>
      <c r="BH106" s="148"/>
      <c r="BI106" s="148"/>
      <c r="BJ106" s="148"/>
      <c r="BK106" s="148"/>
      <c r="BL106" s="148"/>
      <c r="BM106" s="148"/>
      <c r="BN106" s="148"/>
      <c r="BO106" s="148"/>
      <c r="BP106" s="148"/>
      <c r="BQ106" s="148"/>
      <c r="BR106" s="148"/>
      <c r="BS106" s="148"/>
      <c r="BT106" s="148"/>
      <c r="BU106" s="148"/>
      <c r="BV106" s="148"/>
      <c r="BW106" s="148"/>
      <c r="BX106" s="148"/>
      <c r="BY106" s="148"/>
      <c r="BZ106" s="148"/>
      <c r="CA106" s="148"/>
      <c r="CB106" s="148"/>
      <c r="CC106" s="148"/>
      <c r="CD106" s="148"/>
      <c r="CE106" s="148"/>
      <c r="CF106" s="148"/>
      <c r="CG106" s="148"/>
      <c r="CH106" s="148"/>
      <c r="CI106" s="148"/>
      <c r="CJ106" s="152">
        <f t="shared" ref="CJ106:CR106" si="106">CJ91+CJ97+CJ96-CJ62-CJ64</f>
        <v>-3015.8049999999998</v>
      </c>
      <c r="CK106" s="152">
        <f t="shared" si="106"/>
        <v>-2863.5379999999996</v>
      </c>
      <c r="CL106" s="152">
        <f t="shared" si="106"/>
        <v>-3238.9970000000003</v>
      </c>
      <c r="CM106" s="152">
        <f t="shared" si="106"/>
        <v>-3238.9970000000003</v>
      </c>
      <c r="CN106" s="152">
        <f t="shared" si="106"/>
        <v>-3401.0000000000005</v>
      </c>
      <c r="CO106" s="152">
        <f t="shared" si="106"/>
        <v>-3106</v>
      </c>
      <c r="CP106" s="152">
        <f t="shared" si="106"/>
        <v>-3322.0000000000005</v>
      </c>
      <c r="CQ106" s="152">
        <f t="shared" si="106"/>
        <v>-3537.0000000000005</v>
      </c>
      <c r="CR106" s="152">
        <f t="shared" si="106"/>
        <v>-3537.0000000000005</v>
      </c>
      <c r="CS106" s="152">
        <f>CS91+CS97+CS96-CS62-CS64</f>
        <v>-3254.0000000000005</v>
      </c>
      <c r="CT106" s="152">
        <f t="shared" ref="CT106:FE106" si="107">CT91+CT97+CT96-CT62-CT64</f>
        <v>-3379.0000000000005</v>
      </c>
      <c r="CU106" s="152">
        <f t="shared" si="107"/>
        <v>-3632.9999999999995</v>
      </c>
      <c r="CV106" s="152">
        <f>CV91+CV97+CV96-CV62-CV64</f>
        <v>-3987.9999999999995</v>
      </c>
      <c r="CW106" s="152">
        <f t="shared" si="107"/>
        <v>-3987.9999999999995</v>
      </c>
      <c r="CX106" s="152">
        <f>CX91+CX97+CX96-CX62-CX64</f>
        <v>-3999.9999999999995</v>
      </c>
      <c r="CY106" s="152">
        <f t="shared" si="107"/>
        <v>-3807</v>
      </c>
      <c r="CZ106" s="152">
        <f t="shared" si="107"/>
        <v>-4312</v>
      </c>
      <c r="DA106" s="152">
        <f t="shared" si="107"/>
        <v>-5123</v>
      </c>
      <c r="DB106" s="152">
        <f t="shared" si="107"/>
        <v>-5123</v>
      </c>
      <c r="DC106" s="152">
        <f t="shared" si="107"/>
        <v>-5314</v>
      </c>
      <c r="DD106" s="152">
        <f t="shared" si="107"/>
        <v>-5956</v>
      </c>
      <c r="DE106" s="152">
        <f t="shared" si="107"/>
        <v>-5601</v>
      </c>
      <c r="DF106" s="152">
        <f t="shared" si="107"/>
        <v>-5434</v>
      </c>
      <c r="DG106" s="152">
        <f t="shared" si="107"/>
        <v>-5434</v>
      </c>
      <c r="DH106" s="152">
        <f t="shared" si="107"/>
        <v>-5814</v>
      </c>
      <c r="DI106" s="152">
        <f t="shared" si="107"/>
        <v>-6486</v>
      </c>
      <c r="DJ106" s="152">
        <f>DJ91+DJ97+DJ96-DJ62-DJ64</f>
        <v>-7779</v>
      </c>
      <c r="DK106" s="152">
        <f t="shared" si="107"/>
        <v>-8906</v>
      </c>
      <c r="DL106" s="152">
        <f>DL91+DL97+DL96-DL62-DL64</f>
        <v>-8906</v>
      </c>
      <c r="DM106" s="152">
        <f t="shared" si="107"/>
        <v>-9395</v>
      </c>
      <c r="DN106" s="152">
        <f t="shared" si="107"/>
        <v>-4021</v>
      </c>
      <c r="DO106" s="152">
        <f t="shared" si="107"/>
        <v>-3178</v>
      </c>
      <c r="DP106" s="152">
        <f t="shared" si="107"/>
        <v>-4598</v>
      </c>
      <c r="DQ106" s="152">
        <f t="shared" si="107"/>
        <v>-4598</v>
      </c>
      <c r="DR106" s="152">
        <f t="shared" si="107"/>
        <v>-5704</v>
      </c>
      <c r="DS106" s="152">
        <f t="shared" si="107"/>
        <v>-7711</v>
      </c>
      <c r="DT106" s="152">
        <f t="shared" si="107"/>
        <v>-8354</v>
      </c>
      <c r="DU106" s="152">
        <f t="shared" si="107"/>
        <v>-10262</v>
      </c>
      <c r="DV106" s="152">
        <f t="shared" si="107"/>
        <v>-10262</v>
      </c>
      <c r="DW106" s="152">
        <f t="shared" si="107"/>
        <v>-9391</v>
      </c>
      <c r="DX106" s="152">
        <f t="shared" si="107"/>
        <v>-6088</v>
      </c>
      <c r="DY106" s="152">
        <f t="shared" si="107"/>
        <v>-2193</v>
      </c>
      <c r="DZ106" s="152">
        <f t="shared" si="107"/>
        <v>-2343</v>
      </c>
      <c r="EA106" s="152">
        <f t="shared" si="107"/>
        <v>-2343</v>
      </c>
      <c r="EB106" s="152">
        <f t="shared" si="107"/>
        <v>-4366</v>
      </c>
      <c r="EC106" s="152">
        <f t="shared" si="107"/>
        <v>-6318</v>
      </c>
      <c r="ED106" s="152">
        <f t="shared" si="107"/>
        <v>-8575</v>
      </c>
      <c r="EE106" s="152">
        <f t="shared" si="107"/>
        <v>-16275</v>
      </c>
      <c r="EF106" s="152">
        <f t="shared" si="107"/>
        <v>-16275</v>
      </c>
      <c r="EG106" s="152">
        <f t="shared" si="107"/>
        <v>-21728</v>
      </c>
      <c r="EH106" s="152">
        <f t="shared" si="107"/>
        <v>-26339</v>
      </c>
      <c r="EI106" s="152">
        <f t="shared" si="107"/>
        <v>-30025</v>
      </c>
      <c r="EJ106" s="152">
        <f t="shared" si="107"/>
        <v>-34747</v>
      </c>
      <c r="EK106" s="152">
        <f t="shared" si="107"/>
        <v>-34747</v>
      </c>
      <c r="EL106" s="152">
        <f t="shared" si="107"/>
        <v>-45227</v>
      </c>
      <c r="EM106" s="152">
        <f>EM91+EM97+EM96-EM62-EM64</f>
        <v>-48325</v>
      </c>
      <c r="EN106" s="152">
        <f>EN91+EN97+EN96-EN62-EN64</f>
        <v>-52141</v>
      </c>
      <c r="EO106" s="152">
        <f>EO91+EO97+EO96-EO62-EO64</f>
        <v>-54088</v>
      </c>
      <c r="EP106" s="152">
        <f t="shared" si="107"/>
        <v>-54088</v>
      </c>
      <c r="EQ106" s="152">
        <f t="shared" si="107"/>
        <v>-72102</v>
      </c>
      <c r="ER106" s="152">
        <f t="shared" si="107"/>
        <v>-70272.927737907885</v>
      </c>
      <c r="ES106" s="152">
        <f t="shared" si="107"/>
        <v>-82403.43782171738</v>
      </c>
      <c r="ET106" s="152">
        <f t="shared" si="107"/>
        <v>-107747.31244609515</v>
      </c>
      <c r="EU106" s="152">
        <f t="shared" si="107"/>
        <v>-107747.31244609515</v>
      </c>
      <c r="EV106" s="152">
        <f t="shared" si="107"/>
        <v>-140201.4357291215</v>
      </c>
      <c r="EW106" s="152">
        <f t="shared" si="107"/>
        <v>-171987.69022577748</v>
      </c>
      <c r="EX106" s="152">
        <f t="shared" si="107"/>
        <v>-208461.53635727114</v>
      </c>
      <c r="EY106" s="152">
        <f t="shared" si="107"/>
        <v>-259092.41308994842</v>
      </c>
      <c r="EZ106" s="152">
        <f t="shared" si="107"/>
        <v>-259092.41308994842</v>
      </c>
      <c r="FA106" s="152">
        <f t="shared" si="107"/>
        <v>-310775.14000718214</v>
      </c>
      <c r="FB106" s="152">
        <f t="shared" si="107"/>
        <v>-363769.35863026307</v>
      </c>
      <c r="FC106" s="152">
        <f t="shared" si="107"/>
        <v>-418862.59426888864</v>
      </c>
      <c r="FD106" s="152">
        <f t="shared" si="107"/>
        <v>-485520.1725307717</v>
      </c>
      <c r="FE106" s="152">
        <f t="shared" si="107"/>
        <v>-485520.1725307717</v>
      </c>
      <c r="FF106" s="152">
        <f t="shared" ref="FF106:FO106" si="108">FF91+FF97+FF96-FF62-FF64</f>
        <v>-548728.22281227808</v>
      </c>
      <c r="FG106" s="152">
        <f t="shared" si="108"/>
        <v>-615378.35581943463</v>
      </c>
      <c r="FH106" s="152">
        <f t="shared" si="108"/>
        <v>-682783.90091406833</v>
      </c>
      <c r="FI106" s="152">
        <f t="shared" si="108"/>
        <v>-757852.28465366852</v>
      </c>
      <c r="FJ106" s="152">
        <f t="shared" si="108"/>
        <v>-757852.28465366852</v>
      </c>
      <c r="FK106" s="152">
        <f t="shared" si="108"/>
        <v>-824927.52506915713</v>
      </c>
      <c r="FL106" s="152">
        <f t="shared" si="108"/>
        <v>-892204.50395513687</v>
      </c>
      <c r="FM106" s="152">
        <f t="shared" si="108"/>
        <v>-962483.72749413829</v>
      </c>
      <c r="FN106" s="152">
        <f t="shared" si="108"/>
        <v>-1045936.9758150978</v>
      </c>
      <c r="FO106" s="152">
        <f t="shared" si="108"/>
        <v>-1045936.9758150978</v>
      </c>
      <c r="FP106" s="152"/>
    </row>
    <row r="107" spans="1:173">
      <c r="A107" s="171" t="s">
        <v>418</v>
      </c>
      <c r="M107" s="205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  <c r="BA107" s="148"/>
      <c r="BB107" s="148"/>
      <c r="BC107" s="148"/>
      <c r="BD107" s="148"/>
      <c r="BE107" s="148"/>
      <c r="BF107" s="148"/>
      <c r="BG107" s="148"/>
      <c r="BH107" s="148"/>
      <c r="BI107" s="148"/>
      <c r="BJ107" s="148"/>
      <c r="BK107" s="148"/>
      <c r="BL107" s="148"/>
      <c r="BM107" s="148"/>
      <c r="BN107" s="148"/>
      <c r="BO107" s="148"/>
      <c r="BP107" s="148"/>
      <c r="BQ107" s="148"/>
      <c r="BR107" s="148"/>
      <c r="BS107" s="148"/>
      <c r="BT107" s="148"/>
      <c r="BU107" s="148"/>
      <c r="BV107" s="148"/>
      <c r="BW107" s="148"/>
      <c r="BX107" s="148"/>
      <c r="BY107" s="148"/>
      <c r="BZ107" s="148"/>
      <c r="CA107" s="148"/>
      <c r="CB107" s="148"/>
      <c r="CC107" s="148"/>
      <c r="CD107" s="148"/>
      <c r="CE107" s="148"/>
      <c r="CF107" s="148"/>
      <c r="CG107" s="148"/>
      <c r="CH107" s="148"/>
      <c r="CI107" s="148"/>
      <c r="CJ107" s="148"/>
      <c r="CK107" s="148"/>
      <c r="CL107" s="148"/>
      <c r="CM107" s="148"/>
      <c r="CN107" s="148"/>
      <c r="CO107" s="148"/>
      <c r="CP107" s="148"/>
      <c r="CQ107" s="148"/>
      <c r="CR107" s="148"/>
      <c r="CS107" s="148"/>
      <c r="CT107" s="148"/>
      <c r="CU107" s="148"/>
      <c r="CV107" s="148"/>
      <c r="CW107" s="148"/>
      <c r="CX107" s="148"/>
      <c r="CY107" s="148"/>
      <c r="CZ107" s="148"/>
      <c r="DA107" s="148"/>
      <c r="DC107" s="681">
        <f t="shared" ref="DC107:FN107" si="109">+DC56</f>
        <v>1356</v>
      </c>
      <c r="DD107" s="681">
        <f t="shared" si="109"/>
        <v>1218</v>
      </c>
      <c r="DE107" s="681">
        <f t="shared" si="109"/>
        <v>1138</v>
      </c>
      <c r="DF107" s="681">
        <f t="shared" si="109"/>
        <v>401</v>
      </c>
      <c r="DG107" s="682">
        <f t="shared" si="109"/>
        <v>4113</v>
      </c>
      <c r="DH107" s="681">
        <f t="shared" si="109"/>
        <v>470</v>
      </c>
      <c r="DI107" s="681">
        <f t="shared" si="109"/>
        <v>670</v>
      </c>
      <c r="DJ107" s="681">
        <f t="shared" si="109"/>
        <v>1026</v>
      </c>
      <c r="DK107" s="681">
        <f t="shared" si="109"/>
        <v>1106</v>
      </c>
      <c r="DL107" s="682">
        <f t="shared" si="109"/>
        <v>3272</v>
      </c>
      <c r="DM107" s="681">
        <f t="shared" si="109"/>
        <v>1088</v>
      </c>
      <c r="DN107" s="681">
        <f t="shared" si="109"/>
        <v>1361</v>
      </c>
      <c r="DO107" s="681">
        <f t="shared" si="109"/>
        <v>1909</v>
      </c>
      <c r="DP107" s="681">
        <f t="shared" si="109"/>
        <v>1959</v>
      </c>
      <c r="DQ107" s="682">
        <f t="shared" si="109"/>
        <v>6317</v>
      </c>
      <c r="DR107" s="681">
        <f>+DR56</f>
        <v>2409</v>
      </c>
      <c r="DS107" s="681">
        <f>+DS56</f>
        <v>2892</v>
      </c>
      <c r="DT107" s="681">
        <f>+DT56</f>
        <v>3125</v>
      </c>
      <c r="DU107" s="681">
        <f>+DU56</f>
        <v>3435</v>
      </c>
      <c r="DV107" s="682">
        <f t="shared" si="109"/>
        <v>11861</v>
      </c>
      <c r="DW107" s="681">
        <f>+DW56</f>
        <v>3711</v>
      </c>
      <c r="DX107" s="681">
        <f>+DX56</f>
        <v>1054</v>
      </c>
      <c r="DY107" s="681">
        <f>+DY56</f>
        <v>1197</v>
      </c>
      <c r="DZ107" s="681">
        <f>+DZ56</f>
        <v>1911</v>
      </c>
      <c r="EA107" s="682">
        <f t="shared" si="109"/>
        <v>7873</v>
      </c>
      <c r="EB107" s="681">
        <f t="shared" si="109"/>
        <v>2701</v>
      </c>
      <c r="EC107" s="681">
        <f t="shared" si="109"/>
        <v>7299</v>
      </c>
      <c r="ED107" s="681">
        <f t="shared" si="109"/>
        <v>10950</v>
      </c>
      <c r="EE107" s="681">
        <f t="shared" si="109"/>
        <v>14143</v>
      </c>
      <c r="EF107" s="682">
        <f t="shared" si="109"/>
        <v>35093</v>
      </c>
      <c r="EG107" s="681">
        <f t="shared" si="109"/>
        <v>17458</v>
      </c>
      <c r="EH107" s="681">
        <f t="shared" si="109"/>
        <v>19216</v>
      </c>
      <c r="EI107" s="681">
        <f t="shared" si="109"/>
        <v>22502</v>
      </c>
      <c r="EJ107" s="681">
        <f t="shared" si="109"/>
        <v>24738</v>
      </c>
      <c r="EK107" s="682">
        <f t="shared" si="109"/>
        <v>83914</v>
      </c>
      <c r="EL107" s="681">
        <f t="shared" si="109"/>
        <v>22412</v>
      </c>
      <c r="EM107" s="681">
        <f>+EM56</f>
        <v>29209</v>
      </c>
      <c r="EN107" s="681">
        <f>+EN56</f>
        <v>36849</v>
      </c>
      <c r="EO107" s="681">
        <f>+EO56</f>
        <v>45285</v>
      </c>
      <c r="EP107" s="682">
        <f t="shared" si="109"/>
        <v>133755</v>
      </c>
      <c r="EQ107" s="681">
        <f t="shared" si="109"/>
        <v>54780</v>
      </c>
      <c r="ER107" s="681">
        <f t="shared" si="109"/>
        <v>62444.009024745872</v>
      </c>
      <c r="ES107" s="681">
        <f t="shared" si="109"/>
        <v>75192.821310481551</v>
      </c>
      <c r="ET107" s="681">
        <f t="shared" si="109"/>
        <v>86103.533457705271</v>
      </c>
      <c r="EU107" s="682">
        <f t="shared" si="109"/>
        <v>278520.36379293271</v>
      </c>
      <c r="EV107" s="681">
        <f t="shared" si="109"/>
        <v>94196.657469663071</v>
      </c>
      <c r="EW107" s="681">
        <f t="shared" si="109"/>
        <v>103496.65311660673</v>
      </c>
      <c r="EX107" s="681">
        <f t="shared" si="109"/>
        <v>116182.73992156693</v>
      </c>
      <c r="EY107" s="681">
        <f t="shared" si="109"/>
        <v>124030.0283617797</v>
      </c>
      <c r="EZ107" s="682">
        <f t="shared" si="109"/>
        <v>437906.07886961644</v>
      </c>
      <c r="FA107" s="681">
        <f t="shared" si="109"/>
        <v>127179.59733663373</v>
      </c>
      <c r="FB107" s="681">
        <f t="shared" si="109"/>
        <v>130989.12058882328</v>
      </c>
      <c r="FC107" s="681">
        <f t="shared" si="109"/>
        <v>140642.36122585408</v>
      </c>
      <c r="FD107" s="681">
        <f t="shared" si="109"/>
        <v>147920.48453056763</v>
      </c>
      <c r="FE107" s="682">
        <f t="shared" si="109"/>
        <v>546731.56368187873</v>
      </c>
      <c r="FF107" s="681">
        <f t="shared" si="109"/>
        <v>148890.56245581582</v>
      </c>
      <c r="FG107" s="681">
        <f t="shared" si="109"/>
        <v>150430.14104433078</v>
      </c>
      <c r="FH107" s="681">
        <f t="shared" si="109"/>
        <v>155404.74260096141</v>
      </c>
      <c r="FI107" s="681">
        <f t="shared" si="109"/>
        <v>158688.14275023126</v>
      </c>
      <c r="FJ107" s="682">
        <f t="shared" si="109"/>
        <v>613413.5888513393</v>
      </c>
      <c r="FK107" s="681">
        <f t="shared" si="109"/>
        <v>161390.56558846342</v>
      </c>
      <c r="FL107" s="681">
        <f t="shared" si="109"/>
        <v>166339.42916202266</v>
      </c>
      <c r="FM107" s="681">
        <f t="shared" si="109"/>
        <v>176795.14546526101</v>
      </c>
      <c r="FN107" s="681">
        <f t="shared" si="109"/>
        <v>184084.66436725185</v>
      </c>
      <c r="FO107" s="682">
        <f t="shared" ref="FO107" si="110">+FO56</f>
        <v>688609.80458299897</v>
      </c>
      <c r="FP107" s="682"/>
    </row>
    <row r="108" spans="1:173">
      <c r="A108" s="171" t="s">
        <v>455</v>
      </c>
      <c r="M108" s="205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48"/>
      <c r="BB108" s="148"/>
      <c r="BC108" s="148"/>
      <c r="BD108" s="148"/>
      <c r="BE108" s="148"/>
      <c r="BF108" s="148"/>
      <c r="BG108" s="148"/>
      <c r="BH108" s="148"/>
      <c r="BI108" s="148"/>
      <c r="BJ108" s="148"/>
      <c r="BK108" s="148"/>
      <c r="BL108" s="148"/>
      <c r="BM108" s="148"/>
      <c r="BN108" s="148"/>
      <c r="BO108" s="148"/>
      <c r="BP108" s="148"/>
      <c r="BQ108" s="148"/>
      <c r="BR108" s="148"/>
      <c r="BS108" s="148"/>
      <c r="BT108" s="148"/>
      <c r="BU108" s="148"/>
      <c r="BV108" s="148"/>
      <c r="BW108" s="148"/>
      <c r="BX108" s="148"/>
      <c r="BY108" s="148"/>
      <c r="BZ108" s="148"/>
      <c r="CA108" s="148"/>
      <c r="CB108" s="148"/>
      <c r="CC108" s="148"/>
      <c r="CD108" s="148"/>
      <c r="CE108" s="148"/>
      <c r="CF108" s="148"/>
      <c r="CG108" s="148"/>
      <c r="CH108" s="148"/>
      <c r="CI108" s="148"/>
      <c r="CJ108" s="148"/>
      <c r="CK108" s="148"/>
      <c r="CL108" s="148"/>
      <c r="CM108" s="148"/>
      <c r="CN108" s="148"/>
      <c r="CO108" s="148"/>
      <c r="CP108" s="148"/>
      <c r="CQ108" s="148"/>
      <c r="CR108" s="148"/>
      <c r="CS108" s="148"/>
      <c r="CT108" s="148"/>
      <c r="CU108" s="148"/>
      <c r="CV108" s="148"/>
      <c r="CW108" s="148"/>
      <c r="CX108" s="148"/>
      <c r="CY108" s="148"/>
      <c r="CZ108" s="148"/>
      <c r="DA108" s="148"/>
      <c r="DC108" s="148"/>
      <c r="DD108" s="148"/>
      <c r="DE108" s="148"/>
      <c r="DF108" s="148"/>
      <c r="DG108" s="148"/>
      <c r="DH108" s="148"/>
      <c r="DI108" s="148"/>
      <c r="DJ108" s="148"/>
      <c r="DK108" s="148"/>
      <c r="DL108" s="148"/>
      <c r="DM108" s="148"/>
      <c r="DN108" s="148"/>
      <c r="DO108" s="148"/>
      <c r="DP108" s="148"/>
      <c r="DQ108" s="148"/>
      <c r="DR108" s="148"/>
      <c r="DS108" s="148"/>
      <c r="DT108" s="148"/>
      <c r="DU108" s="148"/>
      <c r="DV108" s="148"/>
      <c r="DW108" s="148"/>
      <c r="DX108" s="148"/>
      <c r="DY108" s="148"/>
      <c r="DZ108" s="148"/>
      <c r="EA108" s="148"/>
      <c r="EB108" s="148"/>
      <c r="EC108" s="148"/>
      <c r="ED108" s="148"/>
      <c r="EE108" s="148"/>
      <c r="EF108" s="148"/>
      <c r="EG108" s="148"/>
      <c r="EH108" s="148"/>
      <c r="EI108" s="148"/>
      <c r="EJ108" s="148"/>
      <c r="EK108" s="148"/>
      <c r="EL108" s="148"/>
      <c r="EM108" s="148"/>
      <c r="EN108" s="148"/>
      <c r="EO108" s="148"/>
      <c r="EP108" s="148"/>
      <c r="EQ108" s="148"/>
      <c r="ER108" s="148"/>
      <c r="ES108" s="148"/>
      <c r="ET108" s="148"/>
      <c r="EU108" s="148"/>
      <c r="EV108" s="148"/>
      <c r="EW108" s="148"/>
      <c r="EX108" s="148"/>
      <c r="EY108" s="148"/>
      <c r="EZ108" s="148"/>
      <c r="FA108" s="148"/>
      <c r="FB108" s="148"/>
      <c r="FC108" s="148"/>
      <c r="FD108" s="148"/>
      <c r="FE108" s="148"/>
      <c r="FF108" s="148"/>
      <c r="FG108" s="148"/>
      <c r="FH108" s="148"/>
      <c r="FI108" s="148"/>
      <c r="FJ108" s="148"/>
      <c r="FK108" s="148"/>
      <c r="FL108" s="148"/>
      <c r="FM108" s="148"/>
      <c r="FN108" s="148"/>
      <c r="FO108" s="148"/>
      <c r="FP108" s="148"/>
    </row>
    <row r="109" spans="1:173">
      <c r="M109" s="205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48"/>
      <c r="BC109" s="148"/>
      <c r="BD109" s="148"/>
      <c r="BE109" s="148"/>
      <c r="BF109" s="148"/>
      <c r="BG109" s="148"/>
      <c r="BH109" s="148"/>
      <c r="BI109" s="148"/>
      <c r="BJ109" s="148"/>
      <c r="BK109" s="148"/>
      <c r="BL109" s="148"/>
      <c r="BM109" s="148"/>
      <c r="BN109" s="148"/>
      <c r="BO109" s="148"/>
      <c r="BP109" s="148"/>
      <c r="BQ109" s="148"/>
      <c r="BR109" s="148"/>
      <c r="BS109" s="148"/>
      <c r="BT109" s="148"/>
      <c r="BU109" s="148"/>
      <c r="BV109" s="148"/>
      <c r="BW109" s="148"/>
      <c r="BX109" s="148"/>
      <c r="BY109" s="148"/>
      <c r="BZ109" s="148"/>
      <c r="CA109" s="148"/>
      <c r="CB109" s="148"/>
      <c r="CC109" s="148"/>
      <c r="CD109" s="148"/>
      <c r="CE109" s="148"/>
      <c r="CF109" s="148"/>
      <c r="CG109" s="148"/>
      <c r="CH109" s="148"/>
      <c r="CI109" s="148"/>
      <c r="CJ109" s="148"/>
      <c r="CK109" s="148"/>
      <c r="CL109" s="148"/>
      <c r="CM109" s="148"/>
      <c r="CN109" s="148"/>
      <c r="CO109" s="148"/>
      <c r="CP109" s="148"/>
      <c r="CQ109" s="148"/>
      <c r="CR109" s="148"/>
      <c r="CS109" s="148"/>
      <c r="CT109" s="148"/>
      <c r="CU109" s="148"/>
      <c r="CV109" s="148"/>
      <c r="CW109" s="148"/>
      <c r="CX109" s="148"/>
      <c r="CY109" s="148"/>
      <c r="CZ109" s="148"/>
      <c r="DA109" s="148"/>
      <c r="DC109" s="148"/>
      <c r="DD109" s="148"/>
      <c r="DE109" s="148"/>
      <c r="DF109" s="148"/>
      <c r="DG109" s="148"/>
      <c r="DH109" s="148"/>
      <c r="DI109" s="148"/>
      <c r="DJ109" s="148"/>
      <c r="DK109" s="148"/>
      <c r="DL109" s="148"/>
      <c r="DM109" s="148"/>
      <c r="DN109" s="148"/>
      <c r="DO109" s="148"/>
      <c r="DP109" s="148"/>
      <c r="DQ109" s="148"/>
      <c r="DR109" s="148"/>
      <c r="DS109" s="148"/>
      <c r="DT109" s="148"/>
      <c r="DU109" s="148"/>
      <c r="DV109" s="148"/>
      <c r="DW109" s="148"/>
      <c r="DX109" s="148"/>
      <c r="DY109" s="148"/>
      <c r="DZ109" s="148"/>
      <c r="EA109" s="148"/>
      <c r="EB109" s="148"/>
      <c r="EC109" s="148"/>
      <c r="ED109" s="148"/>
      <c r="EE109" s="148"/>
      <c r="EF109" s="148"/>
      <c r="EG109" s="148"/>
      <c r="EH109" s="148"/>
      <c r="EI109" s="148"/>
      <c r="EJ109" s="148"/>
      <c r="EK109" s="148"/>
      <c r="EL109" s="148"/>
      <c r="EM109" s="148"/>
      <c r="EN109" s="148"/>
      <c r="EO109" s="148"/>
      <c r="EP109" s="148"/>
      <c r="EQ109" s="148"/>
      <c r="ER109" s="148"/>
      <c r="ES109" s="148"/>
      <c r="ET109" s="148"/>
      <c r="EU109" s="148"/>
      <c r="EV109" s="148"/>
      <c r="EW109" s="148"/>
      <c r="EX109" s="148"/>
      <c r="EY109" s="148"/>
      <c r="EZ109" s="148"/>
      <c r="FA109" s="148"/>
      <c r="FB109" s="148"/>
      <c r="FC109" s="148"/>
      <c r="FD109" s="148"/>
      <c r="FE109" s="148"/>
      <c r="FF109" s="148"/>
      <c r="FG109" s="148"/>
      <c r="FH109" s="148"/>
      <c r="FI109" s="148"/>
      <c r="FJ109" s="148"/>
      <c r="FK109" s="148"/>
      <c r="FL109" s="148"/>
      <c r="FM109" s="148"/>
      <c r="FN109" s="148"/>
      <c r="FO109" s="148"/>
      <c r="FP109" s="148"/>
    </row>
    <row r="110" spans="1:173" s="198" customFormat="1" ht="18" customHeight="1">
      <c r="A110" s="194" t="s">
        <v>457</v>
      </c>
      <c r="B110" s="195"/>
      <c r="C110" s="195"/>
      <c r="D110" s="195"/>
      <c r="E110" s="195"/>
      <c r="F110" s="195"/>
      <c r="G110" s="195"/>
      <c r="H110" s="195"/>
      <c r="I110" s="195"/>
      <c r="J110" s="195"/>
      <c r="K110" s="195"/>
      <c r="L110" s="195"/>
      <c r="M110" s="195"/>
      <c r="N110" s="195"/>
      <c r="O110" s="195"/>
      <c r="P110" s="195"/>
      <c r="Q110" s="195"/>
      <c r="R110" s="195"/>
      <c r="S110" s="195"/>
      <c r="T110" s="195"/>
      <c r="U110" s="195"/>
      <c r="V110" s="195"/>
      <c r="W110" s="195"/>
      <c r="X110" s="195"/>
      <c r="Y110" s="195"/>
      <c r="Z110" s="195"/>
      <c r="AA110" s="195"/>
      <c r="AB110" s="195"/>
      <c r="AC110" s="195"/>
      <c r="AD110" s="195"/>
      <c r="AE110" s="195"/>
      <c r="AF110" s="195"/>
      <c r="AG110" s="195"/>
      <c r="AH110" s="196"/>
      <c r="AI110" s="196"/>
      <c r="AJ110" s="196"/>
      <c r="AK110" s="196"/>
      <c r="AL110" s="196"/>
      <c r="AM110" s="196"/>
      <c r="AN110" s="196"/>
      <c r="AO110" s="196"/>
      <c r="AP110" s="196"/>
      <c r="AQ110" s="196"/>
      <c r="AR110" s="196"/>
      <c r="AS110" s="196"/>
      <c r="AT110" s="196"/>
      <c r="AU110" s="196"/>
      <c r="AV110" s="196"/>
      <c r="AW110" s="196"/>
      <c r="AX110" s="196"/>
      <c r="AY110" s="196"/>
      <c r="AZ110" s="196"/>
      <c r="BA110" s="196"/>
      <c r="BB110" s="196"/>
      <c r="BC110" s="196"/>
      <c r="BD110" s="196"/>
      <c r="BE110" s="196"/>
      <c r="BF110" s="196"/>
      <c r="BG110" s="196"/>
      <c r="BH110" s="196"/>
      <c r="BI110" s="196"/>
      <c r="BJ110" s="196"/>
      <c r="BK110" s="196"/>
      <c r="BL110" s="196"/>
      <c r="BM110" s="196"/>
      <c r="BN110" s="196"/>
      <c r="BO110" s="196"/>
      <c r="BP110" s="196"/>
      <c r="BQ110" s="196"/>
      <c r="BR110" s="196"/>
      <c r="BS110" s="196"/>
      <c r="BT110" s="196"/>
      <c r="BU110" s="196"/>
      <c r="BV110" s="196"/>
      <c r="BW110" s="196"/>
      <c r="BX110" s="196"/>
      <c r="BY110" s="196"/>
      <c r="BZ110" s="196"/>
      <c r="CA110" s="196"/>
      <c r="CB110" s="196"/>
      <c r="CC110" s="196"/>
      <c r="CD110" s="196"/>
      <c r="CE110" s="196"/>
      <c r="CF110" s="196"/>
      <c r="CG110" s="196"/>
      <c r="CH110" s="196"/>
      <c r="CI110" s="196"/>
      <c r="CJ110" s="196"/>
      <c r="CK110" s="196"/>
      <c r="CL110" s="196"/>
      <c r="CM110" s="196"/>
      <c r="CN110" s="196"/>
      <c r="CO110" s="196"/>
      <c r="CP110" s="196"/>
      <c r="CQ110" s="196"/>
      <c r="CR110" s="196"/>
      <c r="CS110" s="196"/>
      <c r="CT110" s="196"/>
      <c r="CU110" s="196"/>
      <c r="CV110" s="196"/>
      <c r="CW110" s="196"/>
      <c r="CX110" s="196"/>
      <c r="CY110" s="196"/>
      <c r="CZ110" s="196"/>
      <c r="DA110" s="196"/>
      <c r="DB110" s="195"/>
      <c r="DC110" s="196"/>
      <c r="DD110" s="196"/>
      <c r="DE110" s="196"/>
      <c r="DF110" s="196"/>
      <c r="DG110" s="196"/>
      <c r="DH110" s="196"/>
      <c r="DI110" s="196"/>
      <c r="DJ110" s="196"/>
      <c r="DK110" s="196"/>
      <c r="DL110" s="196"/>
      <c r="DM110" s="196"/>
      <c r="DN110" s="196"/>
      <c r="DO110" s="196"/>
      <c r="DP110" s="196"/>
      <c r="DQ110" s="196"/>
      <c r="DR110" s="196"/>
      <c r="DS110" s="196"/>
      <c r="DT110" s="196"/>
      <c r="DU110" s="196"/>
      <c r="DV110" s="196"/>
      <c r="DW110" s="196"/>
      <c r="DX110" s="196"/>
      <c r="DY110" s="196"/>
      <c r="DZ110" s="196"/>
      <c r="EA110" s="196"/>
      <c r="EB110" s="196"/>
      <c r="EC110" s="196"/>
      <c r="ED110" s="196"/>
      <c r="EE110" s="196"/>
      <c r="EF110" s="196"/>
      <c r="EG110" s="196"/>
      <c r="EH110" s="196"/>
      <c r="EI110" s="196"/>
      <c r="EJ110" s="196"/>
      <c r="EK110" s="196"/>
      <c r="EL110" s="196"/>
      <c r="EM110" s="196"/>
      <c r="EN110" s="196"/>
      <c r="EO110" s="196"/>
      <c r="EP110" s="196"/>
      <c r="EQ110" s="196"/>
      <c r="ER110" s="196"/>
      <c r="ES110" s="196"/>
      <c r="ET110" s="196"/>
      <c r="EU110" s="196"/>
      <c r="EV110" s="196"/>
      <c r="EW110" s="196"/>
      <c r="EX110" s="196"/>
      <c r="EY110" s="196"/>
      <c r="EZ110" s="196"/>
      <c r="FA110" s="196"/>
      <c r="FB110" s="196"/>
      <c r="FC110" s="196"/>
      <c r="FD110" s="196"/>
      <c r="FE110" s="196"/>
      <c r="FF110" s="196"/>
      <c r="FG110" s="196"/>
      <c r="FH110" s="196"/>
      <c r="FI110" s="196"/>
      <c r="FJ110" s="196"/>
      <c r="FK110" s="196"/>
      <c r="FL110" s="196"/>
      <c r="FM110" s="196"/>
      <c r="FN110" s="196"/>
      <c r="FO110" s="196"/>
      <c r="FP110" s="197"/>
      <c r="FQ110" s="197"/>
    </row>
    <row r="111" spans="1:173">
      <c r="K111" s="149"/>
      <c r="M111" s="733"/>
      <c r="P111" s="149"/>
      <c r="S111" s="733"/>
      <c r="T111" s="733"/>
      <c r="U111" s="149"/>
      <c r="X111" s="733"/>
      <c r="Z111" s="149"/>
      <c r="AB111" s="206"/>
      <c r="AC111" s="733"/>
      <c r="AD111" s="733"/>
      <c r="AE111" s="149"/>
      <c r="AF111" s="733"/>
      <c r="AI111" s="207"/>
      <c r="AK111" s="207"/>
      <c r="AL111" s="207"/>
      <c r="AS111" s="207"/>
      <c r="CF111" s="152"/>
      <c r="CT111" s="152"/>
      <c r="CU111" s="152"/>
      <c r="DB111" s="149"/>
    </row>
    <row r="112" spans="1:173">
      <c r="A112" s="147" t="s">
        <v>458</v>
      </c>
      <c r="B112" s="734"/>
      <c r="C112" s="734"/>
      <c r="K112" s="149"/>
      <c r="M112" s="733"/>
      <c r="N112" s="734"/>
      <c r="P112" s="149"/>
      <c r="Q112" s="733"/>
      <c r="R112" s="733"/>
      <c r="S112" s="733"/>
      <c r="T112" s="733"/>
      <c r="U112" s="149"/>
      <c r="X112" s="733"/>
      <c r="Z112" s="149"/>
      <c r="AB112" s="206"/>
      <c r="AC112" s="733"/>
      <c r="AD112" s="733"/>
      <c r="AE112" s="149"/>
      <c r="AF112" s="733"/>
      <c r="AH112" s="207"/>
      <c r="AI112" s="207"/>
      <c r="AK112" s="207"/>
      <c r="AL112" s="207"/>
      <c r="AS112" s="207"/>
      <c r="BY112" s="152"/>
      <c r="BZ112" s="152"/>
      <c r="CD112" s="150"/>
      <c r="CE112" s="150"/>
      <c r="CF112" s="150"/>
      <c r="CP112" s="152"/>
      <c r="CQ112" s="152"/>
      <c r="CT112" s="152"/>
      <c r="CU112" s="152"/>
      <c r="CY112" s="152"/>
      <c r="CZ112" s="152"/>
      <c r="DA112" s="152"/>
      <c r="DB112" s="149"/>
      <c r="DD112" s="152"/>
      <c r="DI112" s="208"/>
      <c r="DJ112" s="208"/>
    </row>
    <row r="113" spans="1:173">
      <c r="A113" s="171" t="s">
        <v>459</v>
      </c>
      <c r="B113" s="734"/>
      <c r="C113" s="734"/>
      <c r="D113" s="734"/>
      <c r="E113" s="734"/>
      <c r="F113" s="734"/>
      <c r="G113" s="734"/>
      <c r="H113" s="734"/>
      <c r="I113" s="734"/>
      <c r="J113" s="734"/>
      <c r="K113" s="706"/>
      <c r="L113" s="209">
        <f>L44</f>
        <v>6.2610000000000046</v>
      </c>
      <c r="M113" s="209">
        <f>M44</f>
        <v>7.0769999999999973</v>
      </c>
      <c r="N113" s="209">
        <f>N44</f>
        <v>13.029</v>
      </c>
      <c r="O113" s="209">
        <f>O44</f>
        <v>14.592000000000011</v>
      </c>
      <c r="P113" s="735">
        <f t="shared" ref="P113:P118" si="111">SUM(L113:O113)</f>
        <v>40.95900000000001</v>
      </c>
      <c r="Q113" s="209">
        <f>Q44</f>
        <v>14.695</v>
      </c>
      <c r="R113" s="209">
        <f>R44</f>
        <v>23.637000000000018</v>
      </c>
      <c r="S113" s="209">
        <f>S44</f>
        <v>28.319999999999997</v>
      </c>
      <c r="T113" s="209">
        <f>T44</f>
        <v>31.81699999999995</v>
      </c>
      <c r="U113" s="735">
        <f t="shared" ref="U113:U118" si="112">SUM(Q113:T113)</f>
        <v>98.468999999999966</v>
      </c>
      <c r="V113" s="209">
        <f>V44</f>
        <v>26.649999999999995</v>
      </c>
      <c r="W113" s="209">
        <f>W44</f>
        <v>32.926000000000016</v>
      </c>
      <c r="X113" s="209">
        <f>X44</f>
        <v>41.315000000000005</v>
      </c>
      <c r="Y113" s="209">
        <f>Y44</f>
        <v>77.84669999999997</v>
      </c>
      <c r="Z113" s="735">
        <f t="shared" ref="Z113:Z118" si="113">SUM(V113:Y113)</f>
        <v>178.73769999999999</v>
      </c>
      <c r="AA113" s="209">
        <f>AA44</f>
        <v>83.244999999999948</v>
      </c>
      <c r="AB113" s="209">
        <f>AB44</f>
        <v>5.2540000000000369</v>
      </c>
      <c r="AC113" s="209">
        <f>AC44</f>
        <v>-48.636000000000017</v>
      </c>
      <c r="AD113" s="209">
        <v>50.935999999999979</v>
      </c>
      <c r="AE113" s="735">
        <f t="shared" ref="AE113:AE118" si="114">SUM(AA113:AD113)</f>
        <v>90.79899999999995</v>
      </c>
      <c r="AF113" s="209">
        <f>AF44</f>
        <v>19.747000000000014</v>
      </c>
      <c r="AG113" s="209">
        <f>AG44</f>
        <v>24.149999999999977</v>
      </c>
      <c r="AH113" s="209">
        <f>AH44</f>
        <v>6.3560000000000176</v>
      </c>
      <c r="AI113" s="209">
        <f>AI44</f>
        <v>24.166000000000047</v>
      </c>
      <c r="AJ113" s="735">
        <f t="shared" ref="AJ113:AJ118" si="115">SUM(AF113:AI113)</f>
        <v>74.419000000000054</v>
      </c>
      <c r="AK113" s="209">
        <f>AK44</f>
        <v>21.348999999999922</v>
      </c>
      <c r="AL113" s="209">
        <f>AL44</f>
        <v>5.1189999999999634</v>
      </c>
      <c r="AM113" s="209">
        <f>AM44</f>
        <v>25.879000000000026</v>
      </c>
      <c r="AN113" s="209">
        <f>AN44</f>
        <v>48.009000000000007</v>
      </c>
      <c r="AO113" s="735">
        <f t="shared" ref="AO113:AO118" si="116">SUM(AK113:AN113)</f>
        <v>100.35599999999991</v>
      </c>
      <c r="AP113" s="209">
        <v>64.444000000000003</v>
      </c>
      <c r="AQ113" s="209">
        <f>AQ44</f>
        <v>74.837000000000003</v>
      </c>
      <c r="AR113" s="209">
        <f>AR44</f>
        <v>65.252999999999943</v>
      </c>
      <c r="AS113" s="209">
        <f>AS44</f>
        <v>98.052000000000035</v>
      </c>
      <c r="AT113" s="735">
        <f t="shared" ref="AT113:AT118" si="117">SUM(AP113:AS113)</f>
        <v>302.58599999999996</v>
      </c>
      <c r="AU113" s="209">
        <f>AU44</f>
        <v>92.064000000000007</v>
      </c>
      <c r="AV113" s="209">
        <f>AV44</f>
        <v>86.753000000000043</v>
      </c>
      <c r="AW113" s="209">
        <f>AW44</f>
        <v>106.51100000000002</v>
      </c>
      <c r="AX113" s="209">
        <f>AX44</f>
        <v>163.506</v>
      </c>
      <c r="AY113" s="735">
        <f t="shared" ref="AY113:AY118" si="118">SUM(AU113:AX113)</f>
        <v>448.83400000000006</v>
      </c>
      <c r="AZ113" s="209">
        <f>AZ44</f>
        <v>132.25900000000001</v>
      </c>
      <c r="BA113" s="209">
        <f>BA44</f>
        <v>172.732</v>
      </c>
      <c r="BB113" s="209">
        <f>BB44</f>
        <v>235.66099999999997</v>
      </c>
      <c r="BC113" s="209">
        <f>BC44</f>
        <v>256.99299999999994</v>
      </c>
      <c r="BD113" s="735">
        <f t="shared" ref="BD113:BD118" si="119">SUM(AZ113:BC113)</f>
        <v>797.64499999999987</v>
      </c>
      <c r="BE113" s="209">
        <f>BE44</f>
        <v>176.80499999999995</v>
      </c>
      <c r="BF113" s="209">
        <f>BF44</f>
        <v>-120.92900000000002</v>
      </c>
      <c r="BG113" s="209">
        <f>BG44</f>
        <v>12.447999999999949</v>
      </c>
      <c r="BH113" s="209">
        <f>BH44</f>
        <v>-147.66499999999999</v>
      </c>
      <c r="BI113" s="735">
        <f t="shared" ref="BI113:BI118" si="120">SUM(BE113:BH113)</f>
        <v>-79.341000000000108</v>
      </c>
      <c r="BJ113" s="209">
        <f>BJ44</f>
        <v>-201.33799999999999</v>
      </c>
      <c r="BK113" s="209">
        <f>BK44</f>
        <v>-105.30200000000004</v>
      </c>
      <c r="BL113" s="209">
        <f>BL44</f>
        <v>107.57699999999998</v>
      </c>
      <c r="BM113" s="209">
        <f>BM44</f>
        <v>131.07600000000002</v>
      </c>
      <c r="BN113" s="735">
        <f t="shared" ref="BN113:BN118" si="121">SUM(BJ113:BM113)</f>
        <v>-67.987000000000023</v>
      </c>
      <c r="BO113" s="209">
        <f>BO44</f>
        <v>137.59399999999994</v>
      </c>
      <c r="BP113" s="209">
        <f>BP44</f>
        <v>-140.9610000000001</v>
      </c>
      <c r="BQ113" s="209">
        <f>BQ44</f>
        <v>84.862000000000023</v>
      </c>
      <c r="BR113" s="209">
        <f>BR44</f>
        <v>171.65100000000001</v>
      </c>
      <c r="BS113" s="735">
        <f t="shared" ref="BS113:BS118" si="122">SUM(BO113:BR113)</f>
        <v>253.14599999999987</v>
      </c>
      <c r="BT113" s="209">
        <f t="shared" ref="BT113:CG113" si="123">BT44</f>
        <v>135.21900000000002</v>
      </c>
      <c r="BU113" s="209">
        <f t="shared" si="123"/>
        <v>151.57299999999998</v>
      </c>
      <c r="BV113" s="209">
        <f t="shared" si="123"/>
        <v>178.27299999999997</v>
      </c>
      <c r="BW113" s="209">
        <f t="shared" si="123"/>
        <v>116.02499999999992</v>
      </c>
      <c r="BX113" s="735">
        <f t="shared" si="123"/>
        <v>581.08999999999992</v>
      </c>
      <c r="BY113" s="209">
        <f t="shared" si="123"/>
        <v>60.437000000000062</v>
      </c>
      <c r="BZ113" s="209">
        <f t="shared" si="123"/>
        <v>119.04599999999994</v>
      </c>
      <c r="CA113" s="209">
        <f t="shared" si="123"/>
        <v>209.07999999999993</v>
      </c>
      <c r="CB113" s="209">
        <f t="shared" si="123"/>
        <v>173.97300000000007</v>
      </c>
      <c r="CC113" s="735">
        <f t="shared" si="123"/>
        <v>562.53599999999994</v>
      </c>
      <c r="CD113" s="209">
        <f t="shared" si="123"/>
        <v>77.891000000000005</v>
      </c>
      <c r="CE113" s="209">
        <f t="shared" si="123"/>
        <v>96.448000000000064</v>
      </c>
      <c r="CF113" s="209">
        <f t="shared" si="123"/>
        <v>118.73400000000012</v>
      </c>
      <c r="CG113" s="209">
        <f t="shared" si="123"/>
        <v>146.91700000000006</v>
      </c>
      <c r="CH113" s="735">
        <f t="shared" ref="CH113:CH118" si="124">SUM(CD113:CG113)</f>
        <v>439.99000000000024</v>
      </c>
      <c r="CI113" s="209">
        <f>CI44</f>
        <v>136.51600000000013</v>
      </c>
      <c r="CJ113" s="209">
        <f>CJ44</f>
        <v>127.97600000000004</v>
      </c>
      <c r="CK113" s="209">
        <f>CK44</f>
        <v>172.96700000000013</v>
      </c>
      <c r="CL113" s="209">
        <f>CL44</f>
        <v>193.12799999999996</v>
      </c>
      <c r="CM113" s="735">
        <f t="shared" ref="CM113:CM118" si="125">SUM(CI113:CL113)</f>
        <v>630.58700000000022</v>
      </c>
      <c r="CN113" s="209">
        <f>CN44</f>
        <v>134</v>
      </c>
      <c r="CO113" s="209">
        <f>CO44</f>
        <v>26</v>
      </c>
      <c r="CP113" s="209">
        <f>CP44</f>
        <v>246</v>
      </c>
      <c r="CQ113" s="209">
        <f>CQ44+1</f>
        <v>208</v>
      </c>
      <c r="CR113" s="735">
        <f t="shared" ref="CR113:CR118" si="126">SUM(CN113:CQ113)</f>
        <v>614</v>
      </c>
      <c r="CS113" s="209">
        <f>CS44</f>
        <v>196</v>
      </c>
      <c r="CT113" s="209">
        <f>CT44</f>
        <v>253</v>
      </c>
      <c r="CU113" s="209">
        <v>563</v>
      </c>
      <c r="CV113" s="209">
        <f>1666-CU113-CT113-CS113</f>
        <v>654</v>
      </c>
      <c r="CW113" s="735">
        <f t="shared" ref="CW113:CW118" si="127">SUM(CS113:CV113)</f>
        <v>1666</v>
      </c>
      <c r="CX113" s="209">
        <f>CX44</f>
        <v>507</v>
      </c>
      <c r="CY113" s="209">
        <f>CY44</f>
        <v>583</v>
      </c>
      <c r="CZ113" s="209">
        <v>839</v>
      </c>
      <c r="DA113" s="209">
        <f>DA44</f>
        <v>1118</v>
      </c>
      <c r="DB113" s="735">
        <f t="shared" ref="DB113:DB118" si="128">SUM(CX113:DA113)</f>
        <v>3047</v>
      </c>
      <c r="DC113" s="209">
        <f>DC44</f>
        <v>1244</v>
      </c>
      <c r="DD113" s="209">
        <f>DD44</f>
        <v>1101</v>
      </c>
      <c r="DE113" s="209">
        <f>DE44</f>
        <v>1230</v>
      </c>
      <c r="DF113" s="209">
        <f>DF44</f>
        <v>567</v>
      </c>
      <c r="DG113" s="735">
        <f t="shared" ref="DG113:DG118" si="129">SUM(DC113:DF113)</f>
        <v>4142</v>
      </c>
      <c r="DH113" s="209">
        <f>DH44</f>
        <v>394</v>
      </c>
      <c r="DI113" s="209">
        <f>DI44</f>
        <v>552</v>
      </c>
      <c r="DJ113" s="209">
        <f>DJ44</f>
        <v>899</v>
      </c>
      <c r="DK113" s="209">
        <f>DK44</f>
        <v>950</v>
      </c>
      <c r="DL113" s="735">
        <f t="shared" ref="DL113:DL118" si="130">SUM(DH113:DK113)</f>
        <v>2795</v>
      </c>
      <c r="DM113" s="209">
        <f>DM44</f>
        <v>917</v>
      </c>
      <c r="DN113" s="209">
        <f>DN44</f>
        <v>622</v>
      </c>
      <c r="DO113" s="209">
        <f>DO44</f>
        <v>1336</v>
      </c>
      <c r="DP113" s="209">
        <f>DP44</f>
        <v>1457</v>
      </c>
      <c r="DQ113" s="735">
        <f t="shared" ref="DQ113:DQ118" si="131">SUM(DM113:DP113)</f>
        <v>4332</v>
      </c>
      <c r="DR113" s="209">
        <f>DR44</f>
        <v>1912</v>
      </c>
      <c r="DS113" s="209">
        <f>DS44</f>
        <v>2374</v>
      </c>
      <c r="DT113" s="209">
        <f>DT44</f>
        <v>2464</v>
      </c>
      <c r="DU113" s="209">
        <f>DU44</f>
        <v>3003</v>
      </c>
      <c r="DV113" s="735">
        <f t="shared" ref="DV113:DV118" si="132">SUM(DR113:DU113)</f>
        <v>9753</v>
      </c>
      <c r="DW113" s="209">
        <f>DW44</f>
        <v>1618</v>
      </c>
      <c r="DX113" s="209">
        <f>DX44</f>
        <v>656</v>
      </c>
      <c r="DY113" s="209">
        <f>DY44</f>
        <v>680</v>
      </c>
      <c r="DZ113" s="209">
        <f>DZ44</f>
        <v>1414</v>
      </c>
      <c r="EA113" s="735">
        <f t="shared" ref="EA113:EA118" si="133">SUM(DW113:DZ113)</f>
        <v>4368</v>
      </c>
      <c r="EB113" s="209">
        <f>EB44</f>
        <v>2043</v>
      </c>
      <c r="EC113" s="209">
        <f>EC44</f>
        <v>6188</v>
      </c>
      <c r="ED113" s="209">
        <f>ED44</f>
        <v>9243</v>
      </c>
      <c r="EE113" s="209">
        <f>EE44</f>
        <v>12285</v>
      </c>
      <c r="EF113" s="735">
        <f t="shared" ref="EF113:EF118" si="134">SUM(EB113:EE113)</f>
        <v>29759</v>
      </c>
      <c r="EG113" s="209">
        <f>EG44</f>
        <v>14881</v>
      </c>
      <c r="EH113" s="209">
        <f>EH44</f>
        <v>16599</v>
      </c>
      <c r="EI113" s="209">
        <f>EI44</f>
        <v>19309</v>
      </c>
      <c r="EJ113" s="209">
        <f>EJ44</f>
        <v>22091</v>
      </c>
      <c r="EK113" s="735">
        <f t="shared" ref="EK113:EK118" si="135">SUM(EG113:EJ113)</f>
        <v>72880</v>
      </c>
      <c r="EL113" s="209">
        <f>EL44</f>
        <v>18775</v>
      </c>
      <c r="EM113" s="209">
        <f>EM44</f>
        <v>26422</v>
      </c>
      <c r="EN113" s="209">
        <f>EN44</f>
        <v>31910</v>
      </c>
      <c r="EO113" s="209">
        <f>EO44</f>
        <v>42960</v>
      </c>
      <c r="EP113" s="735">
        <f t="shared" ref="EP113:EP118" si="136">SUM(EL113:EO113)</f>
        <v>120067</v>
      </c>
      <c r="EQ113" s="209">
        <f>EQ44</f>
        <v>58321</v>
      </c>
      <c r="ER113" s="209">
        <f>ER44</f>
        <v>51388.627490539075</v>
      </c>
      <c r="ES113" s="209">
        <f>ES44</f>
        <v>61978.441687699684</v>
      </c>
      <c r="ET113" s="209">
        <f>ET44</f>
        <v>71042.632769895368</v>
      </c>
      <c r="EU113" s="735">
        <f t="shared" ref="EU113:EU118" si="137">SUM(EQ113:ET113)</f>
        <v>242730.70194813411</v>
      </c>
      <c r="EV113" s="209">
        <f>EV44</f>
        <v>77776.52569982034</v>
      </c>
      <c r="EW113" s="209">
        <f>EW44</f>
        <v>85512.12208678358</v>
      </c>
      <c r="EX113" s="209">
        <f>EX44</f>
        <v>96058.174134900546</v>
      </c>
      <c r="EY113" s="209">
        <f>EY44</f>
        <v>102588.02354027715</v>
      </c>
      <c r="EZ113" s="735">
        <f t="shared" ref="EZ113:EZ118" si="138">SUM(EV113:EY113)</f>
        <v>361934.8454617816</v>
      </c>
      <c r="FA113" s="209">
        <f>FA44</f>
        <v>105218.765789406</v>
      </c>
      <c r="FB113" s="209">
        <f>FB44</f>
        <v>108397.27008872332</v>
      </c>
      <c r="FC113" s="209">
        <f>FC44</f>
        <v>116426.05981745888</v>
      </c>
      <c r="FD113" s="209">
        <f>FD44</f>
        <v>122483.50216037114</v>
      </c>
      <c r="FE113" s="735">
        <f t="shared" ref="FE113:FE118" si="139">SUM(FA113:FD113)</f>
        <v>452525.59785595932</v>
      </c>
      <c r="FF113" s="209">
        <f>FF44</f>
        <v>123305.26683832712</v>
      </c>
      <c r="FG113" s="209">
        <f>FG44</f>
        <v>124599.71706679455</v>
      </c>
      <c r="FH113" s="209">
        <f>FH44</f>
        <v>128745.23635879796</v>
      </c>
      <c r="FI113" s="209">
        <f>FI44</f>
        <v>131487.05848269194</v>
      </c>
      <c r="FJ113" s="735">
        <f t="shared" ref="FJ113:FJ118" si="140">SUM(FF113:FI113)</f>
        <v>508137.27874661161</v>
      </c>
      <c r="FK113" s="209">
        <f>FK44</f>
        <v>133746.66943842464</v>
      </c>
      <c r="FL113" s="209">
        <f>FL44</f>
        <v>137870.8262044788</v>
      </c>
      <c r="FM113" s="209">
        <f>FM44</f>
        <v>146565.67073616665</v>
      </c>
      <c r="FN113" s="209">
        <f>FN44</f>
        <v>152632.57142481903</v>
      </c>
      <c r="FO113" s="735">
        <f t="shared" ref="FO113:FO118" si="141">SUM(FK113:FN113)</f>
        <v>570815.73780388909</v>
      </c>
      <c r="FP113" s="735"/>
      <c r="FQ113" s="152"/>
    </row>
    <row r="114" spans="1:173">
      <c r="A114" s="171" t="s">
        <v>390</v>
      </c>
      <c r="B114" s="734"/>
      <c r="C114" s="734"/>
      <c r="D114" s="734"/>
      <c r="E114" s="734"/>
      <c r="F114" s="734"/>
      <c r="G114" s="734"/>
      <c r="H114" s="734"/>
      <c r="I114" s="734"/>
      <c r="J114" s="734"/>
      <c r="K114" s="706"/>
      <c r="L114" s="209">
        <f>L11</f>
        <v>1.458</v>
      </c>
      <c r="M114" s="209">
        <f>M11</f>
        <v>2.1819999999999999</v>
      </c>
      <c r="N114" s="209">
        <f>N11</f>
        <v>2.5030000000000001</v>
      </c>
      <c r="O114" s="209">
        <f>O11</f>
        <v>2.8629999999999995</v>
      </c>
      <c r="P114" s="735">
        <f t="shared" si="111"/>
        <v>9.0060000000000002</v>
      </c>
      <c r="Q114" s="209">
        <f>Q11</f>
        <v>3.048</v>
      </c>
      <c r="R114" s="209">
        <f>R11</f>
        <v>3.3109999999999999</v>
      </c>
      <c r="S114" s="209">
        <f>S11</f>
        <v>4.3620000000000001</v>
      </c>
      <c r="T114" s="209">
        <f>T11</f>
        <v>5.0030000000000001</v>
      </c>
      <c r="U114" s="735">
        <f t="shared" si="112"/>
        <v>15.724</v>
      </c>
      <c r="V114" s="209">
        <f>V11</f>
        <v>6.1950000000000003</v>
      </c>
      <c r="W114" s="209">
        <f>W11</f>
        <v>10.62</v>
      </c>
      <c r="X114" s="209">
        <f>X11</f>
        <v>11.916999999999998</v>
      </c>
      <c r="Y114" s="209">
        <f>Y11</f>
        <v>14.759000000000004</v>
      </c>
      <c r="Z114" s="735">
        <f t="shared" si="113"/>
        <v>43.491</v>
      </c>
      <c r="AA114" s="209">
        <f>AA11</f>
        <v>12.83</v>
      </c>
      <c r="AB114" s="209">
        <f>AB11</f>
        <v>14.069000000000001</v>
      </c>
      <c r="AC114" s="209">
        <f>AC11</f>
        <v>16.166</v>
      </c>
      <c r="AD114" s="209">
        <v>15.150999999999994</v>
      </c>
      <c r="AE114" s="735">
        <f t="shared" si="114"/>
        <v>58.215999999999994</v>
      </c>
      <c r="AF114" s="209">
        <f>AF11</f>
        <v>15.958</v>
      </c>
      <c r="AG114" s="209">
        <f>AG11</f>
        <v>19.61</v>
      </c>
      <c r="AH114" s="209">
        <f>AH11</f>
        <v>22.841999999999999</v>
      </c>
      <c r="AI114" s="209">
        <f>AI11</f>
        <v>23.606000000000009</v>
      </c>
      <c r="AJ114" s="735">
        <f t="shared" si="115"/>
        <v>82.016000000000005</v>
      </c>
      <c r="AK114" s="209">
        <f>AK11</f>
        <v>23.411999999999999</v>
      </c>
      <c r="AL114" s="209">
        <f>AL11</f>
        <v>24.073999999999998</v>
      </c>
      <c r="AM114" s="209">
        <f>71.512-SUM(AK114:AL114)</f>
        <v>24.026000000000003</v>
      </c>
      <c r="AN114" s="209">
        <f>102.597-SUM(AK114:AM114)</f>
        <v>31.084999999999994</v>
      </c>
      <c r="AO114" s="735">
        <f t="shared" si="116"/>
        <v>102.59699999999999</v>
      </c>
      <c r="AP114" s="209">
        <v>24.893000000000001</v>
      </c>
      <c r="AQ114" s="209">
        <f>AQ11</f>
        <v>24.774000000000001</v>
      </c>
      <c r="AR114" s="209">
        <f>AR11</f>
        <v>24.521999999999991</v>
      </c>
      <c r="AS114" s="209">
        <f>AS11</f>
        <v>23.788000000000011</v>
      </c>
      <c r="AT114" s="735">
        <f t="shared" si="117"/>
        <v>97.977000000000004</v>
      </c>
      <c r="AU114" s="209">
        <v>24.030999999999999</v>
      </c>
      <c r="AV114" s="209">
        <f>48.239-AU114</f>
        <v>24.207999999999998</v>
      </c>
      <c r="AW114" s="209">
        <f>73.27-SUM(AU114:AV114)</f>
        <v>25.030999999999999</v>
      </c>
      <c r="AX114" s="209">
        <f>107.562-SUM(AU114:AW114)</f>
        <v>34.292000000000002</v>
      </c>
      <c r="AY114" s="735">
        <f t="shared" si="118"/>
        <v>107.562</v>
      </c>
      <c r="AZ114" s="209">
        <v>31.334</v>
      </c>
      <c r="BA114" s="209">
        <f>63.226-AZ114</f>
        <v>31.891999999999999</v>
      </c>
      <c r="BB114" s="209">
        <f>96.256-SUM(AZ114:BA114)</f>
        <v>33.03</v>
      </c>
      <c r="BC114" s="209">
        <f>133.192-SUM(AZ114:BB114)</f>
        <v>36.936000000000007</v>
      </c>
      <c r="BD114" s="735">
        <f t="shared" si="119"/>
        <v>133.19200000000001</v>
      </c>
      <c r="BE114" s="209">
        <v>41.357999999999997</v>
      </c>
      <c r="BF114" s="209">
        <f>87.664-SUM(BE114)</f>
        <v>46.306000000000004</v>
      </c>
      <c r="BG114" s="209">
        <f>136.968-BF114-BE114</f>
        <v>49.303999999999981</v>
      </c>
      <c r="BH114" s="209">
        <f>185.023-BG114-BF114-BE114</f>
        <v>48.055000000000014</v>
      </c>
      <c r="BI114" s="735">
        <f t="shared" si="120"/>
        <v>185.023</v>
      </c>
      <c r="BJ114" s="209">
        <v>50.658000000000001</v>
      </c>
      <c r="BK114" s="209">
        <f>99.98-BJ114</f>
        <v>49.322000000000003</v>
      </c>
      <c r="BL114" s="209">
        <f>BL11</f>
        <v>48</v>
      </c>
      <c r="BM114" s="209">
        <f>196.664-BL114-BK114-BJ114</f>
        <v>48.683999999999983</v>
      </c>
      <c r="BN114" s="735">
        <f t="shared" si="121"/>
        <v>196.66399999999999</v>
      </c>
      <c r="BO114" s="209">
        <v>47.146999999999998</v>
      </c>
      <c r="BP114" s="209">
        <v>46.573</v>
      </c>
      <c r="BQ114" s="209">
        <v>46.875999999999998</v>
      </c>
      <c r="BR114" s="209">
        <f>186.989-BQ114-BP114-BO114</f>
        <v>46.392999999999994</v>
      </c>
      <c r="BS114" s="735">
        <f t="shared" si="122"/>
        <v>186.989</v>
      </c>
      <c r="BT114" s="209">
        <f>BT11</f>
        <v>47.764000000000003</v>
      </c>
      <c r="BU114" s="209">
        <f>BU11</f>
        <v>52.158999999999999</v>
      </c>
      <c r="BV114" s="209">
        <f>BV11</f>
        <v>52.4</v>
      </c>
      <c r="BW114" s="209">
        <f>BW11</f>
        <v>51.882000000000012</v>
      </c>
      <c r="BX114" s="735">
        <f>SUM(BT114:BW114)</f>
        <v>204.20500000000001</v>
      </c>
      <c r="BY114" s="209">
        <f>BY11</f>
        <v>54.491</v>
      </c>
      <c r="BZ114" s="209">
        <f>BZ11</f>
        <v>56.195000000000007</v>
      </c>
      <c r="CA114" s="209">
        <f>CA11</f>
        <v>57.147999999999996</v>
      </c>
      <c r="CB114" s="209">
        <f>226.235-CA114-BZ114-BY114</f>
        <v>58.40100000000001</v>
      </c>
      <c r="CC114" s="735">
        <f>SUM(BY114:CB114)</f>
        <v>226.23500000000001</v>
      </c>
      <c r="CD114" s="209">
        <v>59.744</v>
      </c>
      <c r="CE114" s="209">
        <f>CE11</f>
        <v>61.84</v>
      </c>
      <c r="CF114" s="209">
        <f>CF11</f>
        <v>62.725999999999999</v>
      </c>
      <c r="CG114" s="209">
        <f>CG11</f>
        <v>54.837999999999994</v>
      </c>
      <c r="CH114" s="735">
        <f t="shared" si="124"/>
        <v>239.148</v>
      </c>
      <c r="CI114" s="209">
        <f>CI11</f>
        <v>55.082999999999998</v>
      </c>
      <c r="CJ114" s="209">
        <f>CJ11</f>
        <v>55.606999999999999</v>
      </c>
      <c r="CK114" s="209">
        <f>166.17-CJ114-CI114</f>
        <v>55.47999999999999</v>
      </c>
      <c r="CL114" s="209">
        <f>220.125-CK114-CJ114-CI114</f>
        <v>53.955000000000013</v>
      </c>
      <c r="CM114" s="735">
        <f t="shared" si="125"/>
        <v>220.125</v>
      </c>
      <c r="CN114" s="209">
        <v>54</v>
      </c>
      <c r="CO114" s="209">
        <f>103-CN114</f>
        <v>49</v>
      </c>
      <c r="CP114" s="209">
        <f>151-CO114-CN114</f>
        <v>48</v>
      </c>
      <c r="CQ114" s="209">
        <f>197-CP114-CO114-CN114</f>
        <v>46</v>
      </c>
      <c r="CR114" s="735">
        <f t="shared" si="126"/>
        <v>197</v>
      </c>
      <c r="CS114" s="209">
        <f>CS11</f>
        <v>45</v>
      </c>
      <c r="CT114" s="209">
        <f>CT11</f>
        <v>47</v>
      </c>
      <c r="CU114" s="209">
        <f>CU11</f>
        <v>48</v>
      </c>
      <c r="CV114" s="209">
        <f>187-CU114-CT114-CS114</f>
        <v>47</v>
      </c>
      <c r="CW114" s="735">
        <f t="shared" si="127"/>
        <v>187</v>
      </c>
      <c r="CX114" s="209">
        <v>47</v>
      </c>
      <c r="CY114" s="209">
        <f>96-CX114</f>
        <v>49</v>
      </c>
      <c r="CZ114" s="209">
        <f>145-CY114-CX114</f>
        <v>49</v>
      </c>
      <c r="DA114" s="209">
        <f>199-CZ114-CY114-CX114</f>
        <v>54</v>
      </c>
      <c r="DB114" s="735">
        <f t="shared" si="128"/>
        <v>199</v>
      </c>
      <c r="DC114" s="209">
        <v>57</v>
      </c>
      <c r="DD114" s="209">
        <f>116-DC114</f>
        <v>59</v>
      </c>
      <c r="DE114" s="209">
        <f>184-DD114-DC114</f>
        <v>68</v>
      </c>
      <c r="DF114" s="209">
        <f>262-DE114-DD114-DC114</f>
        <v>78</v>
      </c>
      <c r="DG114" s="735">
        <f t="shared" si="129"/>
        <v>262</v>
      </c>
      <c r="DH114" s="209">
        <f>DH11</f>
        <v>91</v>
      </c>
      <c r="DI114" s="209">
        <f>183-DH114</f>
        <v>92</v>
      </c>
      <c r="DJ114" s="209">
        <f>275-DI114-DH114</f>
        <v>92</v>
      </c>
      <c r="DK114" s="209">
        <v>106</v>
      </c>
      <c r="DL114" s="735">
        <f t="shared" si="130"/>
        <v>381</v>
      </c>
      <c r="DM114" s="209">
        <v>107</v>
      </c>
      <c r="DN114" s="209">
        <v>404</v>
      </c>
      <c r="DO114" s="209">
        <v>299</v>
      </c>
      <c r="DP114" s="209">
        <v>287</v>
      </c>
      <c r="DQ114" s="735">
        <f t="shared" si="131"/>
        <v>1097</v>
      </c>
      <c r="DR114" s="209">
        <v>281</v>
      </c>
      <c r="DS114" s="209">
        <v>286</v>
      </c>
      <c r="DT114" s="209">
        <v>298</v>
      </c>
      <c r="DU114" s="209">
        <v>309</v>
      </c>
      <c r="DV114" s="735">
        <f t="shared" si="132"/>
        <v>1174</v>
      </c>
      <c r="DW114" s="209">
        <v>334</v>
      </c>
      <c r="DX114" s="209">
        <v>378</v>
      </c>
      <c r="DY114" s="209">
        <v>406</v>
      </c>
      <c r="DZ114" s="209">
        <v>426</v>
      </c>
      <c r="EA114" s="735">
        <f t="shared" si="133"/>
        <v>1544</v>
      </c>
      <c r="EB114" s="209">
        <v>384</v>
      </c>
      <c r="EC114" s="209">
        <v>365</v>
      </c>
      <c r="ED114" s="209">
        <v>372</v>
      </c>
      <c r="EE114" s="209">
        <v>387</v>
      </c>
      <c r="EF114" s="735">
        <f t="shared" si="134"/>
        <v>1508</v>
      </c>
      <c r="EG114" s="209">
        <v>410</v>
      </c>
      <c r="EH114" s="209">
        <v>433</v>
      </c>
      <c r="EI114" s="209">
        <v>478</v>
      </c>
      <c r="EJ114" s="209">
        <v>543</v>
      </c>
      <c r="EK114" s="735">
        <f t="shared" si="135"/>
        <v>1864</v>
      </c>
      <c r="EL114" s="209">
        <v>611</v>
      </c>
      <c r="EM114" s="209">
        <v>668</v>
      </c>
      <c r="EN114" s="209">
        <v>752</v>
      </c>
      <c r="EO114" s="209">
        <v>811</v>
      </c>
      <c r="EP114" s="735">
        <f t="shared" si="136"/>
        <v>2842</v>
      </c>
      <c r="EQ114" s="209">
        <v>997</v>
      </c>
      <c r="ER114" s="209">
        <f>ER11</f>
        <v>1002</v>
      </c>
      <c r="ES114" s="209">
        <f>ES11</f>
        <v>1007</v>
      </c>
      <c r="ET114" s="209">
        <f>ET11</f>
        <v>1012</v>
      </c>
      <c r="EU114" s="735">
        <f t="shared" si="137"/>
        <v>4018</v>
      </c>
      <c r="EV114" s="209">
        <f>EV11</f>
        <v>1017</v>
      </c>
      <c r="EW114" s="209">
        <f>EW11</f>
        <v>1022</v>
      </c>
      <c r="EX114" s="209">
        <f>EX11</f>
        <v>1027</v>
      </c>
      <c r="EY114" s="209">
        <f>EY11</f>
        <v>1032</v>
      </c>
      <c r="EZ114" s="735">
        <f t="shared" si="138"/>
        <v>4098</v>
      </c>
      <c r="FA114" s="209">
        <f>FA11</f>
        <v>1037</v>
      </c>
      <c r="FB114" s="209">
        <f>FB11</f>
        <v>1042</v>
      </c>
      <c r="FC114" s="209">
        <f>FC11</f>
        <v>1047</v>
      </c>
      <c r="FD114" s="209">
        <f>FD11</f>
        <v>1052</v>
      </c>
      <c r="FE114" s="735">
        <f t="shared" si="139"/>
        <v>4178</v>
      </c>
      <c r="FF114" s="209">
        <f>FF11</f>
        <v>1057</v>
      </c>
      <c r="FG114" s="209">
        <f>FG11</f>
        <v>1062</v>
      </c>
      <c r="FH114" s="209">
        <f>FH11</f>
        <v>1067</v>
      </c>
      <c r="FI114" s="209">
        <f>FI11</f>
        <v>1072</v>
      </c>
      <c r="FJ114" s="735">
        <f t="shared" si="140"/>
        <v>4258</v>
      </c>
      <c r="FK114" s="209">
        <f>FK11</f>
        <v>1077</v>
      </c>
      <c r="FL114" s="209">
        <f>FL11</f>
        <v>1082</v>
      </c>
      <c r="FM114" s="209">
        <f>FM11</f>
        <v>1087</v>
      </c>
      <c r="FN114" s="209">
        <f>FN11</f>
        <v>1092</v>
      </c>
      <c r="FO114" s="735">
        <f t="shared" si="141"/>
        <v>4338</v>
      </c>
      <c r="FP114" s="735"/>
      <c r="FQ114" s="152"/>
    </row>
    <row r="115" spans="1:173">
      <c r="A115" s="171" t="s">
        <v>460</v>
      </c>
      <c r="B115" s="734"/>
      <c r="C115" s="734"/>
      <c r="D115" s="734"/>
      <c r="E115" s="734"/>
      <c r="F115" s="734"/>
      <c r="G115" s="734"/>
      <c r="H115" s="734"/>
      <c r="I115" s="734"/>
      <c r="J115" s="734"/>
      <c r="K115" s="706"/>
      <c r="L115" s="209"/>
      <c r="M115" s="209"/>
      <c r="N115" s="209"/>
      <c r="O115" s="209"/>
      <c r="P115" s="735">
        <f t="shared" si="111"/>
        <v>0</v>
      </c>
      <c r="Q115" s="209"/>
      <c r="R115" s="209"/>
      <c r="S115" s="209"/>
      <c r="T115" s="209">
        <v>-27.201000000000001</v>
      </c>
      <c r="U115" s="735">
        <f t="shared" si="112"/>
        <v>-27.201000000000001</v>
      </c>
      <c r="V115" s="209">
        <v>4.1539999999999999</v>
      </c>
      <c r="W115" s="209">
        <f>-8.301-V115</f>
        <v>-12.455</v>
      </c>
      <c r="X115" s="209">
        <f>-10.592-W115-V115</f>
        <v>-2.2910000000000004</v>
      </c>
      <c r="Y115" s="209">
        <f>-51.914-X115-W115-V115</f>
        <v>-41.322000000000003</v>
      </c>
      <c r="Z115" s="735">
        <f t="shared" si="113"/>
        <v>-51.914000000000001</v>
      </c>
      <c r="AA115" s="209">
        <v>-0.12</v>
      </c>
      <c r="AB115" s="209">
        <f>-0.12-AA115</f>
        <v>0</v>
      </c>
      <c r="AC115" s="209">
        <f>-0.12-AB115-AA115</f>
        <v>0</v>
      </c>
      <c r="AD115" s="209">
        <v>29.888000000000002</v>
      </c>
      <c r="AE115" s="735">
        <f t="shared" si="114"/>
        <v>29.768000000000001</v>
      </c>
      <c r="AF115" s="209">
        <v>0.156</v>
      </c>
      <c r="AG115" s="209">
        <v>0</v>
      </c>
      <c r="AH115" s="209">
        <f>0-SUM(AF115:AG115)</f>
        <v>-0.156</v>
      </c>
      <c r="AI115" s="209">
        <v>55.134999999999998</v>
      </c>
      <c r="AJ115" s="735">
        <f t="shared" si="115"/>
        <v>55.134999999999998</v>
      </c>
      <c r="AK115" s="209">
        <v>0</v>
      </c>
      <c r="AL115" s="209">
        <v>0</v>
      </c>
      <c r="AM115" s="209">
        <v>0</v>
      </c>
      <c r="AN115" s="209">
        <f>12.141-SUM(AK115:AM115)</f>
        <v>12.141</v>
      </c>
      <c r="AO115" s="735">
        <f t="shared" si="116"/>
        <v>12.141</v>
      </c>
      <c r="AP115" s="209">
        <v>0</v>
      </c>
      <c r="AQ115" s="209">
        <v>0</v>
      </c>
      <c r="AR115" s="208">
        <v>0</v>
      </c>
      <c r="AS115" s="208">
        <v>0</v>
      </c>
      <c r="AT115" s="735">
        <f t="shared" si="117"/>
        <v>0</v>
      </c>
      <c r="AU115" s="208">
        <v>0</v>
      </c>
      <c r="AV115" s="208">
        <f>28.237-AU115</f>
        <v>28.236999999999998</v>
      </c>
      <c r="AW115" s="208">
        <f>25.617-SUM(AU115:AV115)</f>
        <v>-2.6199999999999974</v>
      </c>
      <c r="AX115" s="208">
        <f>41.766-SUM(AU115:AW115)</f>
        <v>16.148999999999997</v>
      </c>
      <c r="AY115" s="735">
        <f t="shared" si="118"/>
        <v>41.765999999999998</v>
      </c>
      <c r="AZ115" s="208">
        <v>0</v>
      </c>
      <c r="BA115" s="208">
        <v>0</v>
      </c>
      <c r="BB115" s="208">
        <v>67.278999999999996</v>
      </c>
      <c r="BC115" s="208">
        <f>89.516-SUM(AZ115:BB115)</f>
        <v>22.237000000000009</v>
      </c>
      <c r="BD115" s="735">
        <f t="shared" si="119"/>
        <v>89.516000000000005</v>
      </c>
      <c r="BE115" s="208">
        <v>31.186</v>
      </c>
      <c r="BF115" s="208">
        <f>5.547-SUM(BE115)</f>
        <v>-25.638999999999999</v>
      </c>
      <c r="BG115" s="208">
        <f>1.568-BF115-BE115</f>
        <v>-3.9789999999999992</v>
      </c>
      <c r="BH115" s="208">
        <f>-23.277-BG115-BF115-BE115</f>
        <v>-24.845000000000002</v>
      </c>
      <c r="BI115" s="735">
        <f t="shared" si="120"/>
        <v>-23.277000000000001</v>
      </c>
      <c r="BJ115" s="208">
        <v>-15.378</v>
      </c>
      <c r="BK115" s="208">
        <f>-28.031-BJ115</f>
        <v>-12.652999999999999</v>
      </c>
      <c r="BL115" s="208">
        <v>0</v>
      </c>
      <c r="BM115" s="208">
        <f>-21.147-BL115-BK115-BJ115</f>
        <v>6.8840000000000003</v>
      </c>
      <c r="BN115" s="735">
        <f t="shared" si="121"/>
        <v>-21.146999999999998</v>
      </c>
      <c r="BO115" s="208">
        <v>0</v>
      </c>
      <c r="BP115" s="208">
        <v>-15.244</v>
      </c>
      <c r="BQ115" s="208">
        <f>-0.172-BP115</f>
        <v>15.071999999999999</v>
      </c>
      <c r="BR115" s="208">
        <f>-2.646-BQ115-BP115-BO115</f>
        <v>-2.4740000000000002</v>
      </c>
      <c r="BS115" s="735">
        <f t="shared" si="122"/>
        <v>-2.6460000000000008</v>
      </c>
      <c r="BT115" s="208">
        <v>8.4149999999999991</v>
      </c>
      <c r="BU115" s="208">
        <f>20.082-BT115</f>
        <v>11.667000000000002</v>
      </c>
      <c r="BV115" s="208">
        <f>14.242-BU115-BT115</f>
        <v>-5.84</v>
      </c>
      <c r="BW115" s="208">
        <f>19.056-BV115-BU115-BT115</f>
        <v>4.8140000000000001</v>
      </c>
      <c r="BX115" s="735">
        <f>SUM(BT115:BW115)</f>
        <v>19.056000000000001</v>
      </c>
      <c r="BY115" s="208">
        <v>3.63</v>
      </c>
      <c r="BZ115" s="208">
        <f>13.791-BY115</f>
        <v>10.161000000000001</v>
      </c>
      <c r="CA115" s="208">
        <f>42.684-BZ115-BY115</f>
        <v>28.892999999999997</v>
      </c>
      <c r="CB115" s="208">
        <f>31.86-CA115-BZ115-BY115</f>
        <v>-10.823999999999998</v>
      </c>
      <c r="CC115" s="735">
        <f>SUM(BY115:CB115)</f>
        <v>31.86</v>
      </c>
      <c r="CD115" s="208">
        <v>-3.0630000000000002</v>
      </c>
      <c r="CE115" s="208">
        <f>-0.611-CD115</f>
        <v>2.452</v>
      </c>
      <c r="CF115" s="208">
        <f>7.914-CE115-CD115</f>
        <v>8.5250000000000004</v>
      </c>
      <c r="CG115" s="208">
        <f>15.43-CF115-CE115-CD115</f>
        <v>7.516</v>
      </c>
      <c r="CH115" s="735">
        <f t="shared" si="124"/>
        <v>15.43</v>
      </c>
      <c r="CI115" s="208">
        <v>21.463999999999999</v>
      </c>
      <c r="CJ115" s="208">
        <f>38.313-CI115</f>
        <v>16.849000000000004</v>
      </c>
      <c r="CK115" s="208">
        <f>62.081-CJ115-CI115</f>
        <v>23.768000000000001</v>
      </c>
      <c r="CL115" s="208">
        <f>82.569-CK115-CJ115-CI115</f>
        <v>20.488</v>
      </c>
      <c r="CM115" s="735">
        <f t="shared" si="125"/>
        <v>82.569000000000003</v>
      </c>
      <c r="CN115" s="208">
        <v>28</v>
      </c>
      <c r="CO115" s="208">
        <f>65-CN115</f>
        <v>37</v>
      </c>
      <c r="CP115" s="208">
        <f>107-CO115-CN115</f>
        <v>42</v>
      </c>
      <c r="CQ115" s="208">
        <f>134-CP115-CO115-CN115</f>
        <v>27</v>
      </c>
      <c r="CR115" s="735">
        <f t="shared" si="126"/>
        <v>134</v>
      </c>
      <c r="CS115" s="209">
        <v>33</v>
      </c>
      <c r="CT115" s="209">
        <f>74-CS115</f>
        <v>41</v>
      </c>
      <c r="CU115" s="209">
        <f>146-CT115-CS115</f>
        <v>72</v>
      </c>
      <c r="CV115" s="209">
        <f>197-CU115-CT115-CS115</f>
        <v>51</v>
      </c>
      <c r="CW115" s="735">
        <f t="shared" si="127"/>
        <v>197</v>
      </c>
      <c r="CX115" s="208">
        <v>22</v>
      </c>
      <c r="CY115" s="208">
        <f>115-CX115</f>
        <v>93</v>
      </c>
      <c r="CZ115" s="208">
        <f>158-CY115-CX115</f>
        <v>43</v>
      </c>
      <c r="DA115" s="208">
        <f>-359-CZ115-CY115-CX115</f>
        <v>-517</v>
      </c>
      <c r="DB115" s="735">
        <f t="shared" si="128"/>
        <v>-359</v>
      </c>
      <c r="DC115" s="208">
        <v>51</v>
      </c>
      <c r="DD115" s="208">
        <f>113-DC115</f>
        <v>62</v>
      </c>
      <c r="DE115" s="208">
        <f>30-DD115-DC115</f>
        <v>-83</v>
      </c>
      <c r="DF115" s="208">
        <f>-315-DE115-DD115-DC115</f>
        <v>-345</v>
      </c>
      <c r="DG115" s="735">
        <f t="shared" si="129"/>
        <v>-315</v>
      </c>
      <c r="DH115" s="208">
        <v>-42</v>
      </c>
      <c r="DI115" s="208">
        <f>-27-DH115</f>
        <v>15</v>
      </c>
      <c r="DJ115" s="208">
        <f>-5-DI115-DH115</f>
        <v>22</v>
      </c>
      <c r="DK115" s="208">
        <v>23</v>
      </c>
      <c r="DL115" s="735">
        <f t="shared" si="130"/>
        <v>18</v>
      </c>
      <c r="DM115" s="208">
        <v>0</v>
      </c>
      <c r="DN115" s="208">
        <v>0</v>
      </c>
      <c r="DO115" s="208">
        <v>-53</v>
      </c>
      <c r="DP115" s="208">
        <v>-164</v>
      </c>
      <c r="DQ115" s="735">
        <f t="shared" si="131"/>
        <v>-217</v>
      </c>
      <c r="DR115" s="208">
        <v>24</v>
      </c>
      <c r="DS115" s="208">
        <v>0</v>
      </c>
      <c r="DT115" s="208">
        <v>-21</v>
      </c>
      <c r="DU115" s="208">
        <v>-225</v>
      </c>
      <c r="DV115" s="735">
        <f t="shared" si="132"/>
        <v>-222</v>
      </c>
      <c r="DW115" s="208">
        <v>-542</v>
      </c>
      <c r="DX115" s="208">
        <v>0</v>
      </c>
      <c r="DY115" s="208">
        <v>-532</v>
      </c>
      <c r="DZ115" s="208">
        <v>-647</v>
      </c>
      <c r="EA115" s="735">
        <f t="shared" si="133"/>
        <v>-1721</v>
      </c>
      <c r="EB115" s="208">
        <v>-1135</v>
      </c>
      <c r="EC115" s="208">
        <v>-746</v>
      </c>
      <c r="ED115" s="208">
        <v>-529</v>
      </c>
      <c r="EE115" s="208">
        <v>-78</v>
      </c>
      <c r="EF115" s="735">
        <f t="shared" si="134"/>
        <v>-2488</v>
      </c>
      <c r="EG115" s="208">
        <v>-1577</v>
      </c>
      <c r="EH115" s="208">
        <v>-1699</v>
      </c>
      <c r="EI115" s="208">
        <v>-602</v>
      </c>
      <c r="EJ115" s="208">
        <v>-598</v>
      </c>
      <c r="EK115" s="735">
        <f t="shared" si="135"/>
        <v>-4476</v>
      </c>
      <c r="EL115" s="208">
        <v>-2177</v>
      </c>
      <c r="EM115" s="208">
        <v>18</v>
      </c>
      <c r="EN115" s="208">
        <v>124</v>
      </c>
      <c r="EO115" s="208">
        <v>611</v>
      </c>
      <c r="EP115" s="735">
        <f t="shared" si="136"/>
        <v>-1424</v>
      </c>
      <c r="EQ115" s="208">
        <v>1584</v>
      </c>
      <c r="ER115" s="736">
        <v>0</v>
      </c>
      <c r="ES115" s="736">
        <v>0</v>
      </c>
      <c r="ET115" s="736">
        <v>0</v>
      </c>
      <c r="EU115" s="735">
        <f t="shared" si="137"/>
        <v>1584</v>
      </c>
      <c r="EV115" s="736">
        <v>0</v>
      </c>
      <c r="EW115" s="736">
        <v>0</v>
      </c>
      <c r="EX115" s="736">
        <v>0</v>
      </c>
      <c r="EY115" s="736">
        <v>0</v>
      </c>
      <c r="EZ115" s="735">
        <f t="shared" si="138"/>
        <v>0</v>
      </c>
      <c r="FA115" s="736">
        <v>0</v>
      </c>
      <c r="FB115" s="736">
        <v>0</v>
      </c>
      <c r="FC115" s="736">
        <v>0</v>
      </c>
      <c r="FD115" s="736">
        <v>0</v>
      </c>
      <c r="FE115" s="735">
        <f t="shared" si="139"/>
        <v>0</v>
      </c>
      <c r="FF115" s="736">
        <v>0</v>
      </c>
      <c r="FG115" s="736">
        <v>0</v>
      </c>
      <c r="FH115" s="736">
        <v>0</v>
      </c>
      <c r="FI115" s="736">
        <v>0</v>
      </c>
      <c r="FJ115" s="735">
        <f t="shared" si="140"/>
        <v>0</v>
      </c>
      <c r="FK115" s="736">
        <v>0</v>
      </c>
      <c r="FL115" s="736">
        <v>0</v>
      </c>
      <c r="FM115" s="736">
        <v>0</v>
      </c>
      <c r="FN115" s="736">
        <v>0</v>
      </c>
      <c r="FO115" s="735">
        <f t="shared" si="141"/>
        <v>0</v>
      </c>
      <c r="FP115" s="735"/>
      <c r="FQ115" s="152"/>
    </row>
    <row r="116" spans="1:173">
      <c r="A116" s="171" t="s">
        <v>461</v>
      </c>
      <c r="B116" s="734"/>
      <c r="C116" s="734"/>
      <c r="D116" s="734"/>
      <c r="E116" s="734"/>
      <c r="F116" s="734"/>
      <c r="G116" s="734"/>
      <c r="H116" s="734"/>
      <c r="I116" s="734"/>
      <c r="J116" s="734"/>
      <c r="K116" s="706"/>
      <c r="L116" s="209">
        <v>0.25900000000000001</v>
      </c>
      <c r="M116" s="209">
        <f>0.452-L116</f>
        <v>0.193</v>
      </c>
      <c r="N116" s="209">
        <f>0.578-M116-L116</f>
        <v>0.12599999999999995</v>
      </c>
      <c r="O116" s="209">
        <f>0.662-N116-M116-L116</f>
        <v>8.4000000000000019E-2</v>
      </c>
      <c r="P116" s="735">
        <f t="shared" si="111"/>
        <v>0.66199999999999992</v>
      </c>
      <c r="Q116" s="209">
        <v>5.2999999999999999E-2</v>
      </c>
      <c r="R116" s="209">
        <f>0.085-Q116</f>
        <v>3.2000000000000008E-2</v>
      </c>
      <c r="S116" s="209">
        <f>0.103-R116-Q116</f>
        <v>1.7999999999999981E-2</v>
      </c>
      <c r="T116" s="209">
        <f>0.112-S116-R116-Q116</f>
        <v>9.0000000000000219E-3</v>
      </c>
      <c r="U116" s="735">
        <f t="shared" si="112"/>
        <v>0.112</v>
      </c>
      <c r="V116" s="209">
        <v>4.0000000000000001E-3</v>
      </c>
      <c r="W116" s="209">
        <f>0.006-V116</f>
        <v>2E-3</v>
      </c>
      <c r="X116" s="209">
        <f>0.006-W116-V116</f>
        <v>0</v>
      </c>
      <c r="Y116" s="209">
        <f>0.006-X116-W116-V116</f>
        <v>0</v>
      </c>
      <c r="Z116" s="735">
        <f t="shared" si="113"/>
        <v>6.0000000000000001E-3</v>
      </c>
      <c r="AA116" s="209">
        <v>0</v>
      </c>
      <c r="AB116" s="209">
        <v>0</v>
      </c>
      <c r="AC116" s="209">
        <v>0</v>
      </c>
      <c r="AD116" s="209">
        <v>0</v>
      </c>
      <c r="AE116" s="735">
        <f t="shared" si="114"/>
        <v>0</v>
      </c>
      <c r="AF116" s="209">
        <v>0</v>
      </c>
      <c r="AG116" s="209">
        <v>0</v>
      </c>
      <c r="AH116" s="209">
        <v>0</v>
      </c>
      <c r="AI116" s="209">
        <v>0.67200000000000004</v>
      </c>
      <c r="AJ116" s="735">
        <f t="shared" si="115"/>
        <v>0.67200000000000004</v>
      </c>
      <c r="AK116" s="209">
        <v>0</v>
      </c>
      <c r="AL116" s="209">
        <v>0</v>
      </c>
      <c r="AM116" s="209">
        <v>0</v>
      </c>
      <c r="AN116" s="209">
        <f>1.337-SUM(AK116:AM116)</f>
        <v>1.337</v>
      </c>
      <c r="AO116" s="735">
        <f t="shared" si="116"/>
        <v>1.337</v>
      </c>
      <c r="AP116" s="209">
        <v>0.28499999999999998</v>
      </c>
      <c r="AQ116" s="209">
        <f>0-AP116</f>
        <v>-0.28499999999999998</v>
      </c>
      <c r="AR116" s="208">
        <f>0-SUM(AP116:AQ116)</f>
        <v>0</v>
      </c>
      <c r="AS116" s="208">
        <v>0</v>
      </c>
      <c r="AT116" s="735">
        <f t="shared" si="117"/>
        <v>0</v>
      </c>
      <c r="AU116" s="208">
        <v>0</v>
      </c>
      <c r="AV116" s="208">
        <v>0</v>
      </c>
      <c r="AW116" s="208">
        <v>0</v>
      </c>
      <c r="AX116" s="208">
        <v>0</v>
      </c>
      <c r="AY116" s="735">
        <f t="shared" si="118"/>
        <v>0</v>
      </c>
      <c r="AZ116" s="208">
        <v>0</v>
      </c>
      <c r="BA116" s="208">
        <v>0</v>
      </c>
      <c r="BB116" s="208">
        <v>0</v>
      </c>
      <c r="BC116" s="208">
        <v>0</v>
      </c>
      <c r="BD116" s="735">
        <f t="shared" si="119"/>
        <v>0</v>
      </c>
      <c r="BE116" s="208">
        <v>0</v>
      </c>
      <c r="BF116" s="208">
        <v>0</v>
      </c>
      <c r="BG116" s="208">
        <v>0</v>
      </c>
      <c r="BH116" s="208">
        <v>0</v>
      </c>
      <c r="BI116" s="735">
        <f t="shared" si="120"/>
        <v>0</v>
      </c>
      <c r="BJ116" s="208">
        <v>0</v>
      </c>
      <c r="BK116" s="208">
        <v>0</v>
      </c>
      <c r="BL116" s="208">
        <v>0</v>
      </c>
      <c r="BM116" s="208">
        <v>0</v>
      </c>
      <c r="BN116" s="735">
        <f t="shared" si="121"/>
        <v>0</v>
      </c>
      <c r="BO116" s="208">
        <v>0</v>
      </c>
      <c r="BP116" s="208">
        <v>0</v>
      </c>
      <c r="BQ116" s="208">
        <v>0</v>
      </c>
      <c r="BR116" s="208">
        <v>0</v>
      </c>
      <c r="BS116" s="735">
        <f t="shared" si="122"/>
        <v>0</v>
      </c>
      <c r="BT116" s="208">
        <v>0</v>
      </c>
      <c r="BU116" s="208">
        <v>0</v>
      </c>
      <c r="BV116" s="208">
        <v>0</v>
      </c>
      <c r="BW116" s="208">
        <v>0</v>
      </c>
      <c r="BX116" s="735">
        <f>SUM(BT116:BW116)</f>
        <v>0</v>
      </c>
      <c r="BY116" s="208">
        <v>0</v>
      </c>
      <c r="BZ116" s="208">
        <v>0</v>
      </c>
      <c r="CA116" s="208">
        <v>0</v>
      </c>
      <c r="CB116" s="208">
        <v>0</v>
      </c>
      <c r="CC116" s="735">
        <f>SUM(BY116:CB116)</f>
        <v>0</v>
      </c>
      <c r="CD116" s="208">
        <v>0</v>
      </c>
      <c r="CE116" s="208">
        <v>0</v>
      </c>
      <c r="CF116" s="208">
        <v>0</v>
      </c>
      <c r="CG116" s="208">
        <v>0</v>
      </c>
      <c r="CH116" s="735">
        <f t="shared" si="124"/>
        <v>0</v>
      </c>
      <c r="CI116" s="208">
        <v>0</v>
      </c>
      <c r="CJ116" s="208">
        <v>0</v>
      </c>
      <c r="CK116" s="208">
        <v>0</v>
      </c>
      <c r="CL116" s="208">
        <v>0</v>
      </c>
      <c r="CM116" s="735">
        <f t="shared" si="125"/>
        <v>0</v>
      </c>
      <c r="CN116" s="208">
        <v>0</v>
      </c>
      <c r="CO116" s="208">
        <v>0</v>
      </c>
      <c r="CP116" s="736">
        <v>0</v>
      </c>
      <c r="CQ116" s="736">
        <v>0</v>
      </c>
      <c r="CR116" s="735">
        <f t="shared" si="126"/>
        <v>0</v>
      </c>
      <c r="CS116" s="209">
        <v>0</v>
      </c>
      <c r="CT116" s="209">
        <v>0</v>
      </c>
      <c r="CU116" s="209">
        <v>0</v>
      </c>
      <c r="CV116" s="209">
        <v>0</v>
      </c>
      <c r="CW116" s="735">
        <f t="shared" si="127"/>
        <v>0</v>
      </c>
      <c r="CX116" s="208">
        <v>0</v>
      </c>
      <c r="CY116" s="208">
        <v>0</v>
      </c>
      <c r="CZ116" s="208">
        <v>0</v>
      </c>
      <c r="DA116" s="208">
        <v>0</v>
      </c>
      <c r="DB116" s="735">
        <f t="shared" si="128"/>
        <v>0</v>
      </c>
      <c r="DC116" s="208">
        <v>0</v>
      </c>
      <c r="DD116" s="208">
        <v>0</v>
      </c>
      <c r="DE116" s="208">
        <v>0</v>
      </c>
      <c r="DF116" s="208">
        <v>0</v>
      </c>
      <c r="DG116" s="735">
        <f t="shared" si="129"/>
        <v>0</v>
      </c>
      <c r="DH116" s="208">
        <v>0</v>
      </c>
      <c r="DI116" s="208">
        <v>0</v>
      </c>
      <c r="DJ116" s="208">
        <v>0</v>
      </c>
      <c r="DK116" s="208">
        <v>0</v>
      </c>
      <c r="DL116" s="735">
        <f t="shared" si="130"/>
        <v>0</v>
      </c>
      <c r="DM116" s="208">
        <v>0</v>
      </c>
      <c r="DN116" s="208">
        <v>0</v>
      </c>
      <c r="DO116" s="208">
        <v>0</v>
      </c>
      <c r="DP116" s="208">
        <v>0</v>
      </c>
      <c r="DQ116" s="735">
        <f t="shared" si="131"/>
        <v>0</v>
      </c>
      <c r="DR116" s="208">
        <v>0</v>
      </c>
      <c r="DS116" s="208">
        <v>0</v>
      </c>
      <c r="DT116" s="208">
        <v>0</v>
      </c>
      <c r="DU116" s="208">
        <v>0</v>
      </c>
      <c r="DV116" s="735">
        <f t="shared" si="132"/>
        <v>0</v>
      </c>
      <c r="DW116" s="208">
        <v>0</v>
      </c>
      <c r="DX116" s="208">
        <v>0</v>
      </c>
      <c r="DY116" s="208">
        <v>0</v>
      </c>
      <c r="DZ116" s="208">
        <v>0</v>
      </c>
      <c r="EA116" s="735">
        <f t="shared" si="133"/>
        <v>0</v>
      </c>
      <c r="EB116" s="208">
        <v>0</v>
      </c>
      <c r="EC116" s="208">
        <v>0</v>
      </c>
      <c r="ED116" s="208">
        <v>0</v>
      </c>
      <c r="EE116" s="208">
        <v>0</v>
      </c>
      <c r="EF116" s="735">
        <f t="shared" si="134"/>
        <v>0</v>
      </c>
      <c r="EG116" s="208">
        <v>0</v>
      </c>
      <c r="EH116" s="208">
        <v>0</v>
      </c>
      <c r="EI116" s="208">
        <v>0</v>
      </c>
      <c r="EJ116" s="208">
        <v>0</v>
      </c>
      <c r="EK116" s="735">
        <f t="shared" si="135"/>
        <v>0</v>
      </c>
      <c r="EL116" s="208">
        <v>0</v>
      </c>
      <c r="EM116" s="208">
        <v>0</v>
      </c>
      <c r="EN116" s="208">
        <v>0</v>
      </c>
      <c r="EO116" s="208">
        <v>0</v>
      </c>
      <c r="EP116" s="735">
        <f t="shared" si="136"/>
        <v>0</v>
      </c>
      <c r="EQ116" s="208">
        <v>0</v>
      </c>
      <c r="ER116" s="736">
        <v>0</v>
      </c>
      <c r="ES116" s="736">
        <v>0</v>
      </c>
      <c r="ET116" s="736">
        <v>0</v>
      </c>
      <c r="EU116" s="735">
        <f t="shared" si="137"/>
        <v>0</v>
      </c>
      <c r="EV116" s="736">
        <v>0</v>
      </c>
      <c r="EW116" s="736">
        <v>0</v>
      </c>
      <c r="EX116" s="736">
        <v>0</v>
      </c>
      <c r="EY116" s="736">
        <v>0</v>
      </c>
      <c r="EZ116" s="735">
        <f t="shared" si="138"/>
        <v>0</v>
      </c>
      <c r="FA116" s="736">
        <v>0</v>
      </c>
      <c r="FB116" s="736">
        <v>0</v>
      </c>
      <c r="FC116" s="736">
        <v>0</v>
      </c>
      <c r="FD116" s="736">
        <v>0</v>
      </c>
      <c r="FE116" s="735">
        <f t="shared" si="139"/>
        <v>0</v>
      </c>
      <c r="FF116" s="736">
        <v>0</v>
      </c>
      <c r="FG116" s="736">
        <v>0</v>
      </c>
      <c r="FH116" s="736">
        <v>0</v>
      </c>
      <c r="FI116" s="736">
        <v>0</v>
      </c>
      <c r="FJ116" s="735">
        <f t="shared" si="140"/>
        <v>0</v>
      </c>
      <c r="FK116" s="736">
        <v>0</v>
      </c>
      <c r="FL116" s="736">
        <v>0</v>
      </c>
      <c r="FM116" s="736">
        <v>0</v>
      </c>
      <c r="FN116" s="736">
        <v>0</v>
      </c>
      <c r="FO116" s="735">
        <f t="shared" si="141"/>
        <v>0</v>
      </c>
      <c r="FP116" s="735"/>
      <c r="FQ116" s="152"/>
    </row>
    <row r="117" spans="1:173">
      <c r="A117" s="171" t="s">
        <v>462</v>
      </c>
      <c r="B117" s="734"/>
      <c r="C117" s="734"/>
      <c r="D117" s="734"/>
      <c r="E117" s="734"/>
      <c r="F117" s="734"/>
      <c r="G117" s="734"/>
      <c r="H117" s="734"/>
      <c r="I117" s="734"/>
      <c r="J117" s="734"/>
      <c r="K117" s="706"/>
      <c r="L117" s="209">
        <v>4.2999999999999997E-2</v>
      </c>
      <c r="M117" s="209">
        <f>0.503-L117</f>
        <v>0.46</v>
      </c>
      <c r="N117" s="209">
        <f>1.857-M117-L117</f>
        <v>1.3540000000000001</v>
      </c>
      <c r="O117" s="209">
        <f>10.613-N117-M117-L117</f>
        <v>8.7560000000000002</v>
      </c>
      <c r="P117" s="735">
        <f t="shared" si="111"/>
        <v>10.613</v>
      </c>
      <c r="Q117" s="209">
        <v>13.977</v>
      </c>
      <c r="R117" s="209">
        <f>30.325-Q117</f>
        <v>16.347999999999999</v>
      </c>
      <c r="S117" s="209">
        <f>53.424-R117-Q117</f>
        <v>23.099</v>
      </c>
      <c r="T117" s="209">
        <f>63.199-S117-R117-Q117</f>
        <v>9.774999999999995</v>
      </c>
      <c r="U117" s="735">
        <f t="shared" si="112"/>
        <v>63.198999999999998</v>
      </c>
      <c r="V117" s="209">
        <v>15.214</v>
      </c>
      <c r="W117" s="209">
        <f>30.82-V117</f>
        <v>15.606</v>
      </c>
      <c r="X117" s="209">
        <f>58.299-W117-V117</f>
        <v>27.478999999999999</v>
      </c>
      <c r="Y117" s="209">
        <f>88.932-X117-W117-V117</f>
        <v>30.633000000000003</v>
      </c>
      <c r="Z117" s="735">
        <f t="shared" si="113"/>
        <v>88.932000000000002</v>
      </c>
      <c r="AA117" s="209">
        <v>7.03</v>
      </c>
      <c r="AB117" s="209">
        <f>9.12-AA117</f>
        <v>2.089999999999999</v>
      </c>
      <c r="AC117" s="209">
        <f>9.12-AB117-AA117</f>
        <v>0</v>
      </c>
      <c r="AD117" s="209">
        <v>6.0000000000000497E-2</v>
      </c>
      <c r="AE117" s="735">
        <f t="shared" si="114"/>
        <v>9.18</v>
      </c>
      <c r="AF117" s="209">
        <v>0</v>
      </c>
      <c r="AG117" s="209">
        <v>0</v>
      </c>
      <c r="AH117" s="209">
        <v>0</v>
      </c>
      <c r="AI117" s="209">
        <v>8.4879999999999995</v>
      </c>
      <c r="AJ117" s="735">
        <f t="shared" si="115"/>
        <v>8.4879999999999995</v>
      </c>
      <c r="AK117" s="209">
        <v>0</v>
      </c>
      <c r="AL117" s="209">
        <v>0</v>
      </c>
      <c r="AM117" s="209">
        <v>0</v>
      </c>
      <c r="AN117" s="209">
        <f>11.845-SUM(AK117:AM117)</f>
        <v>11.845000000000001</v>
      </c>
      <c r="AO117" s="735">
        <f t="shared" si="116"/>
        <v>11.845000000000001</v>
      </c>
      <c r="AP117" s="209">
        <v>0</v>
      </c>
      <c r="AQ117" s="209">
        <v>0</v>
      </c>
      <c r="AR117" s="208">
        <v>0</v>
      </c>
      <c r="AS117" s="208">
        <v>0</v>
      </c>
      <c r="AT117" s="735">
        <f t="shared" si="117"/>
        <v>0</v>
      </c>
      <c r="AU117" s="208">
        <v>-7.33</v>
      </c>
      <c r="AV117" s="208">
        <f>-14.362-AU117</f>
        <v>-7.032</v>
      </c>
      <c r="AW117" s="208">
        <f>-22.559-SUM(AU117:AV117)</f>
        <v>-8.197000000000001</v>
      </c>
      <c r="AX117" s="208">
        <f>-8.482-SUM(AU117:AW117)</f>
        <v>14.077000000000002</v>
      </c>
      <c r="AY117" s="735">
        <f t="shared" si="118"/>
        <v>-8.4819999999999993</v>
      </c>
      <c r="AZ117" s="208">
        <v>0</v>
      </c>
      <c r="BA117" s="208">
        <v>0</v>
      </c>
      <c r="BB117" s="208">
        <v>0</v>
      </c>
      <c r="BC117" s="208">
        <v>0</v>
      </c>
      <c r="BD117" s="735">
        <f t="shared" si="119"/>
        <v>0</v>
      </c>
      <c r="BE117" s="208">
        <v>0</v>
      </c>
      <c r="BF117" s="208">
        <v>0</v>
      </c>
      <c r="BG117" s="208">
        <v>0</v>
      </c>
      <c r="BH117" s="208">
        <v>0</v>
      </c>
      <c r="BI117" s="735">
        <f t="shared" si="120"/>
        <v>0</v>
      </c>
      <c r="BJ117" s="208">
        <v>-7.5949999999999998</v>
      </c>
      <c r="BK117" s="208">
        <v>7.5949999999999998</v>
      </c>
      <c r="BL117" s="208">
        <v>0</v>
      </c>
      <c r="BM117" s="208">
        <f>1.893-BL117-BK117-BJ117</f>
        <v>1.8929999999999998</v>
      </c>
      <c r="BN117" s="735">
        <f t="shared" si="121"/>
        <v>1.8929999999999998</v>
      </c>
      <c r="BO117" s="208">
        <v>0</v>
      </c>
      <c r="BP117" s="208">
        <v>0</v>
      </c>
      <c r="BQ117" s="208">
        <v>0</v>
      </c>
      <c r="BR117" s="208">
        <f>-15.316-BQ117-BP117-BO117</f>
        <v>-15.316000000000001</v>
      </c>
      <c r="BS117" s="735">
        <f t="shared" si="122"/>
        <v>-15.316000000000001</v>
      </c>
      <c r="BT117" s="208">
        <v>-13.644</v>
      </c>
      <c r="BU117" s="208">
        <f>-25.021-BT117</f>
        <v>-11.377000000000001</v>
      </c>
      <c r="BV117" s="208">
        <f>-52.703-BU117-BT117</f>
        <v>-27.682000000000002</v>
      </c>
      <c r="BW117" s="208">
        <f>-52.793-BV117-BU117-BT117</f>
        <v>-8.9999999999996305E-2</v>
      </c>
      <c r="BX117" s="735">
        <f>SUM(BT117:BW117)</f>
        <v>-52.792999999999999</v>
      </c>
      <c r="BY117" s="208">
        <v>-8.6750000000000007</v>
      </c>
      <c r="BZ117" s="208">
        <f>-18.154-BY117</f>
        <v>-9.4789999999999992</v>
      </c>
      <c r="CA117" s="208">
        <f>-25.646-BZ117-BY117</f>
        <v>-7.4920000000000009</v>
      </c>
      <c r="CB117" s="208">
        <f>-68.71-CA117-BZ117-BY117</f>
        <v>-43.063999999999993</v>
      </c>
      <c r="CC117" s="735">
        <f>SUM(BY117:CB117)</f>
        <v>-68.709999999999994</v>
      </c>
      <c r="CD117" s="208">
        <v>-10.119999999999999</v>
      </c>
      <c r="CE117" s="208">
        <f>-17.36-CD117</f>
        <v>-7.24</v>
      </c>
      <c r="CF117" s="208">
        <f>-23.743-CE117-CD117</f>
        <v>-6.3830000000000009</v>
      </c>
      <c r="CG117" s="208">
        <f>-25.801-CF117-CE117-CD117</f>
        <v>-2.0579999999999998</v>
      </c>
      <c r="CH117" s="735">
        <f t="shared" si="124"/>
        <v>-25.801000000000002</v>
      </c>
      <c r="CI117" s="208">
        <v>-4.0860000000000003</v>
      </c>
      <c r="CJ117" s="208">
        <f>-6.843-CI117</f>
        <v>-2.7569999999999997</v>
      </c>
      <c r="CK117" s="208">
        <f>+-11.744-CJ117-CI117</f>
        <v>-4.9009999999999998</v>
      </c>
      <c r="CL117" s="208">
        <f>-18.456-CK117-CJ117-CI117</f>
        <v>-6.7119999999999997</v>
      </c>
      <c r="CM117" s="735">
        <f t="shared" si="125"/>
        <v>-18.456</v>
      </c>
      <c r="CN117" s="208">
        <v>-6</v>
      </c>
      <c r="CO117" s="208">
        <f>+-6-CN117</f>
        <v>0</v>
      </c>
      <c r="CP117" s="736">
        <f>0-CO117-CN117</f>
        <v>6</v>
      </c>
      <c r="CQ117" s="736">
        <f>-10-CP117-CO117-CN117</f>
        <v>-10</v>
      </c>
      <c r="CR117" s="735">
        <f t="shared" si="126"/>
        <v>-10</v>
      </c>
      <c r="CS117" s="209">
        <v>-9</v>
      </c>
      <c r="CT117" s="209">
        <f>-26-CS117</f>
        <v>-17</v>
      </c>
      <c r="CU117" s="209">
        <f>0-CT117-CS117</f>
        <v>26</v>
      </c>
      <c r="CV117" s="209">
        <f>0-CU117-CT117-CS117</f>
        <v>0</v>
      </c>
      <c r="CW117" s="735">
        <f t="shared" si="127"/>
        <v>0</v>
      </c>
      <c r="CX117" s="208">
        <v>0</v>
      </c>
      <c r="CY117" s="208">
        <v>0</v>
      </c>
      <c r="CZ117" s="208">
        <v>0</v>
      </c>
      <c r="DA117" s="208">
        <v>0</v>
      </c>
      <c r="DB117" s="735">
        <f t="shared" si="128"/>
        <v>0</v>
      </c>
      <c r="DC117" s="208">
        <v>0</v>
      </c>
      <c r="DD117" s="208">
        <v>0</v>
      </c>
      <c r="DE117" s="208">
        <v>0</v>
      </c>
      <c r="DF117" s="208">
        <v>0</v>
      </c>
      <c r="DG117" s="735">
        <f t="shared" si="129"/>
        <v>0</v>
      </c>
      <c r="DH117" s="208">
        <v>0</v>
      </c>
      <c r="DI117" s="208">
        <v>0</v>
      </c>
      <c r="DJ117" s="208">
        <v>5</v>
      </c>
      <c r="DK117" s="208">
        <v>0</v>
      </c>
      <c r="DL117" s="735">
        <f t="shared" si="130"/>
        <v>5</v>
      </c>
      <c r="DM117" s="208">
        <v>0</v>
      </c>
      <c r="DN117" s="208">
        <v>0</v>
      </c>
      <c r="DO117" s="208">
        <v>0</v>
      </c>
      <c r="DP117" s="208">
        <v>0</v>
      </c>
      <c r="DQ117" s="735">
        <f t="shared" si="131"/>
        <v>0</v>
      </c>
      <c r="DR117" s="208">
        <v>0</v>
      </c>
      <c r="DS117" s="208">
        <v>0</v>
      </c>
      <c r="DT117" s="208">
        <v>0</v>
      </c>
      <c r="DU117" s="208">
        <v>0</v>
      </c>
      <c r="DV117" s="735">
        <f t="shared" si="132"/>
        <v>0</v>
      </c>
      <c r="DW117" s="208">
        <v>0</v>
      </c>
      <c r="DX117" s="208">
        <v>0</v>
      </c>
      <c r="DY117" s="208">
        <v>0</v>
      </c>
      <c r="DZ117" s="208">
        <v>0</v>
      </c>
      <c r="EA117" s="735">
        <f t="shared" si="133"/>
        <v>0</v>
      </c>
      <c r="EB117" s="208">
        <v>0</v>
      </c>
      <c r="EC117" s="208">
        <v>0</v>
      </c>
      <c r="ED117" s="208">
        <v>0</v>
      </c>
      <c r="EE117" s="208">
        <v>0</v>
      </c>
      <c r="EF117" s="735">
        <f t="shared" si="134"/>
        <v>0</v>
      </c>
      <c r="EG117" s="208">
        <v>0</v>
      </c>
      <c r="EH117" s="208">
        <v>0</v>
      </c>
      <c r="EI117" s="208">
        <v>0</v>
      </c>
      <c r="EJ117" s="208">
        <v>0</v>
      </c>
      <c r="EK117" s="735">
        <f t="shared" si="135"/>
        <v>0</v>
      </c>
      <c r="EL117" s="208">
        <v>0</v>
      </c>
      <c r="EM117" s="208">
        <v>0</v>
      </c>
      <c r="EN117" s="208">
        <v>0</v>
      </c>
      <c r="EO117" s="208">
        <v>0</v>
      </c>
      <c r="EP117" s="735">
        <f t="shared" si="136"/>
        <v>0</v>
      </c>
      <c r="EQ117" s="208">
        <v>0</v>
      </c>
      <c r="ER117" s="736">
        <v>0</v>
      </c>
      <c r="ES117" s="736">
        <v>0</v>
      </c>
      <c r="ET117" s="736">
        <v>0</v>
      </c>
      <c r="EU117" s="735">
        <f t="shared" si="137"/>
        <v>0</v>
      </c>
      <c r="EV117" s="736">
        <v>0</v>
      </c>
      <c r="EW117" s="736">
        <v>0</v>
      </c>
      <c r="EX117" s="736">
        <v>0</v>
      </c>
      <c r="EY117" s="736">
        <v>0</v>
      </c>
      <c r="EZ117" s="735">
        <f t="shared" si="138"/>
        <v>0</v>
      </c>
      <c r="FA117" s="736">
        <v>0</v>
      </c>
      <c r="FB117" s="736">
        <v>0</v>
      </c>
      <c r="FC117" s="736">
        <v>0</v>
      </c>
      <c r="FD117" s="736">
        <v>0</v>
      </c>
      <c r="FE117" s="735">
        <f t="shared" si="139"/>
        <v>0</v>
      </c>
      <c r="FF117" s="736">
        <v>0</v>
      </c>
      <c r="FG117" s="736">
        <v>0</v>
      </c>
      <c r="FH117" s="736">
        <v>0</v>
      </c>
      <c r="FI117" s="736">
        <v>0</v>
      </c>
      <c r="FJ117" s="735">
        <f t="shared" si="140"/>
        <v>0</v>
      </c>
      <c r="FK117" s="736">
        <v>0</v>
      </c>
      <c r="FL117" s="736">
        <v>0</v>
      </c>
      <c r="FM117" s="736">
        <v>0</v>
      </c>
      <c r="FN117" s="736">
        <v>0</v>
      </c>
      <c r="FO117" s="735">
        <f t="shared" si="141"/>
        <v>0</v>
      </c>
      <c r="FP117" s="735"/>
      <c r="FQ117" s="152"/>
    </row>
    <row r="118" spans="1:173">
      <c r="A118" s="171" t="s">
        <v>463</v>
      </c>
      <c r="B118" s="734"/>
      <c r="C118" s="734"/>
      <c r="D118" s="734"/>
      <c r="E118" s="734"/>
      <c r="F118" s="734"/>
      <c r="G118" s="734"/>
      <c r="H118" s="734"/>
      <c r="I118" s="734"/>
      <c r="J118" s="734"/>
      <c r="K118" s="706"/>
      <c r="L118" s="209"/>
      <c r="M118" s="209">
        <v>3.0000000000000001E-3</v>
      </c>
      <c r="N118" s="209">
        <f>0.009-M118</f>
        <v>5.9999999999999993E-3</v>
      </c>
      <c r="O118" s="209">
        <f>0.015-N118-M118</f>
        <v>6.000000000000001E-3</v>
      </c>
      <c r="P118" s="735">
        <f t="shared" si="111"/>
        <v>1.4999999999999999E-2</v>
      </c>
      <c r="Q118" s="209">
        <v>0</v>
      </c>
      <c r="R118" s="209">
        <f>1.324-Q118</f>
        <v>1.3240000000000001</v>
      </c>
      <c r="S118" s="209">
        <f>1.382-R118-Q118</f>
        <v>5.7999999999999829E-2</v>
      </c>
      <c r="T118" s="209">
        <f>0.005+0.037+0.909-S118-R118-Q118</f>
        <v>-0.43099999999999983</v>
      </c>
      <c r="U118" s="735">
        <f t="shared" si="112"/>
        <v>0.95100000000000007</v>
      </c>
      <c r="V118" s="209">
        <v>0.189</v>
      </c>
      <c r="W118" s="209">
        <f>1.147-V118</f>
        <v>0.95799999999999996</v>
      </c>
      <c r="X118" s="209">
        <f>0.346+1.448-W118-V118</f>
        <v>0.64700000000000002</v>
      </c>
      <c r="Y118" s="209">
        <f>0.364+1.446-X118-W118-V118</f>
        <v>1.600000000000007E-2</v>
      </c>
      <c r="Z118" s="735">
        <f t="shared" si="113"/>
        <v>1.81</v>
      </c>
      <c r="AA118" s="209">
        <f>-0.156+0.236</f>
        <v>7.9999999999999988E-2</v>
      </c>
      <c r="AB118" s="209">
        <f>-0.156+1.987-AA118</f>
        <v>1.7510000000000001</v>
      </c>
      <c r="AC118" s="209">
        <f>-0.156+39.906+2.165-AB118-AA118</f>
        <v>40.084000000000003</v>
      </c>
      <c r="AD118" s="209">
        <v>-0.24800000000000169</v>
      </c>
      <c r="AE118" s="735">
        <f t="shared" si="114"/>
        <v>41.667000000000002</v>
      </c>
      <c r="AF118" s="209">
        <f>0.311</f>
        <v>0.311</v>
      </c>
      <c r="AG118" s="209">
        <f>1.195-AF118</f>
        <v>0.88400000000000012</v>
      </c>
      <c r="AH118" s="209">
        <f>5.485+3.5+0.361+1.195-AG118-AF118</f>
        <v>9.3460000000000001</v>
      </c>
      <c r="AI118" s="209">
        <f>3.5+5.485+0.731-SUM(AF118:AH118)</f>
        <v>-0.82500000000000107</v>
      </c>
      <c r="AJ118" s="735">
        <f t="shared" si="115"/>
        <v>9.7159999999999993</v>
      </c>
      <c r="AK118" s="209">
        <f>0.383-0.496</f>
        <v>-0.11299999999999999</v>
      </c>
      <c r="AL118" s="209">
        <f>0.747-0.202-AK118</f>
        <v>0.65799999999999992</v>
      </c>
      <c r="AM118" s="209">
        <f>-0.533+1.052-0.245-SUM(AK118:AL118)</f>
        <v>-0.27099999999999991</v>
      </c>
      <c r="AN118" s="209">
        <f>-0.533+0.412-0.844-SUM(AK118:AM118)</f>
        <v>-1.2390000000000001</v>
      </c>
      <c r="AO118" s="735">
        <f t="shared" si="116"/>
        <v>-0.96500000000000008</v>
      </c>
      <c r="AP118" s="209">
        <f>-0.341+0.004</f>
        <v>-0.33700000000000002</v>
      </c>
      <c r="AQ118" s="209">
        <f>0.562-0.477+0.085-AP118</f>
        <v>0.50700000000000012</v>
      </c>
      <c r="AR118" s="208">
        <f>-0.096+0.83+0.163+0.085-SUM(AP118:AQ118)</f>
        <v>0.81199999999999983</v>
      </c>
      <c r="AS118" s="208">
        <f>-0.096+1.005-10.622+1.096-0.492+34.821-SUM(AP118:AR118)</f>
        <v>24.73</v>
      </c>
      <c r="AT118" s="735">
        <f t="shared" si="117"/>
        <v>25.712</v>
      </c>
      <c r="AU118" s="208">
        <f>0.602+24.111+0.255-0.704</f>
        <v>24.263999999999999</v>
      </c>
      <c r="AV118" s="208">
        <f>0.015+51.953+0.036-0.704+0.602-AU118</f>
        <v>27.638000000000002</v>
      </c>
      <c r="AW118" s="208">
        <f>-0.704+0.602+83.244+0.226+0.036-SUM(AU118:AV118)</f>
        <v>31.501999999999995</v>
      </c>
      <c r="AX118" s="208">
        <f>-0.704+0.205+14.002+116.735-0.188+0.251-SUM(AU118:AW118)</f>
        <v>46.89700000000002</v>
      </c>
      <c r="AY118" s="735">
        <f t="shared" si="118"/>
        <v>130.30100000000002</v>
      </c>
      <c r="AZ118" s="208">
        <f>0.06+37.405</f>
        <v>37.465000000000003</v>
      </c>
      <c r="BA118" s="208">
        <f>66.865+39.277+0.185-AZ118</f>
        <v>68.861999999999995</v>
      </c>
      <c r="BB118" s="208">
        <f>98.868+0.618-49.634-SUM(AZ118:BA118)</f>
        <v>-56.475000000000009</v>
      </c>
      <c r="BC118" s="208">
        <f>133.365-57.255+4+0.22-0.436-SUM(AZ118:BB118)</f>
        <v>30.042000000000016</v>
      </c>
      <c r="BD118" s="735">
        <f t="shared" si="119"/>
        <v>79.894000000000005</v>
      </c>
      <c r="BE118" s="208">
        <f>BE41+1.238</f>
        <v>43.361999999999995</v>
      </c>
      <c r="BF118" s="208">
        <f>81.423+3.145-26.68-SUM(BE118)</f>
        <v>14.526000000000003</v>
      </c>
      <c r="BG118" s="208">
        <f>120.873-21.502+9.891+1.899-BF118-BE118</f>
        <v>53.273000000000025</v>
      </c>
      <c r="BH118" s="208">
        <f>162.706+9.891-21.797-2.946+3.134-BG118-BF118-BE118</f>
        <v>39.826999999999941</v>
      </c>
      <c r="BI118" s="735">
        <f t="shared" si="120"/>
        <v>150.98799999999997</v>
      </c>
      <c r="BJ118" s="208">
        <f>135.735+34.113+1.474-0.088</f>
        <v>171.23400000000001</v>
      </c>
      <c r="BK118" s="208">
        <f>135.735+59.489+2.453-0.616-BJ118</f>
        <v>25.826999999999998</v>
      </c>
      <c r="BL118" s="208">
        <f>BL41</f>
        <v>22.981999999999999</v>
      </c>
      <c r="BM118" s="208">
        <f>135.735+107.091-0.857-BL118-BK118-BJ118</f>
        <v>21.926000000000016</v>
      </c>
      <c r="BN118" s="735">
        <f t="shared" si="121"/>
        <v>241.96900000000002</v>
      </c>
      <c r="BO118" s="208">
        <f>25.177+2.493+14.398-0.519</f>
        <v>41.548999999999999</v>
      </c>
      <c r="BP118" s="208">
        <f>49.808+5.89-BO118</f>
        <v>14.149000000000001</v>
      </c>
      <c r="BQ118" s="208">
        <f>5.382+74.985-BP118-BO118</f>
        <v>24.669000000000004</v>
      </c>
      <c r="BR118" s="208">
        <f>100.353-BQ118-BP118-BO118+0.887+0.685</f>
        <v>21.557999999999996</v>
      </c>
      <c r="BS118" s="735">
        <f t="shared" si="122"/>
        <v>101.925</v>
      </c>
      <c r="BT118" s="208">
        <f>2.195+31.739</f>
        <v>33.933999999999997</v>
      </c>
      <c r="BU118" s="208">
        <f>67.688+10.696-BT118</f>
        <v>44.45</v>
      </c>
      <c r="BV118" s="208">
        <f>100.918+13.689-BU118-BT118-0.013</f>
        <v>36.21</v>
      </c>
      <c r="BW118" s="208">
        <f>136.354+19.095-BV118-BU118-BT118</f>
        <v>40.855000000000004</v>
      </c>
      <c r="BX118" s="735">
        <f>SUM(BT118:BW118)</f>
        <v>155.44900000000001</v>
      </c>
      <c r="BY118" s="208">
        <f>35.569+5.451</f>
        <v>41.02</v>
      </c>
      <c r="BZ118" s="208">
        <f>67.824+32.496-BY118</f>
        <v>59.29999999999999</v>
      </c>
      <c r="CA118" s="208">
        <f>100.893+39.978-BZ118-BY118</f>
        <v>40.551000000000023</v>
      </c>
      <c r="CB118" s="208">
        <f>47.911+136.662-CA118-BZ118-BY118</f>
        <v>43.702000000000005</v>
      </c>
      <c r="CC118" s="735">
        <f>SUM(BY118:CB118)</f>
        <v>184.57300000000001</v>
      </c>
      <c r="CD118" s="208">
        <f>4.988+33.397</f>
        <v>38.384999999999998</v>
      </c>
      <c r="CE118" s="208">
        <f>65.792+8.867-CD118</f>
        <v>36.274000000000008</v>
      </c>
      <c r="CF118" s="208">
        <f>100.091+11.311-CE118-CD118</f>
        <v>36.742999999999988</v>
      </c>
      <c r="CG118" s="208">
        <f>23.718-10.471+4.6-CF118-CE118-CD118+136.295</f>
        <v>42.739999999999995</v>
      </c>
      <c r="CH118" s="735">
        <f t="shared" si="124"/>
        <v>154.142</v>
      </c>
      <c r="CI118" s="208">
        <f>35.521+6.901-16.982+7.281</f>
        <v>32.720999999999997</v>
      </c>
      <c r="CJ118" s="208">
        <f>13.874+73.936-14.482+14.124-CI118</f>
        <v>54.731000000000002</v>
      </c>
      <c r="CK118" s="208">
        <f>115.371-CJ118-CI118+20.884-17.654+19.343</f>
        <v>50.491999999999997</v>
      </c>
      <c r="CL118" s="208">
        <f>24.099-16.549+27.967+157.841-CK118-CJ118-CI118</f>
        <v>55.414000000000023</v>
      </c>
      <c r="CM118" s="735">
        <f t="shared" si="125"/>
        <v>193.358</v>
      </c>
      <c r="CN118" s="208">
        <f>45-3+7+7</f>
        <v>56</v>
      </c>
      <c r="CO118" s="208">
        <f>93+32+14-3+11-CN118</f>
        <v>91</v>
      </c>
      <c r="CP118" s="208">
        <f>145+37+22-7-5+16-CO118-CN118</f>
        <v>61</v>
      </c>
      <c r="CQ118" s="208">
        <f>204+45+29-6+19-CP118-CO118-CN118</f>
        <v>83</v>
      </c>
      <c r="CR118" s="735">
        <f t="shared" si="126"/>
        <v>291</v>
      </c>
      <c r="CS118" s="209">
        <f>CS41+8-3+4</f>
        <v>62</v>
      </c>
      <c r="CT118" s="209">
        <f>111+14-3+7-CS118</f>
        <v>67</v>
      </c>
      <c r="CU118" s="209">
        <f>20+15-2+8-CT118-CS118+176</f>
        <v>88</v>
      </c>
      <c r="CV118" s="209">
        <f>247+25-3+21+11-CU118-CT118-CS118</f>
        <v>84</v>
      </c>
      <c r="CW118" s="735">
        <f t="shared" si="127"/>
        <v>301</v>
      </c>
      <c r="CX118" s="208">
        <f>76+2+14+5</f>
        <v>97</v>
      </c>
      <c r="CY118" s="208">
        <f>158+2+17+1+8-CX118</f>
        <v>89</v>
      </c>
      <c r="CZ118" s="208">
        <f>265+3+19+1+11-CY118-CX118</f>
        <v>113</v>
      </c>
      <c r="DA118" s="208">
        <f>391+19+3-1+18-CZ118-CY118-CX118</f>
        <v>131</v>
      </c>
      <c r="DB118" s="735">
        <f t="shared" si="128"/>
        <v>430</v>
      </c>
      <c r="DC118" s="208">
        <f>129-8</f>
        <v>121</v>
      </c>
      <c r="DD118" s="208">
        <f>262+-22-DC118</f>
        <v>119</v>
      </c>
      <c r="DE118" s="208">
        <f>400-35-DD118-DC118</f>
        <v>125</v>
      </c>
      <c r="DF118" s="208">
        <f>557-45-DE118-DD118-DC118</f>
        <v>147</v>
      </c>
      <c r="DG118" s="735">
        <f t="shared" si="129"/>
        <v>512</v>
      </c>
      <c r="DH118" s="208">
        <f>178-2</f>
        <v>176</v>
      </c>
      <c r="DI118" s="208">
        <f>401+1-DH118</f>
        <v>226</v>
      </c>
      <c r="DJ118" s="208">
        <f>624-DI118-DH118</f>
        <v>222</v>
      </c>
      <c r="DK118" s="208">
        <v>220</v>
      </c>
      <c r="DL118" s="735">
        <f t="shared" si="130"/>
        <v>844</v>
      </c>
      <c r="DM118" s="208">
        <f>224+16+4</f>
        <v>244</v>
      </c>
      <c r="DN118" s="208">
        <f>374-80-8</f>
        <v>286</v>
      </c>
      <c r="DO118" s="208">
        <f>383+2</f>
        <v>385</v>
      </c>
      <c r="DP118" s="208">
        <f>417-17</f>
        <v>400</v>
      </c>
      <c r="DQ118" s="735">
        <f t="shared" si="131"/>
        <v>1315</v>
      </c>
      <c r="DR118" s="208">
        <f>429-133-3</f>
        <v>293</v>
      </c>
      <c r="DS118" s="208">
        <f>465-185+1+18</f>
        <v>299</v>
      </c>
      <c r="DT118" s="208">
        <f>559+10-20</f>
        <v>549</v>
      </c>
      <c r="DU118" s="208">
        <f>53+21+551</f>
        <v>625</v>
      </c>
      <c r="DV118" s="735">
        <f t="shared" si="132"/>
        <v>1766</v>
      </c>
      <c r="DW118" s="208">
        <f>578+17+23+1353</f>
        <v>1971</v>
      </c>
      <c r="DX118" s="208">
        <f>648-443+7-5</f>
        <v>207</v>
      </c>
      <c r="DY118" s="208">
        <f>32+530+183+11-45</f>
        <v>711</v>
      </c>
      <c r="DZ118" s="208">
        <f>738+10+20</f>
        <v>768</v>
      </c>
      <c r="EA118" s="735">
        <f t="shared" si="133"/>
        <v>3657</v>
      </c>
      <c r="EB118" s="208">
        <f>735+14-34</f>
        <v>715</v>
      </c>
      <c r="EC118" s="208">
        <f>842-60-69</f>
        <v>713</v>
      </c>
      <c r="ED118" s="208">
        <f>979+69-66</f>
        <v>982</v>
      </c>
      <c r="EE118" s="208">
        <f>993-260-109</f>
        <v>624</v>
      </c>
      <c r="EF118" s="735">
        <f t="shared" si="134"/>
        <v>3034</v>
      </c>
      <c r="EG118" s="208">
        <f>1011-69-145</f>
        <v>797</v>
      </c>
      <c r="EH118" s="208">
        <f>1154-193-144</f>
        <v>817</v>
      </c>
      <c r="EI118" s="208">
        <f>1252-37-79</f>
        <v>1136</v>
      </c>
      <c r="EJ118" s="208">
        <f>1321-727-138</f>
        <v>456</v>
      </c>
      <c r="EK118" s="735">
        <f t="shared" si="135"/>
        <v>3206</v>
      </c>
      <c r="EL118" s="208">
        <f>1474+175-98</f>
        <v>1551</v>
      </c>
      <c r="EM118" s="208">
        <f>1624-2247-100</f>
        <v>-723</v>
      </c>
      <c r="EN118" s="208">
        <f>1655-1354-80</f>
        <v>221</v>
      </c>
      <c r="EO118" s="208">
        <f>1633-5491-9</f>
        <v>-3867</v>
      </c>
      <c r="EP118" s="735">
        <f t="shared" si="136"/>
        <v>-2818</v>
      </c>
      <c r="EQ118" s="208">
        <f>1928-15936-94</f>
        <v>-14102</v>
      </c>
      <c r="ER118" s="208">
        <f>ER41</f>
        <v>2006.3614457831327</v>
      </c>
      <c r="ES118" s="208">
        <f>ES41</f>
        <v>2046.0067469879518</v>
      </c>
      <c r="ET118" s="208">
        <f>ET41</f>
        <v>2086.4208578313255</v>
      </c>
      <c r="EU118" s="735">
        <f t="shared" si="137"/>
        <v>-7963.2109493975904</v>
      </c>
      <c r="EV118" s="208">
        <f>EV41</f>
        <v>2127.6191545060246</v>
      </c>
      <c r="EW118" s="208">
        <f>EW41</f>
        <v>2169.6173207286752</v>
      </c>
      <c r="EX118" s="208">
        <f>EX41</f>
        <v>2212.4313538902366</v>
      </c>
      <c r="EY118" s="208">
        <f>EY41</f>
        <v>2256.077571329487</v>
      </c>
      <c r="EZ118" s="735">
        <f t="shared" si="138"/>
        <v>8765.7454004544234</v>
      </c>
      <c r="FA118" s="208">
        <f>FA41</f>
        <v>2300.5726167319804</v>
      </c>
      <c r="FB118" s="208">
        <f>FB41</f>
        <v>2345.9334666569812</v>
      </c>
      <c r="FC118" s="208">
        <f>FC41</f>
        <v>2392.17743719494</v>
      </c>
      <c r="FD118" s="208">
        <f>FD41</f>
        <v>2439.3221907581164</v>
      </c>
      <c r="FE118" s="735">
        <f t="shared" si="139"/>
        <v>9478.0057113420189</v>
      </c>
      <c r="FF118" s="208">
        <f>FF41</f>
        <v>2487.3857430070138</v>
      </c>
      <c r="FG118" s="208">
        <f>FG41</f>
        <v>2536.3864699153469</v>
      </c>
      <c r="FH118" s="208">
        <f>FH41</f>
        <v>2586.3431149763042</v>
      </c>
      <c r="FI118" s="208">
        <f>FI41</f>
        <v>2637.2747965529388</v>
      </c>
      <c r="FJ118" s="735">
        <f t="shared" si="140"/>
        <v>10247.390124451602</v>
      </c>
      <c r="FK118" s="208">
        <f>FK41</f>
        <v>2689.2010153755641</v>
      </c>
      <c r="FL118" s="208">
        <f>FL41</f>
        <v>2742.1416621890994</v>
      </c>
      <c r="FM118" s="208">
        <f>FM41</f>
        <v>2796.1170255533634</v>
      </c>
      <c r="FN118" s="208">
        <f>FN41</f>
        <v>2851.1477997993702</v>
      </c>
      <c r="FO118" s="735">
        <f t="shared" si="141"/>
        <v>11078.607502917397</v>
      </c>
      <c r="FP118" s="735"/>
      <c r="FQ118" s="152"/>
    </row>
    <row r="119" spans="1:173">
      <c r="B119" s="734"/>
      <c r="C119" s="734"/>
      <c r="D119" s="734"/>
      <c r="E119" s="734"/>
      <c r="F119" s="734"/>
      <c r="G119" s="734"/>
      <c r="H119" s="734"/>
      <c r="I119" s="734"/>
      <c r="J119" s="734"/>
      <c r="K119" s="152"/>
      <c r="L119" s="209"/>
      <c r="M119" s="209"/>
      <c r="N119" s="209"/>
      <c r="O119" s="209"/>
      <c r="P119" s="208"/>
      <c r="Q119" s="209"/>
      <c r="R119" s="209"/>
      <c r="S119" s="209"/>
      <c r="T119" s="209"/>
      <c r="U119" s="208"/>
      <c r="V119" s="209"/>
      <c r="W119" s="209"/>
      <c r="X119" s="209"/>
      <c r="Y119" s="209"/>
      <c r="Z119" s="208"/>
      <c r="AA119" s="209"/>
      <c r="AB119" s="209"/>
      <c r="AC119" s="209"/>
      <c r="AD119" s="209"/>
      <c r="AE119" s="208"/>
      <c r="AF119" s="209"/>
      <c r="AG119" s="209"/>
      <c r="AH119" s="209"/>
      <c r="AI119" s="209"/>
      <c r="AJ119" s="208"/>
      <c r="AK119" s="209"/>
      <c r="AL119" s="209"/>
      <c r="AM119" s="209"/>
      <c r="AN119" s="209"/>
      <c r="AO119" s="208"/>
      <c r="AP119" s="209"/>
      <c r="AQ119" s="208"/>
      <c r="AR119" s="208"/>
      <c r="AS119" s="208"/>
      <c r="AT119" s="208"/>
      <c r="AU119" s="208"/>
      <c r="AV119" s="208"/>
      <c r="AW119" s="208"/>
      <c r="AX119" s="208"/>
      <c r="AY119" s="208"/>
      <c r="AZ119" s="208"/>
      <c r="BA119" s="208"/>
      <c r="BB119" s="208"/>
      <c r="BC119" s="208"/>
      <c r="BD119" s="208"/>
      <c r="BE119" s="208"/>
      <c r="BF119" s="208"/>
      <c r="BG119" s="208"/>
      <c r="BH119" s="208"/>
      <c r="BI119" s="208"/>
      <c r="BJ119" s="208"/>
      <c r="BK119" s="208"/>
      <c r="BL119" s="208"/>
      <c r="BM119" s="208"/>
      <c r="BN119" s="208"/>
      <c r="BO119" s="208"/>
      <c r="BP119" s="208"/>
      <c r="BQ119" s="208"/>
      <c r="BR119" s="208"/>
      <c r="BS119" s="208"/>
      <c r="BT119" s="208"/>
      <c r="BU119" s="208"/>
      <c r="BV119" s="208"/>
      <c r="BW119" s="208"/>
      <c r="BX119" s="208"/>
      <c r="BY119" s="208"/>
      <c r="BZ119" s="208"/>
      <c r="CA119" s="208"/>
      <c r="CB119" s="208"/>
      <c r="CC119" s="208"/>
      <c r="CD119" s="208"/>
      <c r="CE119" s="208"/>
      <c r="CF119" s="208"/>
      <c r="CG119" s="208"/>
      <c r="CH119" s="208"/>
      <c r="CI119" s="208"/>
      <c r="CJ119" s="208"/>
      <c r="CK119" s="208"/>
      <c r="CL119" s="208"/>
      <c r="CM119" s="208"/>
      <c r="CN119" s="208"/>
      <c r="CO119" s="208"/>
      <c r="CP119" s="208"/>
      <c r="CQ119" s="208"/>
      <c r="CR119" s="208"/>
      <c r="CS119" s="208"/>
      <c r="CT119" s="208"/>
      <c r="CU119" s="208"/>
      <c r="CV119" s="208"/>
      <c r="CW119" s="208"/>
      <c r="CX119" s="208"/>
      <c r="CY119" s="208"/>
      <c r="CZ119" s="208"/>
      <c r="DA119" s="208"/>
      <c r="DB119" s="208"/>
      <c r="DC119" s="208"/>
      <c r="DD119" s="208"/>
      <c r="DE119" s="208"/>
      <c r="DF119" s="208"/>
      <c r="DG119" s="208"/>
      <c r="DH119" s="208"/>
      <c r="DI119" s="208"/>
      <c r="DJ119" s="208"/>
      <c r="DK119" s="208"/>
      <c r="DL119" s="208"/>
      <c r="DM119" s="208"/>
      <c r="DN119" s="208"/>
      <c r="DO119" s="208"/>
      <c r="DP119" s="208"/>
      <c r="DQ119" s="208"/>
      <c r="DR119" s="208"/>
      <c r="DS119" s="208"/>
      <c r="DT119" s="208"/>
      <c r="DU119" s="208"/>
      <c r="DV119" s="208"/>
      <c r="DW119" s="208"/>
      <c r="DX119" s="208"/>
      <c r="DY119" s="208"/>
      <c r="DZ119" s="208"/>
      <c r="EA119" s="208"/>
      <c r="EB119" s="208"/>
      <c r="EC119" s="208"/>
      <c r="ED119" s="208"/>
      <c r="EE119" s="208"/>
      <c r="EF119" s="208"/>
      <c r="EG119" s="208"/>
      <c r="EH119" s="208"/>
      <c r="EI119" s="208"/>
      <c r="EJ119" s="208"/>
      <c r="EK119" s="208"/>
      <c r="EL119" s="208"/>
      <c r="EM119" s="208"/>
      <c r="EN119" s="208"/>
      <c r="EO119" s="208"/>
      <c r="EP119" s="208"/>
      <c r="EQ119" s="208"/>
      <c r="ER119" s="208"/>
      <c r="ES119" s="208"/>
      <c r="ET119" s="208"/>
      <c r="EU119" s="208"/>
      <c r="EV119" s="208"/>
      <c r="EW119" s="208"/>
      <c r="EX119" s="208"/>
      <c r="EY119" s="208"/>
      <c r="EZ119" s="208"/>
      <c r="FA119" s="208"/>
      <c r="FB119" s="208"/>
      <c r="FC119" s="208"/>
      <c r="FD119" s="208"/>
      <c r="FE119" s="208"/>
      <c r="FF119" s="208"/>
      <c r="FG119" s="208"/>
      <c r="FH119" s="208"/>
      <c r="FI119" s="208"/>
      <c r="FJ119" s="208"/>
      <c r="FK119" s="208"/>
      <c r="FL119" s="208"/>
      <c r="FM119" s="208"/>
      <c r="FN119" s="208"/>
      <c r="FO119" s="208"/>
      <c r="FP119" s="208"/>
      <c r="FQ119" s="152"/>
    </row>
    <row r="120" spans="1:173">
      <c r="A120" s="171" t="s">
        <v>464</v>
      </c>
      <c r="B120" s="734"/>
      <c r="C120" s="734"/>
      <c r="D120" s="734"/>
      <c r="E120" s="734"/>
      <c r="F120" s="734"/>
      <c r="G120" s="734"/>
      <c r="H120" s="734"/>
      <c r="I120" s="734"/>
      <c r="J120" s="734"/>
      <c r="K120" s="152"/>
      <c r="L120" s="209"/>
      <c r="M120" s="209"/>
      <c r="N120" s="209"/>
      <c r="O120" s="209"/>
      <c r="P120" s="208"/>
      <c r="Q120" s="209"/>
      <c r="R120" s="209"/>
      <c r="S120" s="209"/>
      <c r="T120" s="209"/>
      <c r="U120" s="208"/>
      <c r="V120" s="209"/>
      <c r="W120" s="209"/>
      <c r="X120" s="209"/>
      <c r="Y120" s="209"/>
      <c r="Z120" s="208"/>
      <c r="AA120" s="209"/>
      <c r="AB120" s="209"/>
      <c r="AC120" s="209"/>
      <c r="AD120" s="209"/>
      <c r="AE120" s="208"/>
      <c r="AF120" s="209"/>
      <c r="AG120" s="209"/>
      <c r="AH120" s="209"/>
      <c r="AI120" s="209"/>
      <c r="AJ120" s="208"/>
      <c r="AK120" s="209"/>
      <c r="AL120" s="209"/>
      <c r="AM120" s="209"/>
      <c r="AN120" s="209"/>
      <c r="AO120" s="208"/>
      <c r="AP120" s="209"/>
      <c r="AQ120" s="208"/>
      <c r="AR120" s="208"/>
      <c r="AS120" s="208"/>
      <c r="AT120" s="208"/>
      <c r="AU120" s="208"/>
      <c r="AV120" s="208"/>
      <c r="AW120" s="208"/>
      <c r="AX120" s="208"/>
      <c r="AY120" s="208"/>
      <c r="AZ120" s="208"/>
      <c r="BA120" s="208"/>
      <c r="BB120" s="208"/>
      <c r="BC120" s="208"/>
      <c r="BD120" s="208"/>
      <c r="BE120" s="208"/>
      <c r="BF120" s="208"/>
      <c r="BG120" s="208"/>
      <c r="BH120" s="208"/>
      <c r="BI120" s="208"/>
      <c r="BJ120" s="208"/>
      <c r="BK120" s="208"/>
      <c r="BL120" s="208"/>
      <c r="BM120" s="208"/>
      <c r="BN120" s="208"/>
      <c r="BO120" s="208"/>
      <c r="BP120" s="208"/>
      <c r="BQ120" s="208"/>
      <c r="BR120" s="208"/>
      <c r="BS120" s="208"/>
      <c r="BT120" s="208"/>
      <c r="BU120" s="208"/>
      <c r="BV120" s="208"/>
      <c r="BW120" s="208"/>
      <c r="BX120" s="208"/>
      <c r="BY120" s="208"/>
      <c r="BZ120" s="208"/>
      <c r="CA120" s="208"/>
      <c r="CB120" s="208"/>
      <c r="CC120" s="208"/>
      <c r="CD120" s="208"/>
      <c r="CE120" s="208"/>
      <c r="CF120" s="208"/>
      <c r="CG120" s="208"/>
      <c r="CH120" s="208"/>
      <c r="CI120" s="208"/>
      <c r="CJ120" s="208"/>
      <c r="CK120" s="208"/>
      <c r="CL120" s="208"/>
      <c r="CM120" s="208"/>
      <c r="CN120" s="208"/>
      <c r="CO120" s="208"/>
      <c r="CP120" s="208"/>
      <c r="CQ120" s="208"/>
      <c r="CR120" s="208"/>
      <c r="CS120" s="208"/>
      <c r="CT120" s="208"/>
      <c r="CU120" s="208"/>
      <c r="CV120" s="208"/>
      <c r="CW120" s="208"/>
      <c r="CX120" s="208"/>
      <c r="CY120" s="208"/>
      <c r="CZ120" s="208"/>
      <c r="DA120" s="208"/>
      <c r="DB120" s="208"/>
      <c r="DC120" s="208"/>
      <c r="DD120" s="208"/>
      <c r="DE120" s="208"/>
      <c r="DF120" s="208"/>
      <c r="DG120" s="208"/>
      <c r="DH120" s="208"/>
      <c r="DI120" s="208"/>
      <c r="DJ120" s="208"/>
      <c r="DK120" s="208"/>
      <c r="DL120" s="208"/>
      <c r="DM120" s="208"/>
      <c r="DN120" s="208"/>
      <c r="DO120" s="208"/>
      <c r="DP120" s="208"/>
      <c r="DQ120" s="208"/>
      <c r="DR120" s="208"/>
      <c r="DS120" s="208"/>
      <c r="DT120" s="208"/>
      <c r="DU120" s="208"/>
      <c r="DV120" s="208"/>
      <c r="DW120" s="208"/>
      <c r="DX120" s="208"/>
      <c r="DY120" s="208"/>
      <c r="DZ120" s="208"/>
      <c r="EA120" s="208"/>
      <c r="EB120" s="208"/>
      <c r="EC120" s="208"/>
      <c r="ED120" s="208"/>
      <c r="EE120" s="208"/>
      <c r="EF120" s="208"/>
      <c r="EG120" s="208"/>
      <c r="EH120" s="208"/>
      <c r="EI120" s="208"/>
      <c r="EJ120" s="208"/>
      <c r="EK120" s="208"/>
      <c r="EL120" s="208"/>
      <c r="EM120" s="208"/>
      <c r="EN120" s="208"/>
      <c r="EO120" s="208"/>
      <c r="EP120" s="208"/>
      <c r="EQ120" s="208"/>
      <c r="ER120" s="208"/>
      <c r="ES120" s="208"/>
      <c r="ET120" s="208"/>
      <c r="EU120" s="208"/>
      <c r="EV120" s="208"/>
      <c r="EW120" s="208"/>
      <c r="EX120" s="208"/>
      <c r="EY120" s="208"/>
      <c r="EZ120" s="208"/>
      <c r="FA120" s="208"/>
      <c r="FB120" s="208"/>
      <c r="FC120" s="208"/>
      <c r="FD120" s="208"/>
      <c r="FE120" s="208"/>
      <c r="FF120" s="208"/>
      <c r="FG120" s="208"/>
      <c r="FH120" s="208"/>
      <c r="FI120" s="208"/>
      <c r="FJ120" s="208"/>
      <c r="FK120" s="208"/>
      <c r="FL120" s="208"/>
      <c r="FM120" s="208"/>
      <c r="FN120" s="208"/>
      <c r="FO120" s="208"/>
      <c r="FP120" s="208"/>
      <c r="FQ120" s="152"/>
    </row>
    <row r="121" spans="1:173">
      <c r="A121" s="203" t="s">
        <v>465</v>
      </c>
      <c r="B121" s="734"/>
      <c r="C121" s="734"/>
      <c r="D121" s="734"/>
      <c r="E121" s="734"/>
      <c r="F121" s="734"/>
      <c r="G121" s="734"/>
      <c r="H121" s="734"/>
      <c r="I121" s="734"/>
      <c r="J121" s="734"/>
      <c r="K121" s="706"/>
      <c r="L121" s="209">
        <v>-13.566000000000001</v>
      </c>
      <c r="M121" s="209">
        <f>-36.998-L121</f>
        <v>-23.431999999999995</v>
      </c>
      <c r="N121" s="209">
        <f>-43.238-M121-L121</f>
        <v>-6.2400000000000038</v>
      </c>
      <c r="O121" s="209">
        <f>-54.043-N121-M121-L121</f>
        <v>-10.805000000000001</v>
      </c>
      <c r="P121" s="735">
        <f t="shared" ref="P121:P127" si="142">SUM(L121:O121)</f>
        <v>-54.042999999999999</v>
      </c>
      <c r="Q121" s="209">
        <v>-4.774</v>
      </c>
      <c r="R121" s="209">
        <f>-17.868-Q121</f>
        <v>-13.093999999999998</v>
      </c>
      <c r="S121" s="209">
        <f>-37.128-R121-Q121</f>
        <v>-19.260000000000002</v>
      </c>
      <c r="T121" s="209">
        <f>-38.673-S121-R121-Q121</f>
        <v>-1.5450000000000026</v>
      </c>
      <c r="U121" s="735">
        <f t="shared" ref="U121:U127" si="143">SUM(Q121:T121)</f>
        <v>-38.673000000000002</v>
      </c>
      <c r="V121" s="209">
        <v>18.170000000000002</v>
      </c>
      <c r="W121" s="209">
        <f>-9.005-V121</f>
        <v>-27.175000000000004</v>
      </c>
      <c r="X121" s="209">
        <f>-14.124-W121-V121</f>
        <v>-5.118999999999998</v>
      </c>
      <c r="Y121" s="209">
        <f>-43.806-X121-W121-V121</f>
        <v>-29.681999999999995</v>
      </c>
      <c r="Z121" s="735">
        <f t="shared" ref="Z121:Z127" si="144">SUM(V121:Y121)</f>
        <v>-43.805999999999997</v>
      </c>
      <c r="AA121" s="209">
        <v>-4.3170000000000002</v>
      </c>
      <c r="AB121" s="209">
        <f>12.323-AA121</f>
        <v>16.64</v>
      </c>
      <c r="AC121" s="209">
        <f>-4.678-AB121-AA121</f>
        <v>-17.001000000000001</v>
      </c>
      <c r="AD121" s="209">
        <v>-4.3919999999999995</v>
      </c>
      <c r="AE121" s="735">
        <f t="shared" ref="AE121:AE127" si="145">SUM(AA121:AD121)</f>
        <v>-9.07</v>
      </c>
      <c r="AF121" s="209">
        <v>-1.5609999999999999</v>
      </c>
      <c r="AG121" s="209">
        <f>-36.907-AF121</f>
        <v>-35.345999999999997</v>
      </c>
      <c r="AH121" s="209">
        <f>-3.064-AG121-AF121</f>
        <v>33.842999999999996</v>
      </c>
      <c r="AI121" s="209">
        <f>-41.356-SUM(AF121:AH121)</f>
        <v>-38.292000000000002</v>
      </c>
      <c r="AJ121" s="735">
        <f t="shared" ref="AJ121:AJ127" si="146">SUM(AF121:AI121)</f>
        <v>-41.356000000000002</v>
      </c>
      <c r="AK121" s="209">
        <v>-8.1809999999999992</v>
      </c>
      <c r="AL121" s="209">
        <f>-59.834-AK121</f>
        <v>-51.653000000000006</v>
      </c>
      <c r="AM121" s="209">
        <f>-122.041-SUM(AK121:AL121)</f>
        <v>-62.206999999999994</v>
      </c>
      <c r="AN121" s="209">
        <f>-110.312-SUM(AK121:AM121)</f>
        <v>11.728999999999999</v>
      </c>
      <c r="AO121" s="735">
        <f t="shared" ref="AO121:AO127" si="147">SUM(AK121:AN121)</f>
        <v>-110.312</v>
      </c>
      <c r="AP121" s="209">
        <v>49.43</v>
      </c>
      <c r="AQ121" s="209">
        <f>-48.637-AP121</f>
        <v>-98.067000000000007</v>
      </c>
      <c r="AR121" s="208">
        <f>-55.621-SUM(AP121:AQ121)</f>
        <v>-6.9839999999999947</v>
      </c>
      <c r="AS121" s="208">
        <f>-21.415-SUM(AP121:AR121)</f>
        <v>34.206000000000003</v>
      </c>
      <c r="AT121" s="735">
        <f t="shared" ref="AT121:AT127" si="148">SUM(AP121:AS121)</f>
        <v>-21.414999999999999</v>
      </c>
      <c r="AU121" s="208">
        <v>-64.135000000000005</v>
      </c>
      <c r="AV121" s="208">
        <f>-132.259-AU121</f>
        <v>-68.123999999999981</v>
      </c>
      <c r="AW121" s="208">
        <f>-112.335-SUM(AU121:AV121)</f>
        <v>19.923999999999992</v>
      </c>
      <c r="AX121" s="208">
        <f>-175.261-SUM(AU121:AW121)</f>
        <v>-62.926000000000002</v>
      </c>
      <c r="AY121" s="735">
        <f t="shared" ref="AY121:AY127" si="149">SUM(AU121:AX121)</f>
        <v>-175.261</v>
      </c>
      <c r="AZ121" s="208">
        <v>47.847000000000001</v>
      </c>
      <c r="BA121" s="208">
        <f>10.95-AZ121</f>
        <v>-36.897000000000006</v>
      </c>
      <c r="BB121" s="208">
        <f>-32.943-SUM(AZ121:BA121)</f>
        <v>-43.892999999999994</v>
      </c>
      <c r="BC121" s="208">
        <f>-146.055-SUM(AZ121:BB121)</f>
        <v>-113.11200000000001</v>
      </c>
      <c r="BD121" s="735">
        <f t="shared" ref="BD121:BD127" si="150">SUM(AZ121:BC121)</f>
        <v>-146.05500000000001</v>
      </c>
      <c r="BE121" s="208">
        <v>15.826000000000001</v>
      </c>
      <c r="BF121" s="208">
        <f>-12.373-SUM(BE121)</f>
        <v>-28.198999999999998</v>
      </c>
      <c r="BG121" s="208">
        <f>59.276-BF121-BE121</f>
        <v>71.649000000000001</v>
      </c>
      <c r="BH121" s="208">
        <f>348.873-BG121-BF121-BE121</f>
        <v>289.59699999999998</v>
      </c>
      <c r="BI121" s="735">
        <f t="shared" ref="BI121:BI127" si="151">SUM(BE121:BH121)</f>
        <v>348.87299999999999</v>
      </c>
      <c r="BJ121" s="208">
        <v>14.170999999999999</v>
      </c>
      <c r="BK121" s="208">
        <f>-33.758-BJ121</f>
        <v>-47.929000000000002</v>
      </c>
      <c r="BL121" s="208">
        <f>BK65-BL65</f>
        <v>-45.860000000000014</v>
      </c>
      <c r="BM121" s="208">
        <f>-56.741-BL121-BK121-BJ121</f>
        <v>22.877000000000017</v>
      </c>
      <c r="BN121" s="735">
        <f t="shared" ref="BN121:BN127" si="152">SUM(BJ121:BM121)</f>
        <v>-56.741000000000007</v>
      </c>
      <c r="BO121" s="208">
        <v>-155.011</v>
      </c>
      <c r="BP121" s="208">
        <f>-21.193-BO121</f>
        <v>133.81799999999998</v>
      </c>
      <c r="BQ121" s="208">
        <f>-24.567-BP121-BO121</f>
        <v>-3.3739999999999952</v>
      </c>
      <c r="BR121" s="208">
        <f>26.341-BQ121-BP121-BO121</f>
        <v>50.908000000000015</v>
      </c>
      <c r="BS121" s="735">
        <f t="shared" ref="BS121:BS127" si="153">SUM(BO121:BR121)</f>
        <v>26.341000000000008</v>
      </c>
      <c r="BT121" s="208">
        <v>5.82</v>
      </c>
      <c r="BU121" s="208">
        <f>-57.511-BT121</f>
        <v>-63.331000000000003</v>
      </c>
      <c r="BV121" s="208">
        <f>-8.834-BU121-BT121</f>
        <v>48.677</v>
      </c>
      <c r="BW121" s="208">
        <f>26.236-BV121-BU121-BT121</f>
        <v>35.07</v>
      </c>
      <c r="BX121" s="735">
        <f t="shared" ref="BX121:BX127" si="154">SUM(BT121:BW121)</f>
        <v>26.235999999999997</v>
      </c>
      <c r="BY121" s="208">
        <v>-75.369</v>
      </c>
      <c r="BZ121" s="208">
        <f>-109.218-BY121</f>
        <v>-33.849000000000004</v>
      </c>
      <c r="CA121" s="208">
        <f>-109.008-BZ121-BY121</f>
        <v>0.21000000000000796</v>
      </c>
      <c r="CB121" s="208">
        <f>-118.94-CA121-BZ121-BY121</f>
        <v>-9.9320000000000022</v>
      </c>
      <c r="CC121" s="735">
        <f t="shared" ref="CC121:CC127" si="155">SUM(BY121:CB121)</f>
        <v>-118.94</v>
      </c>
      <c r="CD121" s="208">
        <v>108.476</v>
      </c>
      <c r="CE121" s="208">
        <f>37.271-CD121</f>
        <v>-71.204999999999998</v>
      </c>
      <c r="CF121" s="208">
        <f>7.806-CE121-CD121</f>
        <v>-29.465000000000003</v>
      </c>
      <c r="CG121" s="208">
        <f>28.852-CF121-CE121-CD121</f>
        <v>21.045999999999992</v>
      </c>
      <c r="CH121" s="735">
        <f t="shared" ref="CH121:CH127" si="156">SUM(CD121:CG121)</f>
        <v>28.85199999999999</v>
      </c>
      <c r="CI121" s="208">
        <v>28.077000000000002</v>
      </c>
      <c r="CJ121" s="208">
        <f>-45.747-CI121</f>
        <v>-73.823999999999998</v>
      </c>
      <c r="CK121" s="208">
        <f>-138.729-CJ121-CI121</f>
        <v>-92.982000000000014</v>
      </c>
      <c r="CL121" s="208">
        <f>-49.324-CK121-CJ121-CI121</f>
        <v>89.405000000000015</v>
      </c>
      <c r="CM121" s="735">
        <f t="shared" ref="CM121:CM127" si="157">SUM(CI121:CL121)</f>
        <v>-49.323999999999998</v>
      </c>
      <c r="CN121" s="208">
        <v>18</v>
      </c>
      <c r="CO121" s="208">
        <f>-41-CN121</f>
        <v>-59</v>
      </c>
      <c r="CP121" s="208">
        <f>-63-CO121-CN121</f>
        <v>-22</v>
      </c>
      <c r="CQ121" s="208">
        <f>-32-CP121-CO121-CN121</f>
        <v>31</v>
      </c>
      <c r="CR121" s="735">
        <f t="shared" ref="CR121:CR127" si="158">SUM(CN121:CQ121)</f>
        <v>-32</v>
      </c>
      <c r="CS121" s="208">
        <v>-17</v>
      </c>
      <c r="CT121" s="208">
        <f>-138-CS121</f>
        <v>-121</v>
      </c>
      <c r="CU121" s="208">
        <f>-328-CT121-CS121</f>
        <v>-190</v>
      </c>
      <c r="CV121" s="208">
        <f>-321-CU121-CT121-CS121</f>
        <v>7</v>
      </c>
      <c r="CW121" s="735">
        <f t="shared" ref="CW121:CW127" si="159">SUM(CS121:CV121)</f>
        <v>-321</v>
      </c>
      <c r="CX121" s="208">
        <v>-150</v>
      </c>
      <c r="CY121" s="208">
        <f>-387-CX121</f>
        <v>-237</v>
      </c>
      <c r="CZ121" s="208">
        <f>-342-CY121-CX121</f>
        <v>45</v>
      </c>
      <c r="DA121" s="208">
        <f>-440-CZ121-CY121-CX121</f>
        <v>-98</v>
      </c>
      <c r="DB121" s="735">
        <f t="shared" ref="DB121:DB127" si="160">SUM(CX121:DA121)</f>
        <v>-440</v>
      </c>
      <c r="DC121" s="208">
        <v>56</v>
      </c>
      <c r="DD121" s="208">
        <f>-386-DC121</f>
        <v>-442</v>
      </c>
      <c r="DE121" s="208">
        <f>-943-DD121-DC121</f>
        <v>-557</v>
      </c>
      <c r="DF121" s="208">
        <f>-149-DE121-DD121-DC121</f>
        <v>794</v>
      </c>
      <c r="DG121" s="735">
        <f t="shared" ref="DG121:DG127" si="161">SUM(DC121:DF121)</f>
        <v>-149</v>
      </c>
      <c r="DH121" s="208">
        <v>182</v>
      </c>
      <c r="DI121" s="208">
        <f>-137-DH121</f>
        <v>-319</v>
      </c>
      <c r="DJ121" s="208">
        <f>-32-DI121-DH121</f>
        <v>105</v>
      </c>
      <c r="DK121" s="208">
        <v>-202</v>
      </c>
      <c r="DL121" s="735">
        <f t="shared" ref="DL121:DL127" si="162">SUM(DH121:DK121)</f>
        <v>-234</v>
      </c>
      <c r="DM121" s="208">
        <v>-249</v>
      </c>
      <c r="DN121" s="208">
        <v>44</v>
      </c>
      <c r="DO121" s="208">
        <v>-463</v>
      </c>
      <c r="DP121" s="208">
        <f>117</f>
        <v>117</v>
      </c>
      <c r="DQ121" s="735">
        <f t="shared" ref="DQ121:DQ127" si="163">SUM(DM121:DP121)</f>
        <v>-551</v>
      </c>
      <c r="DR121" s="208">
        <v>-595</v>
      </c>
      <c r="DS121" s="208">
        <v>-563</v>
      </c>
      <c r="DT121" s="208">
        <v>-366</v>
      </c>
      <c r="DU121" s="208">
        <f>-692</f>
        <v>-692</v>
      </c>
      <c r="DV121" s="735">
        <f t="shared" ref="DV121:DV127" si="164">SUM(DR121:DU121)</f>
        <v>-2216</v>
      </c>
      <c r="DW121" s="208">
        <v>-788</v>
      </c>
      <c r="DX121" s="208">
        <v>120</v>
      </c>
      <c r="DY121" s="208">
        <v>410</v>
      </c>
      <c r="DZ121" s="208">
        <v>1081</v>
      </c>
      <c r="EA121" s="735">
        <f t="shared" ref="EA121:EA127" si="165">SUM(DW121:DZ121)</f>
        <v>823</v>
      </c>
      <c r="EB121" s="208">
        <v>-252</v>
      </c>
      <c r="EC121" s="208">
        <v>-2986</v>
      </c>
      <c r="ED121" s="208">
        <v>-1243</v>
      </c>
      <c r="EE121" s="208">
        <v>-1690</v>
      </c>
      <c r="EF121" s="735">
        <f t="shared" ref="EF121:EF127" si="166">SUM(EB121:EE121)</f>
        <v>-6171</v>
      </c>
      <c r="EG121" s="208">
        <v>-2366</v>
      </c>
      <c r="EH121" s="208">
        <v>-1767</v>
      </c>
      <c r="EI121" s="208">
        <v>-3561</v>
      </c>
      <c r="EJ121" s="208">
        <v>-5370</v>
      </c>
      <c r="EK121" s="735">
        <f t="shared" ref="EK121:EK127" si="167">SUM(EG121:EJ121)</f>
        <v>-13064</v>
      </c>
      <c r="EL121" s="208">
        <v>933</v>
      </c>
      <c r="EM121" s="208">
        <v>-5675</v>
      </c>
      <c r="EN121" s="208">
        <v>-5583</v>
      </c>
      <c r="EO121" s="208">
        <v>-5073</v>
      </c>
      <c r="EP121" s="735">
        <f t="shared" ref="EP121:EP127" si="168">SUM(EL121:EO121)</f>
        <v>-15398</v>
      </c>
      <c r="EQ121" s="208">
        <v>-2243</v>
      </c>
      <c r="ER121" s="208">
        <f>EQ65-ER65</f>
        <v>-15528.826944629109</v>
      </c>
      <c r="ES121" s="208">
        <f>ER65-ES65</f>
        <v>-10642.013744724958</v>
      </c>
      <c r="ET121" s="208">
        <f>ES65-ET65</f>
        <v>-8990.1247603543306</v>
      </c>
      <c r="EU121" s="735">
        <f t="shared" ref="EU121:EU127" si="169">SUM(EQ121:ET121)</f>
        <v>-37403.965449708398</v>
      </c>
      <c r="EV121" s="208">
        <f>ET65-EV65</f>
        <v>567.82859146305418</v>
      </c>
      <c r="EW121" s="208">
        <f>EV65-EW65</f>
        <v>-7366.4576374652534</v>
      </c>
      <c r="EX121" s="208">
        <f>EW65-EX65</f>
        <v>-9744.2321856122435</v>
      </c>
      <c r="EY121" s="208">
        <f>EX65-EY65</f>
        <v>-6166.5606551664823</v>
      </c>
      <c r="EZ121" s="735">
        <f t="shared" ref="EZ121:EZ127" si="170">SUM(EV121:EY121)</f>
        <v>-22709.421886780925</v>
      </c>
      <c r="FA121" s="208">
        <f>EY65-FA65</f>
        <v>-2555.9841378914425</v>
      </c>
      <c r="FB121" s="208">
        <f>FA65-FB65</f>
        <v>-3118.3232315433124</v>
      </c>
      <c r="FC121" s="208">
        <f>FB65-FC65</f>
        <v>-7304.3969655130204</v>
      </c>
      <c r="FD121" s="208">
        <f>FC65-FD65</f>
        <v>-5569.2692993212258</v>
      </c>
      <c r="FE121" s="735">
        <f t="shared" ref="FE121:FE127" si="171">SUM(FA121:FD121)</f>
        <v>-18547.973634269001</v>
      </c>
      <c r="FF121" s="208">
        <f>FD65-FF65</f>
        <v>-835.239869680212</v>
      </c>
      <c r="FG121" s="208">
        <f>FF65-FG65</f>
        <v>-1352.5471846317523</v>
      </c>
      <c r="FH121" s="208">
        <f>FG65-FH65</f>
        <v>-3764.9732488426962</v>
      </c>
      <c r="FI121" s="208">
        <f>FH65-FI65</f>
        <v>-2609.5782097447227</v>
      </c>
      <c r="FJ121" s="735">
        <f t="shared" ref="FJ121:FJ127" si="172">SUM(FF121:FI121)</f>
        <v>-8562.3385128993832</v>
      </c>
      <c r="FK121" s="208">
        <f>FI65-FK65</f>
        <v>-2101.3174844838504</v>
      </c>
      <c r="FL121" s="208">
        <f>FK65-FL65</f>
        <v>-3923.1829709627636</v>
      </c>
      <c r="FM121" s="208">
        <f>FL65-FM65</f>
        <v>-7945.2893698924745</v>
      </c>
      <c r="FN121" s="208">
        <f>FM65-FN65</f>
        <v>-5637.5741048002383</v>
      </c>
      <c r="FO121" s="735">
        <f t="shared" ref="FO121:FO127" si="173">SUM(FK121:FN121)</f>
        <v>-19607.363930139327</v>
      </c>
      <c r="FP121" s="735"/>
      <c r="FQ121" s="152"/>
    </row>
    <row r="122" spans="1:173">
      <c r="A122" s="203" t="s">
        <v>249</v>
      </c>
      <c r="B122" s="734"/>
      <c r="C122" s="734"/>
      <c r="D122" s="734"/>
      <c r="E122" s="734"/>
      <c r="F122" s="734"/>
      <c r="G122" s="734"/>
      <c r="H122" s="734"/>
      <c r="I122" s="734"/>
      <c r="J122" s="734"/>
      <c r="K122" s="706"/>
      <c r="L122" s="209">
        <v>13.43</v>
      </c>
      <c r="M122" s="209">
        <f>20.182-L122</f>
        <v>6.7519999999999989</v>
      </c>
      <c r="N122" s="209">
        <f>16.889-M122-L122</f>
        <v>-3.2929999999999993</v>
      </c>
      <c r="O122" s="209">
        <f>-9.008-N122-M122-L122</f>
        <v>-25.896999999999998</v>
      </c>
      <c r="P122" s="735">
        <f t="shared" si="142"/>
        <v>-9.0079999999999991</v>
      </c>
      <c r="Q122" s="209">
        <v>-17.61</v>
      </c>
      <c r="R122" s="209">
        <f>-30.504-Q122</f>
        <v>-12.894000000000002</v>
      </c>
      <c r="S122" s="209">
        <f>-55.561-R122-Q122</f>
        <v>-25.057000000000002</v>
      </c>
      <c r="T122" s="209">
        <f>-52.274-S122-R122-Q122</f>
        <v>3.2870000000000026</v>
      </c>
      <c r="U122" s="735">
        <f t="shared" si="143"/>
        <v>-52.274000000000001</v>
      </c>
      <c r="V122" s="209">
        <v>0.92800000000000005</v>
      </c>
      <c r="W122" s="209">
        <f>-0.807-V122</f>
        <v>-1.7350000000000001</v>
      </c>
      <c r="X122" s="209">
        <f>-31.808-W122-V122</f>
        <v>-31.001000000000001</v>
      </c>
      <c r="Y122" s="209">
        <f>-123.497-X122-W122-V122</f>
        <v>-91.688999999999993</v>
      </c>
      <c r="Z122" s="735">
        <f t="shared" si="144"/>
        <v>-123.49699999999999</v>
      </c>
      <c r="AA122" s="209">
        <v>-40.049999999999997</v>
      </c>
      <c r="AB122" s="209">
        <f>-71.473-AA122</f>
        <v>-31.423000000000002</v>
      </c>
      <c r="AC122" s="209">
        <f>8.834-AB122-AA122</f>
        <v>80.307000000000002</v>
      </c>
      <c r="AD122" s="209">
        <v>59.997</v>
      </c>
      <c r="AE122" s="735">
        <f t="shared" si="145"/>
        <v>68.831000000000003</v>
      </c>
      <c r="AF122" s="209">
        <v>-20.739000000000001</v>
      </c>
      <c r="AG122" s="209">
        <f>-72.813-AF122</f>
        <v>-52.073999999999998</v>
      </c>
      <c r="AH122" s="209">
        <f>-111.707-AG122-AF122</f>
        <v>-38.893999999999991</v>
      </c>
      <c r="AI122" s="209">
        <f>-85.126-SUM(AF122:AH122)</f>
        <v>26.580999999999989</v>
      </c>
      <c r="AJ122" s="735">
        <f t="shared" si="146"/>
        <v>-85.126000000000005</v>
      </c>
      <c r="AK122" s="209">
        <v>-0.55800000000000005</v>
      </c>
      <c r="AL122" s="209">
        <f>-32.747-AK122</f>
        <v>-32.189</v>
      </c>
      <c r="AM122" s="209">
        <f>-63.313-SUM(AK122:AL122)</f>
        <v>-30.566000000000003</v>
      </c>
      <c r="AN122" s="209">
        <f>-81.28-SUM(AK122:AM122)</f>
        <v>-17.966999999999999</v>
      </c>
      <c r="AO122" s="735">
        <f t="shared" si="147"/>
        <v>-81.28</v>
      </c>
      <c r="AP122" s="209">
        <v>7.7590000000000003</v>
      </c>
      <c r="AQ122" s="209">
        <f>14.563-AP122</f>
        <v>6.8040000000000003</v>
      </c>
      <c r="AR122" s="208">
        <f>30.671-SUM(AP122:AQ122)</f>
        <v>16.107999999999997</v>
      </c>
      <c r="AS122" s="208">
        <f>60.726-SUM(AP122:AR122)</f>
        <v>30.055</v>
      </c>
      <c r="AT122" s="735">
        <f t="shared" si="148"/>
        <v>60.725999999999999</v>
      </c>
      <c r="AU122" s="208">
        <v>-87.957999999999998</v>
      </c>
      <c r="AV122" s="208">
        <f>-118.315-AU122</f>
        <v>-30.356999999999999</v>
      </c>
      <c r="AW122" s="208">
        <f>-112.54-SUM(AU122:AV122)</f>
        <v>5.7749999999999915</v>
      </c>
      <c r="AX122" s="208">
        <f>-91.395-SUM(AU122:AW122)</f>
        <v>21.14500000000001</v>
      </c>
      <c r="AY122" s="735">
        <f t="shared" si="149"/>
        <v>-91.394999999999996</v>
      </c>
      <c r="AZ122" s="208">
        <v>22.84</v>
      </c>
      <c r="BA122" s="208">
        <f>78.489-AZ122</f>
        <v>55.649000000000001</v>
      </c>
      <c r="BB122" s="208">
        <f>48.59-SUM(AZ122:BA122)</f>
        <v>-29.899000000000001</v>
      </c>
      <c r="BC122" s="208">
        <f>-3.69-SUM(AZ122:BB122)</f>
        <v>-52.28</v>
      </c>
      <c r="BD122" s="735">
        <f t="shared" si="150"/>
        <v>-3.6899999999999977</v>
      </c>
      <c r="BE122" s="208">
        <v>-61.149000000000001</v>
      </c>
      <c r="BF122" s="208">
        <f>-73.139-SUM(BE122)</f>
        <v>-11.989999999999995</v>
      </c>
      <c r="BG122" s="208">
        <f>-165.154-BF122-BE122</f>
        <v>-92.014999999999986</v>
      </c>
      <c r="BH122" s="208">
        <f>-177.295-BG122-BF122-BE122</f>
        <v>-12.141000000000005</v>
      </c>
      <c r="BI122" s="735">
        <f t="shared" si="151"/>
        <v>-177.29500000000002</v>
      </c>
      <c r="BJ122" s="208">
        <v>211.233</v>
      </c>
      <c r="BK122" s="208">
        <f>256.564-BJ122</f>
        <v>45.331000000000017</v>
      </c>
      <c r="BL122" s="208">
        <f>BK67-BL67</f>
        <v>1.5730000000000359</v>
      </c>
      <c r="BM122" s="208">
        <f>204.656-BL122-BK122-BJ122</f>
        <v>-53.481000000000051</v>
      </c>
      <c r="BN122" s="735">
        <f t="shared" si="152"/>
        <v>204.65600000000001</v>
      </c>
      <c r="BO122" s="208">
        <v>-56.816000000000003</v>
      </c>
      <c r="BP122" s="208">
        <f>-102.778-BO122</f>
        <v>-45.962000000000003</v>
      </c>
      <c r="BQ122" s="208">
        <f>-46.746-BP122-BO122</f>
        <v>56.032000000000004</v>
      </c>
      <c r="BR122" s="208">
        <f>-14.128-BQ122-BP122-BO122</f>
        <v>32.618000000000009</v>
      </c>
      <c r="BS122" s="735">
        <f t="shared" si="153"/>
        <v>-14.127999999999993</v>
      </c>
      <c r="BT122" s="208">
        <v>-35.183</v>
      </c>
      <c r="BU122" s="208">
        <f>-2.169-BT122</f>
        <v>33.014000000000003</v>
      </c>
      <c r="BV122" s="208">
        <f>39.748-BU122-BT122</f>
        <v>41.916999999999994</v>
      </c>
      <c r="BW122" s="208">
        <f>18.884-BV122-BU122-BT122</f>
        <v>-20.863999999999997</v>
      </c>
      <c r="BX122" s="735">
        <f t="shared" si="154"/>
        <v>18.884</v>
      </c>
      <c r="BY122" s="208">
        <v>-2.1909999999999998</v>
      </c>
      <c r="BZ122" s="208">
        <f>-46.834-BY122</f>
        <v>-44.643000000000001</v>
      </c>
      <c r="CA122" s="208">
        <f>-88.378-BY122-BZ122</f>
        <v>-41.543999999999997</v>
      </c>
      <c r="CB122" s="208">
        <f>-78.949-CA122-BZ122-BY122</f>
        <v>9.4289999999999985</v>
      </c>
      <c r="CC122" s="735">
        <f t="shared" si="155"/>
        <v>-78.948999999999998</v>
      </c>
      <c r="CD122" s="208">
        <v>41.51</v>
      </c>
      <c r="CE122" s="208">
        <f>34.722-CD122</f>
        <v>-6.7879999999999967</v>
      </c>
      <c r="CF122" s="208">
        <f>32.178-CE122-CD122</f>
        <v>-2.544000000000004</v>
      </c>
      <c r="CG122" s="208">
        <f>24.651-CF122-CE122-CD122</f>
        <v>-7.5269999999999939</v>
      </c>
      <c r="CH122" s="735">
        <f t="shared" si="156"/>
        <v>24.651000000000003</v>
      </c>
      <c r="CI122" s="208">
        <v>-5.6790000000000003</v>
      </c>
      <c r="CJ122" s="208">
        <f>0.508-CI122</f>
        <v>6.1870000000000003</v>
      </c>
      <c r="CK122" s="208">
        <f>-19.875-CJ122-CI122</f>
        <v>-20.383000000000003</v>
      </c>
      <c r="CL122" s="208">
        <f>-94.984-CK122-CJ122-CI122</f>
        <v>-75.108999999999995</v>
      </c>
      <c r="CM122" s="735">
        <f t="shared" si="157"/>
        <v>-94.983999999999995</v>
      </c>
      <c r="CN122" s="208">
        <v>45</v>
      </c>
      <c r="CO122" s="208">
        <f>42-CN122</f>
        <v>-3</v>
      </c>
      <c r="CP122" s="208">
        <f>59-CO122-CN122</f>
        <v>17</v>
      </c>
      <c r="CQ122" s="208">
        <f>66-CP122-CO122-CN122</f>
        <v>7</v>
      </c>
      <c r="CR122" s="735">
        <f t="shared" si="158"/>
        <v>66</v>
      </c>
      <c r="CS122" s="208">
        <v>23</v>
      </c>
      <c r="CT122" s="208">
        <f>-104-CS122</f>
        <v>-127</v>
      </c>
      <c r="CU122" s="208">
        <f>-261-CT122-CS122</f>
        <v>-157</v>
      </c>
      <c r="CV122" s="208">
        <f>-375-CU122-CT122-CS122</f>
        <v>-114</v>
      </c>
      <c r="CW122" s="735">
        <f t="shared" si="159"/>
        <v>-375</v>
      </c>
      <c r="CX122" s="208">
        <v>-27</v>
      </c>
      <c r="CY122" s="208">
        <f>-61-CX122</f>
        <v>-34</v>
      </c>
      <c r="CZ122" s="208">
        <f>-61-CY122-CX122</f>
        <v>0</v>
      </c>
      <c r="DA122" s="208">
        <f>0-CZ122-CY122-CX122</f>
        <v>61</v>
      </c>
      <c r="DB122" s="735">
        <f t="shared" si="160"/>
        <v>0</v>
      </c>
      <c r="DC122" s="208">
        <v>-2</v>
      </c>
      <c r="DD122" s="208">
        <f>-295-DC122</f>
        <v>-293</v>
      </c>
      <c r="DE122" s="208">
        <f>-620-DD122-DC122</f>
        <v>-325</v>
      </c>
      <c r="DF122" s="208">
        <f>-776-DE122-DD122-DC122</f>
        <v>-156</v>
      </c>
      <c r="DG122" s="735">
        <f t="shared" si="161"/>
        <v>-776</v>
      </c>
      <c r="DH122" s="208">
        <v>153</v>
      </c>
      <c r="DI122" s="208">
        <f>378-DH122</f>
        <v>225</v>
      </c>
      <c r="DJ122" s="208">
        <f>531-DI122-DH122</f>
        <v>153</v>
      </c>
      <c r="DK122" s="208">
        <v>66</v>
      </c>
      <c r="DL122" s="735">
        <f t="shared" si="162"/>
        <v>597</v>
      </c>
      <c r="DM122" s="208">
        <v>-151</v>
      </c>
      <c r="DN122" s="208">
        <v>54</v>
      </c>
      <c r="DO122" s="208">
        <v>-93</v>
      </c>
      <c r="DP122" s="208">
        <v>-334</v>
      </c>
      <c r="DQ122" s="735">
        <f t="shared" si="163"/>
        <v>-524</v>
      </c>
      <c r="DR122" s="208">
        <v>-159</v>
      </c>
      <c r="DS122" s="208">
        <v>-123</v>
      </c>
      <c r="DT122" s="208">
        <v>-118</v>
      </c>
      <c r="DU122" s="208">
        <v>-374</v>
      </c>
      <c r="DV122" s="735">
        <f t="shared" si="164"/>
        <v>-774</v>
      </c>
      <c r="DW122" s="208">
        <v>-560</v>
      </c>
      <c r="DX122" s="208">
        <v>-725</v>
      </c>
      <c r="DY122" s="208">
        <v>-563</v>
      </c>
      <c r="DZ122" s="208">
        <v>-706</v>
      </c>
      <c r="EA122" s="735">
        <f t="shared" si="165"/>
        <v>-2554</v>
      </c>
      <c r="EB122" s="208">
        <v>566</v>
      </c>
      <c r="EC122" s="208">
        <v>296</v>
      </c>
      <c r="ED122" s="208">
        <v>-457</v>
      </c>
      <c r="EE122" s="208">
        <v>-503</v>
      </c>
      <c r="EF122" s="735">
        <f t="shared" si="166"/>
        <v>-98</v>
      </c>
      <c r="EG122" s="208">
        <v>-577</v>
      </c>
      <c r="EH122" s="208">
        <v>-803</v>
      </c>
      <c r="EI122" s="208">
        <v>-978</v>
      </c>
      <c r="EJ122" s="208">
        <v>-2424</v>
      </c>
      <c r="EK122" s="735">
        <f t="shared" si="167"/>
        <v>-4782</v>
      </c>
      <c r="EL122" s="208">
        <v>-1258</v>
      </c>
      <c r="EM122" s="208">
        <v>-3622</v>
      </c>
      <c r="EN122" s="208">
        <v>-4823</v>
      </c>
      <c r="EO122" s="208">
        <v>-1621</v>
      </c>
      <c r="EP122" s="735">
        <f t="shared" si="168"/>
        <v>-11324</v>
      </c>
      <c r="EQ122" s="208">
        <v>-4420</v>
      </c>
      <c r="ER122" s="208">
        <f>EQ67-ER67</f>
        <v>-3632.0894893158693</v>
      </c>
      <c r="ES122" s="208">
        <f>ER67-ES67</f>
        <v>-5652.2919343193862</v>
      </c>
      <c r="ET122" s="208">
        <f>ES67-ET67</f>
        <v>-2866.4753884455131</v>
      </c>
      <c r="EU122" s="735">
        <f t="shared" si="169"/>
        <v>-16570.856812080769</v>
      </c>
      <c r="EV122" s="208">
        <f>ET67-EV67</f>
        <v>-3320.9591704003033</v>
      </c>
      <c r="EW122" s="208">
        <f>EV67-EW67</f>
        <v>-3978.6285142578126</v>
      </c>
      <c r="EX122" s="208">
        <f>EW67-EX67</f>
        <v>-5268.2895839087723</v>
      </c>
      <c r="EY122" s="208">
        <f>EX67-EY67</f>
        <v>-860.99645655496715</v>
      </c>
      <c r="EZ122" s="735">
        <f t="shared" si="170"/>
        <v>-13428.873725121855</v>
      </c>
      <c r="FA122" s="208">
        <f>EY67-FA67</f>
        <v>-3731.5109546124004</v>
      </c>
      <c r="FB122" s="208">
        <f>FA67-FB67</f>
        <v>-1723.0306263355233</v>
      </c>
      <c r="FC122" s="208">
        <f>FB67-FC67</f>
        <v>-3982.5565655424143</v>
      </c>
      <c r="FD122" s="208">
        <f>FC67-FD67</f>
        <v>-122.23789869710163</v>
      </c>
      <c r="FE122" s="735">
        <f t="shared" si="171"/>
        <v>-9559.3360451874396</v>
      </c>
      <c r="FF122" s="208">
        <f>FD67-FF67</f>
        <v>-3266.3824631531606</v>
      </c>
      <c r="FG122" s="208">
        <f>FF67-FG67</f>
        <v>-788.26745634283725</v>
      </c>
      <c r="FH122" s="208">
        <f>FG67-FH67</f>
        <v>-2106.231340749735</v>
      </c>
      <c r="FI122" s="208">
        <f>FH67-FI67</f>
        <v>1659.5364948808856</v>
      </c>
      <c r="FJ122" s="735">
        <f t="shared" si="172"/>
        <v>-4501.3447653648473</v>
      </c>
      <c r="FK122" s="208">
        <f>FI67-FK67</f>
        <v>-4150.4792701120023</v>
      </c>
      <c r="FL122" s="208">
        <f>FK67-FL67</f>
        <v>-2164.1666093058011</v>
      </c>
      <c r="FM122" s="208">
        <f>FL67-FM67</f>
        <v>-4341.8667105354543</v>
      </c>
      <c r="FN122" s="208">
        <f>FM67-FN67</f>
        <v>521.25724267881014</v>
      </c>
      <c r="FO122" s="735">
        <f t="shared" si="173"/>
        <v>-10135.255347274448</v>
      </c>
      <c r="FP122" s="735"/>
      <c r="FQ122" s="152"/>
    </row>
    <row r="123" spans="1:173" ht="12.75" customHeight="1">
      <c r="A123" s="203" t="s">
        <v>466</v>
      </c>
      <c r="B123" s="734"/>
      <c r="C123" s="734"/>
      <c r="D123" s="734"/>
      <c r="E123" s="734"/>
      <c r="F123" s="734"/>
      <c r="G123" s="734"/>
      <c r="H123" s="734"/>
      <c r="I123" s="734"/>
      <c r="J123" s="734"/>
      <c r="K123" s="706"/>
      <c r="L123" s="209">
        <v>-0.56100000000000005</v>
      </c>
      <c r="M123" s="209">
        <f>-1.147-L123</f>
        <v>-0.58599999999999997</v>
      </c>
      <c r="N123" s="209">
        <f>-2.61-M123-L123</f>
        <v>-1.4630000000000001</v>
      </c>
      <c r="O123" s="209">
        <f>-5.161-N123-M123-L123</f>
        <v>-2.5509999999999997</v>
      </c>
      <c r="P123" s="735">
        <f t="shared" si="142"/>
        <v>-5.1609999999999996</v>
      </c>
      <c r="Q123" s="209">
        <v>-9.4269999999999996</v>
      </c>
      <c r="R123" s="209">
        <f>-17.744-Q123</f>
        <v>-8.3170000000000002</v>
      </c>
      <c r="S123" s="209">
        <f>-26.553-R123-Q123</f>
        <v>-8.8090000000000011</v>
      </c>
      <c r="T123" s="209">
        <f>-29.981-S123-R123-Q123</f>
        <v>-3.4280000000000008</v>
      </c>
      <c r="U123" s="735">
        <f t="shared" si="143"/>
        <v>-29.981000000000002</v>
      </c>
      <c r="V123" s="209">
        <f>-42.52-2.179</f>
        <v>-44.699000000000005</v>
      </c>
      <c r="W123" s="209">
        <f>-37.205-3.184-V123</f>
        <v>4.3100000000000094</v>
      </c>
      <c r="X123" s="209">
        <f>-27.32-0.485-W123-V123</f>
        <v>12.583999999999996</v>
      </c>
      <c r="Y123" s="209">
        <f>-38.016+0.277-X123-W123-V123</f>
        <v>-9.9339999999999975</v>
      </c>
      <c r="Z123" s="735">
        <f t="shared" si="144"/>
        <v>-37.738999999999997</v>
      </c>
      <c r="AA123" s="209">
        <v>-3.8039999999999998</v>
      </c>
      <c r="AB123" s="209">
        <f>-5.174-AA123</f>
        <v>-1.3700000000000006</v>
      </c>
      <c r="AC123" s="209">
        <f>-5.308-AB123-AA123</f>
        <v>-0.13399999999999945</v>
      </c>
      <c r="AD123" s="209">
        <v>39.009</v>
      </c>
      <c r="AE123" s="735">
        <f t="shared" si="145"/>
        <v>33.701000000000001</v>
      </c>
      <c r="AF123" s="209">
        <v>-6.1849999999999996</v>
      </c>
      <c r="AG123" s="209">
        <f>-3.654-AF123</f>
        <v>2.5309999999999997</v>
      </c>
      <c r="AH123" s="209">
        <f>-3.513-AG123-AF123</f>
        <v>0.14100000000000001</v>
      </c>
      <c r="AI123" s="209">
        <f>-2.698-SUM(AF123:AH123)</f>
        <v>0.81499999999999995</v>
      </c>
      <c r="AJ123" s="735">
        <f t="shared" si="146"/>
        <v>-2.698</v>
      </c>
      <c r="AK123" s="209">
        <v>-1.75</v>
      </c>
      <c r="AL123" s="209">
        <f>-1.789-AK123</f>
        <v>-3.8999999999999924E-2</v>
      </c>
      <c r="AM123" s="209">
        <f>-0.83-SUM(AK123:AL123)</f>
        <v>0.95899999999999996</v>
      </c>
      <c r="AN123" s="209">
        <f>-5.569-SUM(AK123:AM123)</f>
        <v>-4.7389999999999999</v>
      </c>
      <c r="AO123" s="735">
        <f t="shared" si="147"/>
        <v>-5.569</v>
      </c>
      <c r="AP123" s="209">
        <v>-2.0499999999999998</v>
      </c>
      <c r="AQ123" s="209">
        <f>-4.937-AP123</f>
        <v>-2.8870000000000005</v>
      </c>
      <c r="AR123" s="208">
        <f>-3.956-SUM(AP123:AQ123)</f>
        <v>0.98100000000000032</v>
      </c>
      <c r="AS123" s="208">
        <f>-4.568-SUM(AP123:AR123)</f>
        <v>-0.61199999999999966</v>
      </c>
      <c r="AT123" s="735">
        <f t="shared" si="148"/>
        <v>-4.5679999999999996</v>
      </c>
      <c r="AU123" s="208">
        <v>-3.3319999999999999</v>
      </c>
      <c r="AV123" s="208">
        <f>-8.883-AU123</f>
        <v>-5.5509999999999993</v>
      </c>
      <c r="AW123" s="208">
        <f>-10.502-SUM(AU123:AV123)</f>
        <v>-1.6190000000000015</v>
      </c>
      <c r="AX123" s="208">
        <f>-5.294-SUM(AU123:AW123)</f>
        <v>5.2080000000000011</v>
      </c>
      <c r="AY123" s="735">
        <f t="shared" si="149"/>
        <v>-5.2939999999999996</v>
      </c>
      <c r="AZ123" s="208">
        <v>-2.6419999999999999</v>
      </c>
      <c r="BA123" s="208">
        <f>-0.842-AZ123</f>
        <v>1.7999999999999998</v>
      </c>
      <c r="BB123" s="208">
        <f>-4.327-SUM(AZ123:BA123)</f>
        <v>-3.4849999999999999</v>
      </c>
      <c r="BC123" s="208">
        <f>-6.293-SUM(AZ123:BB123)</f>
        <v>-1.9660000000000002</v>
      </c>
      <c r="BD123" s="735">
        <f t="shared" si="150"/>
        <v>-6.2930000000000001</v>
      </c>
      <c r="BE123" s="208">
        <v>-0.83099999999999996</v>
      </c>
      <c r="BF123" s="208">
        <f>9.136-SUM(BE123)</f>
        <v>9.9669999999999987</v>
      </c>
      <c r="BG123" s="208">
        <f>11.205-BF123-BE123</f>
        <v>2.0690000000000013</v>
      </c>
      <c r="BH123" s="208">
        <f>21.528-BG123-BF123-BE123</f>
        <v>10.322999999999997</v>
      </c>
      <c r="BI123" s="735">
        <f t="shared" si="151"/>
        <v>21.527999999999999</v>
      </c>
      <c r="BJ123" s="208">
        <v>5.4139999999999997</v>
      </c>
      <c r="BK123" s="208">
        <f>-14.325-BJ123</f>
        <v>-19.738999999999997</v>
      </c>
      <c r="BL123" s="208">
        <v>18.149999999999999</v>
      </c>
      <c r="BM123" s="208">
        <f>1.58-BL123-BK123-BJ123</f>
        <v>-2.2450000000000028</v>
      </c>
      <c r="BN123" s="735">
        <f t="shared" si="152"/>
        <v>1.5799999999999983</v>
      </c>
      <c r="BO123" s="208">
        <v>2.6850000000000001</v>
      </c>
      <c r="BP123" s="208">
        <f>-6.335-BO123</f>
        <v>-9.02</v>
      </c>
      <c r="BQ123" s="208">
        <f>3.798-BP123-BO123</f>
        <v>10.132999999999999</v>
      </c>
      <c r="BR123" s="208">
        <f>8.528-BQ123-BP123-BO123</f>
        <v>4.7300000000000004</v>
      </c>
      <c r="BS123" s="735">
        <f t="shared" si="153"/>
        <v>8.5280000000000005</v>
      </c>
      <c r="BT123" s="208">
        <v>-3.964</v>
      </c>
      <c r="BU123" s="208">
        <f>2.255-BT123</f>
        <v>6.2189999999999994</v>
      </c>
      <c r="BV123" s="208">
        <f>0.035-BU123-BT123</f>
        <v>-2.2199999999999993</v>
      </c>
      <c r="BW123" s="208">
        <f>-14.803-BV123-BU123-BT123</f>
        <v>-14.837999999999999</v>
      </c>
      <c r="BX123" s="735">
        <f t="shared" si="154"/>
        <v>-14.802999999999999</v>
      </c>
      <c r="BY123" s="208">
        <v>-48.1</v>
      </c>
      <c r="BZ123" s="208">
        <f>-3.912-BY123</f>
        <v>44.188000000000002</v>
      </c>
      <c r="CA123" s="208">
        <f>-16.786-BZ123-BY123</f>
        <v>-12.874000000000002</v>
      </c>
      <c r="CB123" s="208">
        <f>-20.29-CA123-BZ123-BY123</f>
        <v>-3.5039999999999978</v>
      </c>
      <c r="CC123" s="735">
        <f t="shared" si="155"/>
        <v>-20.29</v>
      </c>
      <c r="CD123" s="208">
        <v>7.367</v>
      </c>
      <c r="CE123" s="208">
        <f>-4.956-CD123</f>
        <v>-12.323</v>
      </c>
      <c r="CF123" s="208">
        <f>-4.687-CE123-CD123</f>
        <v>0.26900000000000013</v>
      </c>
      <c r="CG123" s="208">
        <f>6.729-CF123-CE123-CD123</f>
        <v>11.416</v>
      </c>
      <c r="CH123" s="735">
        <f t="shared" si="156"/>
        <v>6.7290000000000001</v>
      </c>
      <c r="CI123" s="208">
        <v>-0.78200000000000003</v>
      </c>
      <c r="CJ123" s="208">
        <f>2.51-CI123</f>
        <v>3.2919999999999998</v>
      </c>
      <c r="CK123" s="208">
        <f>5.024-CJ123-CI123</f>
        <v>2.5140000000000002</v>
      </c>
      <c r="CL123" s="208">
        <f>4.427-CK123-CJ123-CI123</f>
        <v>-0.59700000000000042</v>
      </c>
      <c r="CM123" s="735">
        <f t="shared" si="157"/>
        <v>4.4269999999999996</v>
      </c>
      <c r="CN123" s="208">
        <v>-17</v>
      </c>
      <c r="CO123" s="208">
        <f>-13-CN123</f>
        <v>4</v>
      </c>
      <c r="CP123" s="208">
        <f>-25-CO123-CN123</f>
        <v>-12</v>
      </c>
      <c r="CQ123" s="736">
        <f>-16-CP123-CO123-CN123</f>
        <v>9</v>
      </c>
      <c r="CR123" s="735">
        <f t="shared" si="158"/>
        <v>-16</v>
      </c>
      <c r="CS123" s="208">
        <v>-18</v>
      </c>
      <c r="CT123" s="208">
        <f>-17-CS123</f>
        <v>1</v>
      </c>
      <c r="CU123" s="208">
        <f>-28-CT123-CS123</f>
        <v>-11</v>
      </c>
      <c r="CV123" s="208">
        <f>-18-CU123-CT123-CS123</f>
        <v>10</v>
      </c>
      <c r="CW123" s="735">
        <f t="shared" si="159"/>
        <v>-18</v>
      </c>
      <c r="CX123" s="208">
        <v>-2</v>
      </c>
      <c r="CY123" s="208">
        <f>-15-CX123</f>
        <v>-13</v>
      </c>
      <c r="CZ123" s="208">
        <f>-26-CY123-CX123</f>
        <v>-11</v>
      </c>
      <c r="DA123" s="208">
        <f>21-CZ123-CY123-CX123</f>
        <v>47</v>
      </c>
      <c r="DB123" s="735">
        <f t="shared" si="160"/>
        <v>21</v>
      </c>
      <c r="DC123" s="208">
        <v>-38</v>
      </c>
      <c r="DD123" s="208">
        <f>-44-DC123</f>
        <v>-6</v>
      </c>
      <c r="DE123" s="208">
        <f>-68-DD123-DC123</f>
        <v>-24</v>
      </c>
      <c r="DF123" s="208">
        <f>-55-DE123-DD123-DC123</f>
        <v>13</v>
      </c>
      <c r="DG123" s="735">
        <f t="shared" si="161"/>
        <v>-55</v>
      </c>
      <c r="DH123" s="208">
        <v>5</v>
      </c>
      <c r="DI123" s="208">
        <f>36-DH123</f>
        <v>31</v>
      </c>
      <c r="DJ123" s="208">
        <f>55-DI123-DH123</f>
        <v>19</v>
      </c>
      <c r="DK123" s="208">
        <v>22</v>
      </c>
      <c r="DL123" s="735">
        <f t="shared" si="162"/>
        <v>77</v>
      </c>
      <c r="DM123" s="208">
        <v>-8</v>
      </c>
      <c r="DN123" s="208">
        <v>42</v>
      </c>
      <c r="DO123" s="208">
        <v>-443</v>
      </c>
      <c r="DP123" s="208">
        <f>15+88</f>
        <v>103</v>
      </c>
      <c r="DQ123" s="735">
        <f t="shared" si="163"/>
        <v>-306</v>
      </c>
      <c r="DR123" s="208">
        <v>2</v>
      </c>
      <c r="DS123" s="208">
        <v>16</v>
      </c>
      <c r="DT123" s="208">
        <v>-1575</v>
      </c>
      <c r="DU123" s="208">
        <f>-158-61</f>
        <v>-219</v>
      </c>
      <c r="DV123" s="735">
        <f t="shared" si="164"/>
        <v>-1776</v>
      </c>
      <c r="DW123" s="208">
        <v>-1261</v>
      </c>
      <c r="DX123" s="208">
        <v>-293</v>
      </c>
      <c r="DY123" s="208">
        <v>247</v>
      </c>
      <c r="DZ123" s="208">
        <v>-210</v>
      </c>
      <c r="EA123" s="735">
        <f t="shared" si="165"/>
        <v>-1517</v>
      </c>
      <c r="EB123" s="208">
        <v>-215</v>
      </c>
      <c r="EC123" s="208">
        <v>-376</v>
      </c>
      <c r="ED123" s="208">
        <v>254</v>
      </c>
      <c r="EE123" s="208">
        <v>-1184</v>
      </c>
      <c r="EF123" s="735">
        <f t="shared" si="166"/>
        <v>-1521</v>
      </c>
      <c r="EG123" s="208">
        <v>-726</v>
      </c>
      <c r="EH123" s="208">
        <v>714</v>
      </c>
      <c r="EI123" s="208">
        <v>-714</v>
      </c>
      <c r="EJ123" s="208">
        <v>331</v>
      </c>
      <c r="EK123" s="735">
        <f t="shared" si="167"/>
        <v>-395</v>
      </c>
      <c r="EL123" s="208">
        <v>560</v>
      </c>
      <c r="EM123" s="208">
        <v>387</v>
      </c>
      <c r="EN123" s="208">
        <v>-89</v>
      </c>
      <c r="EO123" s="208">
        <v>-281</v>
      </c>
      <c r="EP123" s="735">
        <f t="shared" si="168"/>
        <v>577</v>
      </c>
      <c r="EQ123" s="208">
        <v>-983</v>
      </c>
      <c r="ER123" s="736">
        <v>0</v>
      </c>
      <c r="ES123" s="736">
        <v>0</v>
      </c>
      <c r="ET123" s="736">
        <v>0</v>
      </c>
      <c r="EU123" s="735">
        <f t="shared" si="169"/>
        <v>-983</v>
      </c>
      <c r="EV123" s="736">
        <v>0</v>
      </c>
      <c r="EW123" s="736">
        <v>0</v>
      </c>
      <c r="EX123" s="736">
        <v>0</v>
      </c>
      <c r="EY123" s="736">
        <v>0</v>
      </c>
      <c r="EZ123" s="735">
        <f t="shared" si="170"/>
        <v>0</v>
      </c>
      <c r="FA123" s="736">
        <v>0</v>
      </c>
      <c r="FB123" s="736">
        <v>0</v>
      </c>
      <c r="FC123" s="736">
        <v>0</v>
      </c>
      <c r="FD123" s="736">
        <v>0</v>
      </c>
      <c r="FE123" s="735">
        <f t="shared" si="171"/>
        <v>0</v>
      </c>
      <c r="FF123" s="736">
        <v>0</v>
      </c>
      <c r="FG123" s="736">
        <v>0</v>
      </c>
      <c r="FH123" s="736">
        <v>0</v>
      </c>
      <c r="FI123" s="736">
        <v>0</v>
      </c>
      <c r="FJ123" s="735">
        <f t="shared" si="172"/>
        <v>0</v>
      </c>
      <c r="FK123" s="736">
        <v>0</v>
      </c>
      <c r="FL123" s="736">
        <v>0</v>
      </c>
      <c r="FM123" s="736">
        <v>0</v>
      </c>
      <c r="FN123" s="736">
        <v>0</v>
      </c>
      <c r="FO123" s="735">
        <f t="shared" si="173"/>
        <v>0</v>
      </c>
      <c r="FP123" s="735"/>
      <c r="FQ123" s="152"/>
    </row>
    <row r="124" spans="1:173">
      <c r="A124" s="203" t="s">
        <v>437</v>
      </c>
      <c r="B124" s="734"/>
      <c r="C124" s="734"/>
      <c r="D124" s="734"/>
      <c r="E124" s="734"/>
      <c r="F124" s="734"/>
      <c r="G124" s="734"/>
      <c r="H124" s="734"/>
      <c r="I124" s="734"/>
      <c r="J124" s="734"/>
      <c r="K124" s="706"/>
      <c r="L124" s="209">
        <v>-0.02</v>
      </c>
      <c r="M124" s="209">
        <f>-2.968-L124</f>
        <v>-2.948</v>
      </c>
      <c r="N124" s="209">
        <f>-2.797-M124-L124</f>
        <v>0.17099999999999979</v>
      </c>
      <c r="O124" s="209">
        <f>-3.008-N124-M124-L124</f>
        <v>-0.21099999999999988</v>
      </c>
      <c r="P124" s="735">
        <f t="shared" si="142"/>
        <v>-3.008</v>
      </c>
      <c r="Q124" s="209">
        <v>-1.087</v>
      </c>
      <c r="R124" s="209">
        <f>-2.471-Q124</f>
        <v>-1.3840000000000001</v>
      </c>
      <c r="S124" s="209">
        <f>-8.496-R124-Q124</f>
        <v>-6.0250000000000004</v>
      </c>
      <c r="T124" s="209">
        <f>1.344-S124-R124-Q124</f>
        <v>9.84</v>
      </c>
      <c r="U124" s="735">
        <f t="shared" si="143"/>
        <v>1.3439999999999994</v>
      </c>
      <c r="V124" s="209">
        <v>8.1000000000000003E-2</v>
      </c>
      <c r="W124" s="209">
        <f>-2.59-V124</f>
        <v>-2.6709999999999998</v>
      </c>
      <c r="X124" s="209">
        <f>-11.362-W124-V124</f>
        <v>-8.7720000000000002</v>
      </c>
      <c r="Y124" s="209">
        <f>-13.957-X124-W124-V124</f>
        <v>-2.5950000000000006</v>
      </c>
      <c r="Z124" s="735">
        <f t="shared" si="144"/>
        <v>-13.957000000000001</v>
      </c>
      <c r="AA124" s="209">
        <v>1.077</v>
      </c>
      <c r="AB124" s="209">
        <f>0.629-AA124</f>
        <v>-0.44799999999999995</v>
      </c>
      <c r="AC124" s="209">
        <f>0.455-AB124-AA124</f>
        <v>-0.17399999999999993</v>
      </c>
      <c r="AD124" s="209">
        <v>-0.39200000000000013</v>
      </c>
      <c r="AE124" s="735">
        <f t="shared" si="145"/>
        <v>6.2999999999999945E-2</v>
      </c>
      <c r="AF124" s="209">
        <v>-2.0299999999999998</v>
      </c>
      <c r="AG124" s="209">
        <f>-2.922-AF124</f>
        <v>-0.89200000000000035</v>
      </c>
      <c r="AH124" s="209">
        <f>-2.484-AG124-AF124</f>
        <v>0.43800000000000017</v>
      </c>
      <c r="AI124" s="209">
        <f>-3.482-SUM(AF124:AH124)</f>
        <v>-0.99800000000000022</v>
      </c>
      <c r="AJ124" s="735">
        <f t="shared" si="146"/>
        <v>-3.4820000000000002</v>
      </c>
      <c r="AK124" s="209">
        <v>0.47599999999999998</v>
      </c>
      <c r="AL124" s="209">
        <f>-0.546-AK124</f>
        <v>-1.022</v>
      </c>
      <c r="AM124" s="209">
        <f>-0.556-SUM(AK124:AL124)</f>
        <v>-1.0000000000000009E-2</v>
      </c>
      <c r="AN124" s="209">
        <f>-1.458-SUM(AK124:AM124)</f>
        <v>-0.90199999999999991</v>
      </c>
      <c r="AO124" s="735">
        <f t="shared" si="147"/>
        <v>-1.458</v>
      </c>
      <c r="AP124" s="209">
        <v>-1.6439999999999999</v>
      </c>
      <c r="AQ124" s="209">
        <f>-6.943-AP124</f>
        <v>-5.2989999999999995</v>
      </c>
      <c r="AR124" s="208">
        <f>-5.995-SUM(AP124:AQ124)</f>
        <v>0.94799999999999951</v>
      </c>
      <c r="AS124" s="208">
        <f>-8.073-SUM(AP124:AR124)</f>
        <v>-2.0780000000000003</v>
      </c>
      <c r="AT124" s="735">
        <f t="shared" si="148"/>
        <v>-8.0730000000000004</v>
      </c>
      <c r="AU124" s="208">
        <v>-3.4060000000000001</v>
      </c>
      <c r="AV124" s="208">
        <f>-4.399-AU124</f>
        <v>-0.99299999999999988</v>
      </c>
      <c r="AW124" s="208">
        <f>-13.67-SUM(AU124:AV124)</f>
        <v>-9.2710000000000008</v>
      </c>
      <c r="AX124" s="208">
        <f>7.314-SUM(AU124:AW124)</f>
        <v>20.984000000000002</v>
      </c>
      <c r="AY124" s="735">
        <f t="shared" si="149"/>
        <v>7.3140000000000001</v>
      </c>
      <c r="AZ124" s="208">
        <v>2.2749999999999999</v>
      </c>
      <c r="BA124" s="208">
        <f>2.437-AZ124</f>
        <v>0.16199999999999992</v>
      </c>
      <c r="BB124" s="208">
        <f>3.193-SUM(AZ124:BA124)</f>
        <v>0.75600000000000023</v>
      </c>
      <c r="BC124" s="208">
        <f>-13.914-SUM(AZ124:BB124)</f>
        <v>-17.106999999999999</v>
      </c>
      <c r="BD124" s="735">
        <f t="shared" si="150"/>
        <v>-13.914</v>
      </c>
      <c r="BE124" s="208">
        <f>-2.258-4.98</f>
        <v>-7.2380000000000004</v>
      </c>
      <c r="BF124" s="208">
        <f>-0.491-SUM(BE124)</f>
        <v>6.7470000000000008</v>
      </c>
      <c r="BG124" s="208">
        <f>-2.03-BF124-BE124</f>
        <v>-1.5390000000000006</v>
      </c>
      <c r="BH124" s="208">
        <f>-2.108-BG124-BF124-BE124</f>
        <v>-7.8000000000000291E-2</v>
      </c>
      <c r="BI124" s="735">
        <f t="shared" si="151"/>
        <v>-2.1080000000000005</v>
      </c>
      <c r="BJ124" s="208">
        <v>-4.9690000000000003</v>
      </c>
      <c r="BK124" s="208">
        <f>-2.824-BJ124</f>
        <v>2.1450000000000005</v>
      </c>
      <c r="BL124" s="208">
        <v>0</v>
      </c>
      <c r="BM124" s="208">
        <f>3.857-BL124-BK124-BJ124</f>
        <v>6.681</v>
      </c>
      <c r="BN124" s="735">
        <f t="shared" si="152"/>
        <v>3.8570000000000002</v>
      </c>
      <c r="BO124" s="208">
        <v>1.0609999999999999</v>
      </c>
      <c r="BP124" s="208">
        <f>0.086-BO124</f>
        <v>-0.97499999999999998</v>
      </c>
      <c r="BQ124" s="208">
        <f>4.864-BP124-BO124</f>
        <v>4.7779999999999996</v>
      </c>
      <c r="BR124" s="208">
        <f>4.331-BQ124-BP124-BO124</f>
        <v>-0.53299999999999914</v>
      </c>
      <c r="BS124" s="735">
        <f t="shared" si="153"/>
        <v>4.3310000000000004</v>
      </c>
      <c r="BT124" s="208">
        <v>3.226</v>
      </c>
      <c r="BU124" s="208">
        <f>-0.992-BT124</f>
        <v>-4.218</v>
      </c>
      <c r="BV124" s="208">
        <f>-2.992-BU124-BT124</f>
        <v>-2</v>
      </c>
      <c r="BW124" s="208">
        <f>-70.694-BV124-BU124-BT124</f>
        <v>-67.701999999999998</v>
      </c>
      <c r="BX124" s="735">
        <f t="shared" si="154"/>
        <v>-70.694000000000003</v>
      </c>
      <c r="BY124" s="208">
        <v>-1.8819999999999999</v>
      </c>
      <c r="BZ124" s="208">
        <f>0.494-BY124</f>
        <v>2.3759999999999999</v>
      </c>
      <c r="CA124" s="208">
        <f>4.784-BZ124-BY124</f>
        <v>4.29</v>
      </c>
      <c r="CB124" s="208">
        <f>8.567-CA124-BZ124-BY124</f>
        <v>3.7830000000000004</v>
      </c>
      <c r="CC124" s="735">
        <f t="shared" si="155"/>
        <v>8.5670000000000002</v>
      </c>
      <c r="CD124" s="208">
        <v>1.806</v>
      </c>
      <c r="CE124" s="208">
        <f>4.445-CD124</f>
        <v>2.6390000000000002</v>
      </c>
      <c r="CF124" s="208">
        <f>7.585-CE124-CD124</f>
        <v>3.1399999999999997</v>
      </c>
      <c r="CG124" s="208">
        <f>4.823-CF124-CE124-CD124</f>
        <v>-2.7619999999999996</v>
      </c>
      <c r="CH124" s="735">
        <f t="shared" si="156"/>
        <v>4.8230000000000004</v>
      </c>
      <c r="CI124" s="208">
        <v>0.22900000000000001</v>
      </c>
      <c r="CJ124" s="208">
        <f>1.028-CI124</f>
        <v>0.79900000000000004</v>
      </c>
      <c r="CK124" s="208">
        <f>-161.874-CJ124-CI124</f>
        <v>-162.90200000000002</v>
      </c>
      <c r="CL124" s="208">
        <f>0-CK124-CJ124-CI124</f>
        <v>161.874</v>
      </c>
      <c r="CM124" s="735">
        <f t="shared" si="157"/>
        <v>0</v>
      </c>
      <c r="CN124" s="208">
        <v>-57</v>
      </c>
      <c r="CO124" s="208">
        <f>-95-CN124</f>
        <v>-38</v>
      </c>
      <c r="CP124" s="208">
        <f>-145-CO124-CN124</f>
        <v>-50</v>
      </c>
      <c r="CQ124" s="736">
        <f>-97-CP124-CO124-CN124</f>
        <v>48</v>
      </c>
      <c r="CR124" s="735">
        <f t="shared" si="158"/>
        <v>-97</v>
      </c>
      <c r="CS124" s="208">
        <v>-31</v>
      </c>
      <c r="CT124" s="208">
        <f>-12-CS124</f>
        <v>19</v>
      </c>
      <c r="CU124" s="208">
        <f>-29-CT124-CS124</f>
        <v>-17</v>
      </c>
      <c r="CV124" s="208">
        <f>-14-CU124-CT124-CS124</f>
        <v>15</v>
      </c>
      <c r="CW124" s="735">
        <f t="shared" si="159"/>
        <v>-14</v>
      </c>
      <c r="CX124" s="208">
        <v>8</v>
      </c>
      <c r="CY124" s="208">
        <f>0-CX124</f>
        <v>-8</v>
      </c>
      <c r="CZ124" s="208">
        <f>0-CY124-CX124</f>
        <v>0</v>
      </c>
      <c r="DA124" s="208">
        <f>481-CZ124-CY124-CX124</f>
        <v>481</v>
      </c>
      <c r="DB124" s="735">
        <f t="shared" si="160"/>
        <v>481</v>
      </c>
      <c r="DC124" s="208">
        <v>0</v>
      </c>
      <c r="DD124" s="208">
        <v>0</v>
      </c>
      <c r="DE124" s="208">
        <v>0</v>
      </c>
      <c r="DF124" s="208">
        <v>0</v>
      </c>
      <c r="DG124" s="735">
        <f t="shared" si="161"/>
        <v>0</v>
      </c>
      <c r="DH124" s="208">
        <v>0</v>
      </c>
      <c r="DI124" s="208">
        <v>0</v>
      </c>
      <c r="DJ124" s="208">
        <v>0</v>
      </c>
      <c r="DK124" s="208">
        <v>0</v>
      </c>
      <c r="DL124" s="735">
        <f t="shared" si="162"/>
        <v>0</v>
      </c>
      <c r="DM124" s="208">
        <v>10</v>
      </c>
      <c r="DN124" s="208">
        <v>10</v>
      </c>
      <c r="DO124" s="208">
        <v>0</v>
      </c>
      <c r="DP124" s="208">
        <v>0</v>
      </c>
      <c r="DQ124" s="735">
        <f t="shared" si="163"/>
        <v>20</v>
      </c>
      <c r="DR124" s="208">
        <v>47</v>
      </c>
      <c r="DS124" s="208">
        <f>51</f>
        <v>51</v>
      </c>
      <c r="DT124" s="208">
        <v>0</v>
      </c>
      <c r="DU124" s="208">
        <v>0</v>
      </c>
      <c r="DV124" s="735">
        <f t="shared" si="164"/>
        <v>98</v>
      </c>
      <c r="DW124" s="208">
        <v>70</v>
      </c>
      <c r="DX124" s="208">
        <v>-10</v>
      </c>
      <c r="DY124" s="208">
        <v>0</v>
      </c>
      <c r="DZ124" s="208">
        <v>0</v>
      </c>
      <c r="EA124" s="735">
        <f t="shared" si="165"/>
        <v>60</v>
      </c>
      <c r="EB124" s="208">
        <v>0</v>
      </c>
      <c r="EC124" s="208">
        <v>0</v>
      </c>
      <c r="ED124" s="208">
        <v>0</v>
      </c>
      <c r="EE124" s="208">
        <v>0</v>
      </c>
      <c r="EF124" s="735">
        <f t="shared" si="166"/>
        <v>0</v>
      </c>
      <c r="EG124" s="208">
        <v>0</v>
      </c>
      <c r="EH124" s="208">
        <v>0</v>
      </c>
      <c r="EI124" s="208">
        <v>0</v>
      </c>
      <c r="EJ124" s="208">
        <v>0</v>
      </c>
      <c r="EK124" s="735">
        <f t="shared" si="167"/>
        <v>0</v>
      </c>
      <c r="EL124" s="208">
        <v>0</v>
      </c>
      <c r="EM124" s="208">
        <v>0</v>
      </c>
      <c r="EN124" s="208">
        <v>0</v>
      </c>
      <c r="EO124" s="208">
        <v>0</v>
      </c>
      <c r="EP124" s="735">
        <f t="shared" si="168"/>
        <v>0</v>
      </c>
      <c r="EQ124" s="208">
        <v>0</v>
      </c>
      <c r="ER124" s="736">
        <v>0</v>
      </c>
      <c r="ES124" s="736">
        <v>0</v>
      </c>
      <c r="ET124" s="736">
        <v>0</v>
      </c>
      <c r="EU124" s="735">
        <f t="shared" si="169"/>
        <v>0</v>
      </c>
      <c r="EV124" s="736">
        <v>0</v>
      </c>
      <c r="EW124" s="736">
        <v>0</v>
      </c>
      <c r="EX124" s="736">
        <v>0</v>
      </c>
      <c r="EY124" s="736">
        <v>0</v>
      </c>
      <c r="EZ124" s="735">
        <f t="shared" si="170"/>
        <v>0</v>
      </c>
      <c r="FA124" s="736">
        <v>0</v>
      </c>
      <c r="FB124" s="736">
        <v>0</v>
      </c>
      <c r="FC124" s="736">
        <v>0</v>
      </c>
      <c r="FD124" s="736">
        <v>0</v>
      </c>
      <c r="FE124" s="735">
        <f t="shared" si="171"/>
        <v>0</v>
      </c>
      <c r="FF124" s="736">
        <v>0</v>
      </c>
      <c r="FG124" s="736">
        <v>0</v>
      </c>
      <c r="FH124" s="736">
        <v>0</v>
      </c>
      <c r="FI124" s="736">
        <v>0</v>
      </c>
      <c r="FJ124" s="735">
        <f t="shared" si="172"/>
        <v>0</v>
      </c>
      <c r="FK124" s="736">
        <v>0</v>
      </c>
      <c r="FL124" s="736">
        <v>0</v>
      </c>
      <c r="FM124" s="736">
        <v>0</v>
      </c>
      <c r="FN124" s="736">
        <v>0</v>
      </c>
      <c r="FO124" s="735">
        <f t="shared" si="173"/>
        <v>0</v>
      </c>
      <c r="FP124" s="735"/>
      <c r="FQ124" s="152"/>
    </row>
    <row r="125" spans="1:173" ht="12.75" customHeight="1">
      <c r="A125" s="203" t="s">
        <v>467</v>
      </c>
      <c r="B125" s="734"/>
      <c r="C125" s="734"/>
      <c r="D125" s="734"/>
      <c r="E125" s="734"/>
      <c r="F125" s="734"/>
      <c r="G125" s="734"/>
      <c r="H125" s="734"/>
      <c r="I125" s="734"/>
      <c r="J125" s="734"/>
      <c r="K125" s="706"/>
      <c r="L125" s="209">
        <v>-8.2210000000000001</v>
      </c>
      <c r="M125" s="209">
        <f>-0.951-L125</f>
        <v>7.2700000000000005</v>
      </c>
      <c r="N125" s="209">
        <f>7.297-M125-L125</f>
        <v>8.2479999999999993</v>
      </c>
      <c r="O125" s="209">
        <f>24.18-N125-M125-L125</f>
        <v>16.882999999999999</v>
      </c>
      <c r="P125" s="735">
        <f t="shared" si="142"/>
        <v>24.18</v>
      </c>
      <c r="Q125" s="209">
        <v>3.367</v>
      </c>
      <c r="R125" s="209">
        <f>10.477-Q125</f>
        <v>7.11</v>
      </c>
      <c r="S125" s="209">
        <f>21.306-R125-Q125</f>
        <v>10.829000000000001</v>
      </c>
      <c r="T125" s="209">
        <f>11.125-S125-R125-Q125</f>
        <v>-10.181000000000001</v>
      </c>
      <c r="U125" s="735">
        <f t="shared" si="143"/>
        <v>11.125</v>
      </c>
      <c r="V125" s="209">
        <v>-0.69199999999999995</v>
      </c>
      <c r="W125" s="209">
        <f>15.997-V125</f>
        <v>16.689</v>
      </c>
      <c r="X125" s="209">
        <f>36.213-W125-V125</f>
        <v>20.216000000000001</v>
      </c>
      <c r="Y125" s="209">
        <f>141.717-X125-W125-V125</f>
        <v>105.504</v>
      </c>
      <c r="Z125" s="735">
        <f t="shared" si="144"/>
        <v>141.71700000000001</v>
      </c>
      <c r="AA125" s="209">
        <v>-23.658999999999999</v>
      </c>
      <c r="AB125" s="209">
        <f>-48.624-AA125</f>
        <v>-24.965000000000003</v>
      </c>
      <c r="AC125" s="209">
        <f>-43.43-AB125-AA125</f>
        <v>5.1940000000000026</v>
      </c>
      <c r="AD125" s="209">
        <v>-29.46</v>
      </c>
      <c r="AE125" s="735">
        <f t="shared" si="145"/>
        <v>-72.89</v>
      </c>
      <c r="AF125" s="209">
        <v>93.308000000000007</v>
      </c>
      <c r="AG125" s="209">
        <f>141.038-AF125</f>
        <v>47.730000000000004</v>
      </c>
      <c r="AH125" s="209">
        <f>100.474-AG125-AF125</f>
        <v>-40.564000000000007</v>
      </c>
      <c r="AI125" s="209">
        <f>43.506-SUM(AF125:AH125)</f>
        <v>-56.968000000000004</v>
      </c>
      <c r="AJ125" s="735">
        <f t="shared" si="146"/>
        <v>43.506</v>
      </c>
      <c r="AK125" s="209">
        <v>29.276</v>
      </c>
      <c r="AL125" s="209">
        <f>37.859-AK125</f>
        <v>8.583000000000002</v>
      </c>
      <c r="AM125" s="209">
        <f>77.678-SUM(AK125:AL125)</f>
        <v>39.818999999999996</v>
      </c>
      <c r="AN125" s="209">
        <f>52.941-SUM(AK125:AM125)</f>
        <v>-24.736999999999995</v>
      </c>
      <c r="AO125" s="735">
        <f t="shared" si="147"/>
        <v>52.941000000000003</v>
      </c>
      <c r="AP125" s="209">
        <v>-56.076999999999998</v>
      </c>
      <c r="AQ125" s="209">
        <f>-17.176-AP125</f>
        <v>38.900999999999996</v>
      </c>
      <c r="AR125" s="208">
        <f>-62.494-SUM(AP125:AQ125)</f>
        <v>-45.317999999999998</v>
      </c>
      <c r="AS125" s="208">
        <f>-58.828-SUM(AP125:AR125)</f>
        <v>3.6659999999999968</v>
      </c>
      <c r="AT125" s="735">
        <f t="shared" si="148"/>
        <v>-58.828000000000003</v>
      </c>
      <c r="AU125" s="208">
        <v>107.729</v>
      </c>
      <c r="AV125" s="208">
        <f>32.508-AU125</f>
        <v>-75.221000000000004</v>
      </c>
      <c r="AW125" s="208">
        <f>82.573-SUM(AU125:AV125)</f>
        <v>50.064999999999998</v>
      </c>
      <c r="AX125" s="208">
        <f>38.613-SUM(AU125:AW125)</f>
        <v>-43.959999999999994</v>
      </c>
      <c r="AY125" s="735">
        <f t="shared" si="149"/>
        <v>38.613</v>
      </c>
      <c r="AZ125" s="208">
        <v>61.344000000000001</v>
      </c>
      <c r="BA125" s="208">
        <f>50.685-AZ125</f>
        <v>-10.658999999999999</v>
      </c>
      <c r="BB125" s="208">
        <f>175.096-SUM(AZ125:BA125)</f>
        <v>124.411</v>
      </c>
      <c r="BC125" s="208">
        <f>216.875-SUM(AZ125:BB125)</f>
        <v>41.778999999999996</v>
      </c>
      <c r="BD125" s="735">
        <f t="shared" si="150"/>
        <v>216.875</v>
      </c>
      <c r="BE125" s="208">
        <v>-68.608000000000004</v>
      </c>
      <c r="BF125" s="208">
        <f>-87.73-SUM(BE125)</f>
        <v>-19.122</v>
      </c>
      <c r="BG125" s="208">
        <f>-114.292-BF125-BE125</f>
        <v>-26.561999999999998</v>
      </c>
      <c r="BH125" s="208">
        <f>-283.207-BG125-BF125-BE125</f>
        <v>-168.91499999999996</v>
      </c>
      <c r="BI125" s="735">
        <f t="shared" si="151"/>
        <v>-283.20699999999999</v>
      </c>
      <c r="BJ125" s="208">
        <f>BJ89-BH89</f>
        <v>7.25</v>
      </c>
      <c r="BK125" s="208">
        <f>56.486-BJ125</f>
        <v>49.235999999999997</v>
      </c>
      <c r="BL125" s="208">
        <f>BL89-BK89</f>
        <v>45.551999999999964</v>
      </c>
      <c r="BM125" s="208">
        <f>119.366-BL125-BK125-BJ125</f>
        <v>17.328000000000038</v>
      </c>
      <c r="BN125" s="735">
        <f t="shared" si="152"/>
        <v>119.36599999999999</v>
      </c>
      <c r="BO125" s="208">
        <v>16.821999999999999</v>
      </c>
      <c r="BP125" s="208">
        <f>-67.486-BO125</f>
        <v>-84.308000000000007</v>
      </c>
      <c r="BQ125" s="208">
        <f>-21.868-BP125-BO125</f>
        <v>45.618000000000009</v>
      </c>
      <c r="BR125" s="208">
        <f>-69.786-BQ125-BP125-BO125</f>
        <v>-47.918000000000006</v>
      </c>
      <c r="BS125" s="735">
        <f t="shared" si="153"/>
        <v>-69.786000000000001</v>
      </c>
      <c r="BT125" s="208">
        <v>53.74</v>
      </c>
      <c r="BU125" s="208">
        <f>-8.366-BT125</f>
        <v>-62.106000000000002</v>
      </c>
      <c r="BV125" s="208">
        <f>9.218-BU125-BT125</f>
        <v>17.583999999999996</v>
      </c>
      <c r="BW125" s="208">
        <f>35.708-BV125-BU125-BT125</f>
        <v>26.490000000000002</v>
      </c>
      <c r="BX125" s="735">
        <f t="shared" si="154"/>
        <v>35.707999999999998</v>
      </c>
      <c r="BY125" s="208">
        <v>33.515999999999998</v>
      </c>
      <c r="BZ125" s="208">
        <f>65.646-BY125</f>
        <v>32.130000000000003</v>
      </c>
      <c r="CA125" s="208">
        <f>49.099-BZ125-BY125</f>
        <v>-16.547000000000004</v>
      </c>
      <c r="CB125" s="208">
        <f>10.885-CA125-BZ125-BY125</f>
        <v>-38.213999999999999</v>
      </c>
      <c r="CC125" s="735">
        <f t="shared" si="155"/>
        <v>10.884999999999998</v>
      </c>
      <c r="CD125" s="208">
        <v>-53.100999999999999</v>
      </c>
      <c r="CE125" s="208">
        <f>-36.452-CD125</f>
        <v>16.649000000000001</v>
      </c>
      <c r="CF125" s="208">
        <f>CF89-CE89</f>
        <v>23.012</v>
      </c>
      <c r="CG125" s="208">
        <f>-20.382-CF125-CE125-CD125</f>
        <v>-6.9420000000000073</v>
      </c>
      <c r="CH125" s="735">
        <f t="shared" si="156"/>
        <v>-20.382000000000005</v>
      </c>
      <c r="CI125" s="208">
        <v>-14.88</v>
      </c>
      <c r="CJ125" s="208">
        <f>-63.648-CI125</f>
        <v>-48.768000000000001</v>
      </c>
      <c r="CK125" s="208">
        <f>9.827-CJ125-CI125</f>
        <v>73.474999999999994</v>
      </c>
      <c r="CL125" s="208">
        <f>-26.895-CK125-CJ125-CI125</f>
        <v>-36.721999999999987</v>
      </c>
      <c r="CM125" s="735">
        <f t="shared" si="157"/>
        <v>-26.894999999999996</v>
      </c>
      <c r="CN125" s="208">
        <v>-67</v>
      </c>
      <c r="CO125" s="208">
        <f>-13-CN125</f>
        <v>54</v>
      </c>
      <c r="CP125" s="208">
        <f>7-CO125-CN125</f>
        <v>20</v>
      </c>
      <c r="CQ125" s="208">
        <f>-11-CP125-CO125-CN125</f>
        <v>-18</v>
      </c>
      <c r="CR125" s="735">
        <f t="shared" si="158"/>
        <v>-11</v>
      </c>
      <c r="CS125" s="208">
        <v>32</v>
      </c>
      <c r="CT125" s="208">
        <f>131-CS125</f>
        <v>99</v>
      </c>
      <c r="CU125" s="208">
        <f>218-CT125-CS125</f>
        <v>87</v>
      </c>
      <c r="CV125" s="208">
        <f>184-CU125-CT125-CS125</f>
        <v>-34</v>
      </c>
      <c r="CW125" s="735">
        <f t="shared" si="159"/>
        <v>184</v>
      </c>
      <c r="CX125" s="208">
        <v>-133</v>
      </c>
      <c r="CY125" s="208">
        <f>-63-CX125</f>
        <v>70</v>
      </c>
      <c r="CZ125" s="208">
        <f>27-CY125-CX125</f>
        <v>90</v>
      </c>
      <c r="DA125" s="208">
        <f>90-CZ125-CY125-CX125</f>
        <v>63</v>
      </c>
      <c r="DB125" s="735">
        <f t="shared" si="160"/>
        <v>90</v>
      </c>
      <c r="DC125" s="208">
        <v>22</v>
      </c>
      <c r="DD125" s="208">
        <f>172-DC125</f>
        <v>150</v>
      </c>
      <c r="DE125" s="208">
        <f>224-DD125-DC125</f>
        <v>52</v>
      </c>
      <c r="DF125" s="208">
        <f>-135-DE125-DD125-DC125</f>
        <v>-359</v>
      </c>
      <c r="DG125" s="735">
        <f t="shared" si="161"/>
        <v>-135</v>
      </c>
      <c r="DH125" s="208">
        <v>-123</v>
      </c>
      <c r="DI125" s="208">
        <f>-45-DH125</f>
        <v>78</v>
      </c>
      <c r="DJ125" s="208">
        <f>91-DI125-DH125</f>
        <v>136</v>
      </c>
      <c r="DK125" s="208">
        <v>104</v>
      </c>
      <c r="DL125" s="735">
        <f t="shared" si="162"/>
        <v>195</v>
      </c>
      <c r="DM125" s="208">
        <v>71</v>
      </c>
      <c r="DN125" s="208">
        <v>-8</v>
      </c>
      <c r="DO125" s="208">
        <v>225</v>
      </c>
      <c r="DP125" s="208">
        <v>75</v>
      </c>
      <c r="DQ125" s="735">
        <f t="shared" si="163"/>
        <v>363</v>
      </c>
      <c r="DR125" s="208">
        <v>70</v>
      </c>
      <c r="DS125" s="208">
        <v>209</v>
      </c>
      <c r="DT125" s="208">
        <v>195</v>
      </c>
      <c r="DU125" s="208">
        <v>183</v>
      </c>
      <c r="DV125" s="735">
        <f t="shared" si="164"/>
        <v>657</v>
      </c>
      <c r="DW125" s="208">
        <v>255</v>
      </c>
      <c r="DX125" s="208">
        <v>304</v>
      </c>
      <c r="DY125" s="208">
        <v>-917</v>
      </c>
      <c r="DZ125" s="208">
        <v>-193</v>
      </c>
      <c r="EA125" s="735">
        <f t="shared" si="165"/>
        <v>-551</v>
      </c>
      <c r="EB125" s="208">
        <v>11</v>
      </c>
      <c r="EC125" s="208">
        <v>777</v>
      </c>
      <c r="ED125" s="208">
        <v>461</v>
      </c>
      <c r="EE125" s="208">
        <v>281</v>
      </c>
      <c r="EF125" s="735">
        <f t="shared" si="166"/>
        <v>1530</v>
      </c>
      <c r="EG125" s="208">
        <v>-22</v>
      </c>
      <c r="EH125" s="208">
        <v>823</v>
      </c>
      <c r="EI125" s="208">
        <v>1689</v>
      </c>
      <c r="EJ125" s="208">
        <v>867</v>
      </c>
      <c r="EK125" s="735">
        <f t="shared" si="167"/>
        <v>3357</v>
      </c>
      <c r="EL125" s="208">
        <v>941</v>
      </c>
      <c r="EM125" s="208">
        <v>1314</v>
      </c>
      <c r="EN125" s="208">
        <v>-223</v>
      </c>
      <c r="EO125" s="208">
        <v>1064</v>
      </c>
      <c r="EP125" s="735">
        <f t="shared" si="168"/>
        <v>3096</v>
      </c>
      <c r="EQ125" s="208">
        <v>2210</v>
      </c>
      <c r="ER125" s="208">
        <f>ER89-EQ89</f>
        <v>979.39241200123615</v>
      </c>
      <c r="ES125" s="208">
        <f>ES89-ER89</f>
        <v>1410.990071695629</v>
      </c>
      <c r="ET125" s="208">
        <f>ET89-ES89</f>
        <v>1050.1787850273849</v>
      </c>
      <c r="EU125" s="735">
        <f t="shared" si="169"/>
        <v>5650.5612687242501</v>
      </c>
      <c r="EV125" s="208">
        <f>EV89-ET89</f>
        <v>746.37535882876182</v>
      </c>
      <c r="EW125" s="208">
        <f>EW89-EV89</f>
        <v>857.42756614097743</v>
      </c>
      <c r="EX125" s="208">
        <f>EX89-EW89</f>
        <v>1084.5244992976695</v>
      </c>
      <c r="EY125" s="208">
        <f>EY89-EX89</f>
        <v>644.08385572500993</v>
      </c>
      <c r="EZ125" s="735">
        <f t="shared" si="170"/>
        <v>3332.4112799924187</v>
      </c>
      <c r="FA125" s="208">
        <f>FA89-EY89</f>
        <v>241.67807252057537</v>
      </c>
      <c r="FB125" s="208">
        <f>FB89-FA89</f>
        <v>320.59801650555892</v>
      </c>
      <c r="FC125" s="208">
        <f>FC89-FB89</f>
        <v>731.02925836000941</v>
      </c>
      <c r="FD125" s="208">
        <f>FD89-FC89</f>
        <v>536.27877544224611</v>
      </c>
      <c r="FE125" s="735">
        <f t="shared" si="171"/>
        <v>1829.5841228283898</v>
      </c>
      <c r="FF125" s="208">
        <f>FF89-FD89</f>
        <v>62.189535362031165</v>
      </c>
      <c r="FG125" s="208">
        <f>FG89-FF89</f>
        <v>135.26114500132098</v>
      </c>
      <c r="FH125" s="208">
        <f>FH89-FG89</f>
        <v>360.93233764476099</v>
      </c>
      <c r="FI125" s="208">
        <f>FI89-FH89</f>
        <v>245.29886260295098</v>
      </c>
      <c r="FJ125" s="735">
        <f t="shared" si="172"/>
        <v>803.68188061106412</v>
      </c>
      <c r="FK125" s="208">
        <f>FK89-FI89</f>
        <v>172.03701976863522</v>
      </c>
      <c r="FL125" s="208">
        <f>FL89-FK89</f>
        <v>358.31656391144497</v>
      </c>
      <c r="FM125" s="208">
        <f>FM89-FL89</f>
        <v>708.85644720936762</v>
      </c>
      <c r="FN125" s="208">
        <f>FN89-FM89</f>
        <v>487.58038092903371</v>
      </c>
      <c r="FO125" s="735">
        <f t="shared" si="173"/>
        <v>1726.7904118184815</v>
      </c>
      <c r="FP125" s="735"/>
      <c r="FQ125" s="152"/>
    </row>
    <row r="126" spans="1:173" ht="12.75" customHeight="1">
      <c r="A126" s="203" t="s">
        <v>445</v>
      </c>
      <c r="B126" s="734"/>
      <c r="C126" s="734"/>
      <c r="D126" s="734"/>
      <c r="E126" s="734"/>
      <c r="F126" s="734"/>
      <c r="G126" s="734"/>
      <c r="H126" s="734"/>
      <c r="I126" s="734"/>
      <c r="J126" s="734"/>
      <c r="K126" s="706"/>
      <c r="L126" s="209">
        <v>4.2770000000000001</v>
      </c>
      <c r="M126" s="209">
        <f>3.441+1-L126</f>
        <v>0.1639999999999997</v>
      </c>
      <c r="N126" s="209">
        <f>2.179+0.75-M126-L126</f>
        <v>-1.512</v>
      </c>
      <c r="O126" s="209">
        <f>4.517-N126-M126-L126</f>
        <v>1.5880000000000001</v>
      </c>
      <c r="P126" s="735">
        <f t="shared" si="142"/>
        <v>4.5169999999999995</v>
      </c>
      <c r="Q126" s="209">
        <v>4.7919999999999998</v>
      </c>
      <c r="R126" s="209">
        <f>13.901-Q126</f>
        <v>9.109</v>
      </c>
      <c r="S126" s="209">
        <f>24.299-R126-Q126</f>
        <v>10.398</v>
      </c>
      <c r="T126" s="209">
        <f>23.683-S126-R126-Q126</f>
        <v>-0.61599999999999966</v>
      </c>
      <c r="U126" s="735">
        <f t="shared" si="143"/>
        <v>23.683</v>
      </c>
      <c r="V126" s="209">
        <v>9.484</v>
      </c>
      <c r="W126" s="209">
        <f>32.661-V126</f>
        <v>23.177</v>
      </c>
      <c r="X126" s="209">
        <f>34.814-W126-V126</f>
        <v>2.1530000000000005</v>
      </c>
      <c r="Y126" s="209">
        <f>108.646-X126-W126-V126</f>
        <v>73.832000000000008</v>
      </c>
      <c r="Z126" s="735">
        <f t="shared" si="144"/>
        <v>108.64600000000002</v>
      </c>
      <c r="AA126" s="209">
        <v>37.286999999999999</v>
      </c>
      <c r="AB126" s="209">
        <f>43.306-AA126</f>
        <v>6.0189999999999984</v>
      </c>
      <c r="AC126" s="209">
        <f>35.763+21.926-AB126-AA126</f>
        <v>14.382999999999996</v>
      </c>
      <c r="AD126" s="209">
        <v>-31.125</v>
      </c>
      <c r="AE126" s="735">
        <f t="shared" si="145"/>
        <v>26.563999999999993</v>
      </c>
      <c r="AF126" s="209">
        <v>-3.0259999999999998</v>
      </c>
      <c r="AG126" s="209">
        <f>11.318-AF126</f>
        <v>14.343999999999999</v>
      </c>
      <c r="AH126" s="209">
        <f>8.698-AG126-AF126</f>
        <v>-2.6199999999999992</v>
      </c>
      <c r="AI126" s="209">
        <f>-44.746-SUM(AF126:AH126)</f>
        <v>-53.444000000000003</v>
      </c>
      <c r="AJ126" s="735">
        <f t="shared" si="146"/>
        <v>-44.746000000000002</v>
      </c>
      <c r="AK126" s="209">
        <v>-3.2869999999999999</v>
      </c>
      <c r="AL126" s="209">
        <f>15.153-AK126</f>
        <v>18.440000000000001</v>
      </c>
      <c r="AM126" s="209">
        <f>17.958-SUM(AK126:AL126)</f>
        <v>2.8049999999999962</v>
      </c>
      <c r="AN126" s="209">
        <f>50.567-SUM(AK126:AM126)</f>
        <v>32.609000000000002</v>
      </c>
      <c r="AO126" s="735">
        <f t="shared" si="147"/>
        <v>50.567</v>
      </c>
      <c r="AP126" s="209">
        <v>2.8759999999999999</v>
      </c>
      <c r="AQ126" s="209">
        <f>10.938-AP126</f>
        <v>8.0620000000000012</v>
      </c>
      <c r="AR126" s="208">
        <f>38.715-SUM(AP126:AQ126)</f>
        <v>27.777000000000001</v>
      </c>
      <c r="AS126" s="208">
        <f>52.291-SUM(AP126:AR126)</f>
        <v>13.575999999999993</v>
      </c>
      <c r="AT126" s="735">
        <f t="shared" si="148"/>
        <v>52.290999999999997</v>
      </c>
      <c r="AU126" s="208">
        <v>-32.390999999999998</v>
      </c>
      <c r="AV126" s="208">
        <f>5.913-AU126</f>
        <v>38.304000000000002</v>
      </c>
      <c r="AW126" s="208">
        <f>78.13-SUM(AU126:AV126)</f>
        <v>72.216999999999985</v>
      </c>
      <c r="AX126" s="208">
        <f>93.153-SUM(AU126:AW126)</f>
        <v>15.02300000000001</v>
      </c>
      <c r="AY126" s="735">
        <f t="shared" si="149"/>
        <v>93.153000000000006</v>
      </c>
      <c r="AZ126" s="208">
        <v>-26.233000000000001</v>
      </c>
      <c r="BA126" s="208">
        <f>21.337-AZ126</f>
        <v>47.57</v>
      </c>
      <c r="BB126" s="208">
        <f>74.077-SUM(AZ126:BA126)</f>
        <v>52.739999999999995</v>
      </c>
      <c r="BC126" s="208">
        <f>123.026-SUM(AZ126:BB126)</f>
        <v>48.948999999999998</v>
      </c>
      <c r="BD126" s="735">
        <f t="shared" si="150"/>
        <v>123.026</v>
      </c>
      <c r="BE126" s="208">
        <v>-25.466000000000001</v>
      </c>
      <c r="BF126" s="208">
        <f>183.824-SUM(BE126)</f>
        <v>209.29000000000002</v>
      </c>
      <c r="BG126" s="208">
        <f>112.879-BF126-BE126</f>
        <v>-70.945000000000022</v>
      </c>
      <c r="BH126" s="208">
        <f>58.876-BG126-BF126-BE126</f>
        <v>-54.002999999999993</v>
      </c>
      <c r="BI126" s="735">
        <f t="shared" si="151"/>
        <v>58.875999999999998</v>
      </c>
      <c r="BJ126" s="208">
        <v>-88.552000000000007</v>
      </c>
      <c r="BK126" s="208">
        <f>52.732-BJ126</f>
        <v>141.28399999999999</v>
      </c>
      <c r="BL126" s="208">
        <v>0</v>
      </c>
      <c r="BM126" s="208">
        <f>-136.303-BL126-BK126-BJ126</f>
        <v>-189.03499999999997</v>
      </c>
      <c r="BN126" s="735">
        <f t="shared" si="152"/>
        <v>-136.303</v>
      </c>
      <c r="BO126" s="208">
        <v>-40.427999999999997</v>
      </c>
      <c r="BP126" s="208">
        <f>95.846-BO126</f>
        <v>136.274</v>
      </c>
      <c r="BQ126" s="208">
        <f>23.357-BP126-BO126</f>
        <v>-72.489000000000004</v>
      </c>
      <c r="BR126" s="208">
        <f>196.413-BQ126-BP126-BO126</f>
        <v>173.05600000000004</v>
      </c>
      <c r="BS126" s="735">
        <f t="shared" si="153"/>
        <v>196.41300000000004</v>
      </c>
      <c r="BT126" s="208">
        <v>-63.127000000000002</v>
      </c>
      <c r="BU126" s="208">
        <f>-139.156-BT126</f>
        <v>-76.028999999999996</v>
      </c>
      <c r="BV126" s="208">
        <f>-232.058-BU126-BT126</f>
        <v>-92.901999999999987</v>
      </c>
      <c r="BW126" s="208">
        <f>6.818-BV126-BU126-BT126</f>
        <v>238.87599999999998</v>
      </c>
      <c r="BX126" s="735">
        <f t="shared" si="154"/>
        <v>6.8179999999999836</v>
      </c>
      <c r="BY126" s="208">
        <v>-66.084999999999994</v>
      </c>
      <c r="BZ126" s="208">
        <f>-100.624-BY126</f>
        <v>-34.539000000000001</v>
      </c>
      <c r="CA126" s="208">
        <f>-180.854-BZ126-BY126</f>
        <v>-80.23</v>
      </c>
      <c r="CB126" s="208">
        <f>86.405-CA126-BZ126-BY126</f>
        <v>267.25899999999996</v>
      </c>
      <c r="CC126" s="735">
        <f t="shared" si="155"/>
        <v>86.404999999999973</v>
      </c>
      <c r="CD126" s="208">
        <v>-93.245000000000005</v>
      </c>
      <c r="CE126" s="208">
        <f>-115.522-CD126</f>
        <v>-22.277000000000001</v>
      </c>
      <c r="CF126" s="208">
        <v>-52.442</v>
      </c>
      <c r="CG126" s="208">
        <f>-32.436-CF126-CE126-CD126</f>
        <v>135.52800000000002</v>
      </c>
      <c r="CH126" s="735">
        <f t="shared" si="156"/>
        <v>-32.435999999999979</v>
      </c>
      <c r="CI126" s="208">
        <v>-97.641000000000005</v>
      </c>
      <c r="CJ126" s="208">
        <f>-141.451-CI126</f>
        <v>-43.809999999999988</v>
      </c>
      <c r="CK126" s="208">
        <f>-23.356-CJ126-CI126</f>
        <v>118.095</v>
      </c>
      <c r="CL126" s="208">
        <f>5.322-41.073-CK126-CJ126-CI126</f>
        <v>-12.39500000000001</v>
      </c>
      <c r="CM126" s="735">
        <f t="shared" si="157"/>
        <v>-35.751000000000005</v>
      </c>
      <c r="CN126" s="208">
        <v>58</v>
      </c>
      <c r="CO126" s="208">
        <f>60-CN126</f>
        <v>2</v>
      </c>
      <c r="CP126" s="208">
        <f>-41-CO126-CN126</f>
        <v>-101</v>
      </c>
      <c r="CQ126" s="208">
        <f>39-CP126-CO126-CN126</f>
        <v>80</v>
      </c>
      <c r="CR126" s="735">
        <f t="shared" si="158"/>
        <v>39</v>
      </c>
      <c r="CS126" s="208">
        <v>-7</v>
      </c>
      <c r="CT126" s="208">
        <f>-85-CS126</f>
        <v>-78</v>
      </c>
      <c r="CU126" s="208">
        <f>-136-CT126-CS126</f>
        <v>-51</v>
      </c>
      <c r="CV126" s="208">
        <f>-135-CU126-CT126-CS126</f>
        <v>1</v>
      </c>
      <c r="CW126" s="735">
        <f t="shared" si="159"/>
        <v>-135</v>
      </c>
      <c r="CX126" s="208">
        <v>-87</v>
      </c>
      <c r="CY126" s="208">
        <f>9-CX126</f>
        <v>96</v>
      </c>
      <c r="CZ126" s="208">
        <f>-15-CY126-CX126</f>
        <v>-24</v>
      </c>
      <c r="DA126" s="208">
        <f>33-CZ126-CY126-CX126</f>
        <v>48</v>
      </c>
      <c r="DB126" s="735">
        <f t="shared" si="160"/>
        <v>33</v>
      </c>
      <c r="DC126" s="208">
        <f>-81+15</f>
        <v>-66</v>
      </c>
      <c r="DD126" s="208">
        <f>96+1-DC126</f>
        <v>163</v>
      </c>
      <c r="DE126" s="208">
        <f>147-49-DD126-DC126</f>
        <v>1</v>
      </c>
      <c r="DF126" s="208">
        <f>256-DE126-DD126-DC126</f>
        <v>158</v>
      </c>
      <c r="DG126" s="735">
        <f t="shared" si="161"/>
        <v>256</v>
      </c>
      <c r="DH126" s="208">
        <v>-129</v>
      </c>
      <c r="DI126" s="208">
        <f>-79-DH126</f>
        <v>50</v>
      </c>
      <c r="DJ126" s="208">
        <f>-103-DI126-DH126</f>
        <v>-24</v>
      </c>
      <c r="DK126" s="208">
        <v>157</v>
      </c>
      <c r="DL126" s="735">
        <f t="shared" si="162"/>
        <v>54</v>
      </c>
      <c r="DM126" s="208">
        <v>-32</v>
      </c>
      <c r="DN126" s="208">
        <v>112</v>
      </c>
      <c r="DO126" s="208">
        <f>31+55</f>
        <v>86</v>
      </c>
      <c r="DP126" s="208">
        <v>126</v>
      </c>
      <c r="DQ126" s="735">
        <f t="shared" si="163"/>
        <v>292</v>
      </c>
      <c r="DR126" s="208">
        <v>-1</v>
      </c>
      <c r="DS126" s="208">
        <v>133</v>
      </c>
      <c r="DT126" s="208">
        <f>-62+155</f>
        <v>93</v>
      </c>
      <c r="DU126" s="208">
        <v>423</v>
      </c>
      <c r="DV126" s="735">
        <f t="shared" si="164"/>
        <v>648</v>
      </c>
      <c r="DW126" s="208">
        <v>634</v>
      </c>
      <c r="DX126" s="208">
        <v>633</v>
      </c>
      <c r="DY126" s="208">
        <v>-92</v>
      </c>
      <c r="DZ126" s="208">
        <v>166</v>
      </c>
      <c r="EA126" s="735">
        <f t="shared" si="165"/>
        <v>1341</v>
      </c>
      <c r="EB126" s="208">
        <v>689</v>
      </c>
      <c r="EC126" s="208">
        <v>1986</v>
      </c>
      <c r="ED126" s="208">
        <v>-1722</v>
      </c>
      <c r="EE126" s="208">
        <v>1072</v>
      </c>
      <c r="EF126" s="735">
        <f t="shared" si="166"/>
        <v>2025</v>
      </c>
      <c r="EG126" s="208">
        <v>4202</v>
      </c>
      <c r="EH126" s="208">
        <v>-888</v>
      </c>
      <c r="EI126" s="208">
        <v>606</v>
      </c>
      <c r="EJ126" s="208">
        <v>360</v>
      </c>
      <c r="EK126" s="735">
        <f t="shared" si="167"/>
        <v>4280</v>
      </c>
      <c r="EL126" s="208">
        <v>7128</v>
      </c>
      <c r="EM126" s="208">
        <v>-4053</v>
      </c>
      <c r="EN126" s="208">
        <v>1129</v>
      </c>
      <c r="EO126" s="208">
        <v>1053</v>
      </c>
      <c r="EP126" s="735">
        <f t="shared" si="168"/>
        <v>5257</v>
      </c>
      <c r="EQ126" s="208">
        <v>7763</v>
      </c>
      <c r="ER126" s="736">
        <v>0</v>
      </c>
      <c r="ES126" s="736">
        <v>0</v>
      </c>
      <c r="ET126" s="736">
        <v>0</v>
      </c>
      <c r="EU126" s="735">
        <f t="shared" si="169"/>
        <v>7763</v>
      </c>
      <c r="EV126" s="736">
        <v>0</v>
      </c>
      <c r="EW126" s="736">
        <v>0</v>
      </c>
      <c r="EX126" s="736">
        <v>0</v>
      </c>
      <c r="EY126" s="736">
        <v>0</v>
      </c>
      <c r="EZ126" s="735">
        <f t="shared" si="170"/>
        <v>0</v>
      </c>
      <c r="FA126" s="736">
        <v>0</v>
      </c>
      <c r="FB126" s="736">
        <v>0</v>
      </c>
      <c r="FC126" s="736">
        <v>0</v>
      </c>
      <c r="FD126" s="736">
        <v>0</v>
      </c>
      <c r="FE126" s="735">
        <f t="shared" si="171"/>
        <v>0</v>
      </c>
      <c r="FF126" s="736">
        <v>0</v>
      </c>
      <c r="FG126" s="736">
        <v>0</v>
      </c>
      <c r="FH126" s="736">
        <v>0</v>
      </c>
      <c r="FI126" s="736">
        <v>0</v>
      </c>
      <c r="FJ126" s="735">
        <f t="shared" si="172"/>
        <v>0</v>
      </c>
      <c r="FK126" s="736">
        <v>0</v>
      </c>
      <c r="FL126" s="736">
        <v>0</v>
      </c>
      <c r="FM126" s="736">
        <v>0</v>
      </c>
      <c r="FN126" s="736">
        <v>0</v>
      </c>
      <c r="FO126" s="735">
        <f t="shared" si="173"/>
        <v>0</v>
      </c>
      <c r="FP126" s="735"/>
      <c r="FQ126" s="152"/>
    </row>
    <row r="127" spans="1:173" ht="12.75" customHeight="1">
      <c r="A127" s="203" t="s">
        <v>468</v>
      </c>
      <c r="B127" s="734"/>
      <c r="C127" s="734"/>
      <c r="D127" s="734"/>
      <c r="E127" s="734"/>
      <c r="F127" s="734"/>
      <c r="G127" s="734"/>
      <c r="H127" s="734"/>
      <c r="I127" s="734"/>
      <c r="J127" s="734"/>
      <c r="K127" s="706"/>
      <c r="L127" s="209"/>
      <c r="M127" s="209"/>
      <c r="N127" s="209"/>
      <c r="O127" s="209"/>
      <c r="P127" s="735">
        <f t="shared" si="142"/>
        <v>0</v>
      </c>
      <c r="Q127" s="209"/>
      <c r="R127" s="209"/>
      <c r="S127" s="209"/>
      <c r="T127" s="209"/>
      <c r="U127" s="735">
        <f t="shared" si="143"/>
        <v>0</v>
      </c>
      <c r="V127" s="209"/>
      <c r="W127" s="209">
        <v>-2.1360000000000001</v>
      </c>
      <c r="X127" s="209">
        <f>-51.819-W127-V127</f>
        <v>-49.683</v>
      </c>
      <c r="Y127" s="209">
        <f>-129.807-X127-W127-V127</f>
        <v>-77.988</v>
      </c>
      <c r="Z127" s="735">
        <f t="shared" si="144"/>
        <v>-129.80700000000002</v>
      </c>
      <c r="AA127" s="209">
        <v>-20.824000000000002</v>
      </c>
      <c r="AB127" s="209">
        <f>-7.773-AA127</f>
        <v>13.051000000000002</v>
      </c>
      <c r="AC127" s="209">
        <f>-6.698-AB127-AA127</f>
        <v>1.0749999999999993</v>
      </c>
      <c r="AD127" s="209">
        <v>-5.0990000000000002</v>
      </c>
      <c r="AE127" s="735">
        <f t="shared" si="145"/>
        <v>-11.797000000000001</v>
      </c>
      <c r="AF127" s="209">
        <v>-55.511000000000003</v>
      </c>
      <c r="AG127" s="209">
        <f>-57.634-AF127</f>
        <v>-2.1229999999999976</v>
      </c>
      <c r="AH127" s="209">
        <f>-56.981-AG127-AF127</f>
        <v>0.65299999999999869</v>
      </c>
      <c r="AI127" s="209">
        <f>-46.866-SUM(AF127:AH127)</f>
        <v>10.115000000000002</v>
      </c>
      <c r="AJ127" s="735">
        <f t="shared" si="146"/>
        <v>-46.866</v>
      </c>
      <c r="AK127" s="209">
        <v>0.86199999999999999</v>
      </c>
      <c r="AL127" s="209">
        <f>0-AK127</f>
        <v>-0.86199999999999999</v>
      </c>
      <c r="AM127" s="209">
        <v>0</v>
      </c>
      <c r="AN127" s="209">
        <v>0</v>
      </c>
      <c r="AO127" s="735">
        <f t="shared" si="147"/>
        <v>0</v>
      </c>
      <c r="AP127" s="209">
        <v>0</v>
      </c>
      <c r="AQ127" s="209">
        <v>0</v>
      </c>
      <c r="AR127" s="208">
        <v>0</v>
      </c>
      <c r="AS127" s="208">
        <v>0</v>
      </c>
      <c r="AT127" s="735">
        <f t="shared" si="148"/>
        <v>0</v>
      </c>
      <c r="AU127" s="208">
        <v>0</v>
      </c>
      <c r="AV127" s="208">
        <v>0</v>
      </c>
      <c r="AW127" s="208">
        <v>0</v>
      </c>
      <c r="AX127" s="208">
        <v>0</v>
      </c>
      <c r="AY127" s="735">
        <f t="shared" si="149"/>
        <v>0</v>
      </c>
      <c r="AZ127" s="208">
        <v>0</v>
      </c>
      <c r="BA127" s="208">
        <v>0</v>
      </c>
      <c r="BB127" s="208">
        <v>0</v>
      </c>
      <c r="BC127" s="208">
        <v>0</v>
      </c>
      <c r="BD127" s="735">
        <f t="shared" si="150"/>
        <v>0</v>
      </c>
      <c r="BE127" s="208">
        <v>0</v>
      </c>
      <c r="BF127" s="208">
        <v>0</v>
      </c>
      <c r="BG127" s="208">
        <v>0</v>
      </c>
      <c r="BH127" s="208">
        <v>0</v>
      </c>
      <c r="BI127" s="735">
        <f t="shared" si="151"/>
        <v>0</v>
      </c>
      <c r="BJ127" s="208">
        <v>0</v>
      </c>
      <c r="BK127" s="208">
        <v>0</v>
      </c>
      <c r="BL127" s="208">
        <v>0</v>
      </c>
      <c r="BM127" s="208">
        <v>0</v>
      </c>
      <c r="BN127" s="735">
        <f t="shared" si="152"/>
        <v>0</v>
      </c>
      <c r="BO127" s="208">
        <v>0</v>
      </c>
      <c r="BP127" s="208">
        <v>0</v>
      </c>
      <c r="BQ127" s="208">
        <v>0</v>
      </c>
      <c r="BR127" s="208">
        <v>0</v>
      </c>
      <c r="BS127" s="735">
        <f t="shared" si="153"/>
        <v>0</v>
      </c>
      <c r="BT127" s="208">
        <v>0</v>
      </c>
      <c r="BU127" s="208">
        <v>0</v>
      </c>
      <c r="BV127" s="208">
        <v>0</v>
      </c>
      <c r="BW127" s="208">
        <v>0</v>
      </c>
      <c r="BX127" s="735">
        <f t="shared" si="154"/>
        <v>0</v>
      </c>
      <c r="BY127" s="208">
        <v>0</v>
      </c>
      <c r="BZ127" s="208">
        <v>0</v>
      </c>
      <c r="CA127" s="208">
        <v>0</v>
      </c>
      <c r="CB127" s="208">
        <v>0</v>
      </c>
      <c r="CC127" s="735">
        <f t="shared" si="155"/>
        <v>0</v>
      </c>
      <c r="CD127" s="208">
        <v>0</v>
      </c>
      <c r="CE127" s="208">
        <v>0</v>
      </c>
      <c r="CF127" s="208">
        <v>0</v>
      </c>
      <c r="CG127" s="208">
        <v>0</v>
      </c>
      <c r="CH127" s="735">
        <f t="shared" si="156"/>
        <v>0</v>
      </c>
      <c r="CI127" s="208">
        <v>0</v>
      </c>
      <c r="CJ127" s="208">
        <v>0</v>
      </c>
      <c r="CK127" s="208">
        <v>0</v>
      </c>
      <c r="CL127" s="208">
        <v>0</v>
      </c>
      <c r="CM127" s="735">
        <f t="shared" si="157"/>
        <v>0</v>
      </c>
      <c r="CN127" s="208">
        <v>0</v>
      </c>
      <c r="CO127" s="208">
        <v>0</v>
      </c>
      <c r="CP127" s="208">
        <v>0</v>
      </c>
      <c r="CQ127" s="208">
        <v>0</v>
      </c>
      <c r="CR127" s="735">
        <f t="shared" si="158"/>
        <v>0</v>
      </c>
      <c r="CS127" s="208">
        <v>0</v>
      </c>
      <c r="CT127" s="208">
        <v>0</v>
      </c>
      <c r="CU127" s="208">
        <v>0</v>
      </c>
      <c r="CV127" s="208">
        <v>0</v>
      </c>
      <c r="CW127" s="735">
        <f t="shared" si="159"/>
        <v>0</v>
      </c>
      <c r="CX127" s="208">
        <v>0</v>
      </c>
      <c r="CY127" s="208">
        <f>16-CX127</f>
        <v>16</v>
      </c>
      <c r="CZ127" s="208">
        <f>31-CY127-CX127</f>
        <v>15</v>
      </c>
      <c r="DA127" s="208">
        <f>0-CZ127-CY127-CX127</f>
        <v>-31</v>
      </c>
      <c r="DB127" s="735">
        <f t="shared" si="160"/>
        <v>0</v>
      </c>
      <c r="DC127" s="208">
        <v>0</v>
      </c>
      <c r="DD127" s="208">
        <v>0</v>
      </c>
      <c r="DE127" s="208">
        <v>0</v>
      </c>
      <c r="DF127" s="736">
        <f>2-DE127-DD127-DC127</f>
        <v>2</v>
      </c>
      <c r="DG127" s="735">
        <f t="shared" si="161"/>
        <v>2</v>
      </c>
      <c r="DH127" s="208">
        <v>13</v>
      </c>
      <c r="DI127" s="208">
        <f>-2-DH127+1</f>
        <v>-14</v>
      </c>
      <c r="DJ127" s="208">
        <f>10-DI127-DH127</f>
        <v>11</v>
      </c>
      <c r="DK127" s="208">
        <v>19</v>
      </c>
      <c r="DL127" s="735">
        <f t="shared" si="162"/>
        <v>29</v>
      </c>
      <c r="DM127" s="208">
        <v>0</v>
      </c>
      <c r="DN127" s="208">
        <v>0</v>
      </c>
      <c r="DO127" s="208">
        <v>0</v>
      </c>
      <c r="DP127" s="208">
        <v>0</v>
      </c>
      <c r="DQ127" s="735">
        <f t="shared" si="163"/>
        <v>0</v>
      </c>
      <c r="DR127" s="208">
        <v>0</v>
      </c>
      <c r="DS127" s="208">
        <v>0</v>
      </c>
      <c r="DT127" s="208">
        <v>0</v>
      </c>
      <c r="DU127" s="208">
        <v>0</v>
      </c>
      <c r="DV127" s="735">
        <f t="shared" si="164"/>
        <v>0</v>
      </c>
      <c r="DW127" s="208">
        <v>0</v>
      </c>
      <c r="DX127" s="208">
        <v>0</v>
      </c>
      <c r="DY127" s="208">
        <v>42</v>
      </c>
      <c r="DZ127" s="208">
        <v>150</v>
      </c>
      <c r="EA127" s="735">
        <f t="shared" si="165"/>
        <v>192</v>
      </c>
      <c r="EB127" s="208">
        <v>105</v>
      </c>
      <c r="EC127" s="208">
        <v>131</v>
      </c>
      <c r="ED127" s="208">
        <v>-28</v>
      </c>
      <c r="EE127" s="208">
        <v>305</v>
      </c>
      <c r="EF127" s="735">
        <f t="shared" si="166"/>
        <v>513</v>
      </c>
      <c r="EG127" s="208">
        <v>323</v>
      </c>
      <c r="EH127" s="208">
        <v>260</v>
      </c>
      <c r="EI127" s="208">
        <v>266</v>
      </c>
      <c r="EJ127" s="208">
        <v>372</v>
      </c>
      <c r="EK127" s="735">
        <f t="shared" si="167"/>
        <v>1221</v>
      </c>
      <c r="EL127" s="208">
        <v>350</v>
      </c>
      <c r="EM127" s="208">
        <v>629</v>
      </c>
      <c r="EN127" s="208">
        <v>332</v>
      </c>
      <c r="EO127" s="208">
        <v>533</v>
      </c>
      <c r="EP127" s="735">
        <f t="shared" si="168"/>
        <v>1844</v>
      </c>
      <c r="EQ127" s="208">
        <v>1217</v>
      </c>
      <c r="ER127" s="736">
        <v>0</v>
      </c>
      <c r="ES127" s="736">
        <v>0</v>
      </c>
      <c r="ET127" s="736">
        <v>0</v>
      </c>
      <c r="EU127" s="735">
        <f t="shared" si="169"/>
        <v>1217</v>
      </c>
      <c r="EV127" s="736">
        <v>0</v>
      </c>
      <c r="EW127" s="736">
        <v>0</v>
      </c>
      <c r="EX127" s="736">
        <v>0</v>
      </c>
      <c r="EY127" s="736">
        <v>0</v>
      </c>
      <c r="EZ127" s="735">
        <f t="shared" si="170"/>
        <v>0</v>
      </c>
      <c r="FA127" s="736">
        <v>0</v>
      </c>
      <c r="FB127" s="736">
        <v>0</v>
      </c>
      <c r="FC127" s="736">
        <v>0</v>
      </c>
      <c r="FD127" s="736">
        <v>0</v>
      </c>
      <c r="FE127" s="735">
        <f t="shared" si="171"/>
        <v>0</v>
      </c>
      <c r="FF127" s="736">
        <v>0</v>
      </c>
      <c r="FG127" s="736">
        <v>0</v>
      </c>
      <c r="FH127" s="736">
        <v>0</v>
      </c>
      <c r="FI127" s="736">
        <v>0</v>
      </c>
      <c r="FJ127" s="735">
        <f t="shared" si="172"/>
        <v>0</v>
      </c>
      <c r="FK127" s="736">
        <v>0</v>
      </c>
      <c r="FL127" s="736">
        <v>0</v>
      </c>
      <c r="FM127" s="736">
        <v>0</v>
      </c>
      <c r="FN127" s="736">
        <v>0</v>
      </c>
      <c r="FO127" s="735">
        <f t="shared" si="173"/>
        <v>0</v>
      </c>
      <c r="FP127" s="735"/>
      <c r="FQ127" s="152"/>
    </row>
    <row r="128" spans="1:173" ht="12.75" customHeight="1">
      <c r="A128" s="203"/>
      <c r="B128" s="734"/>
      <c r="C128" s="734"/>
      <c r="D128" s="734"/>
      <c r="E128" s="734"/>
      <c r="F128" s="734"/>
      <c r="G128" s="734"/>
      <c r="H128" s="734"/>
      <c r="I128" s="734"/>
      <c r="J128" s="734"/>
      <c r="K128" s="152"/>
      <c r="L128" s="209"/>
      <c r="M128" s="209"/>
      <c r="N128" s="209"/>
      <c r="O128" s="209"/>
      <c r="P128" s="208"/>
      <c r="Q128" s="209"/>
      <c r="R128" s="209"/>
      <c r="S128" s="209"/>
      <c r="T128" s="209"/>
      <c r="U128" s="208"/>
      <c r="V128" s="209"/>
      <c r="W128" s="209"/>
      <c r="X128" s="209"/>
      <c r="Y128" s="209"/>
      <c r="Z128" s="208"/>
      <c r="AA128" s="209"/>
      <c r="AB128" s="209"/>
      <c r="AC128" s="209"/>
      <c r="AD128" s="209"/>
      <c r="AE128" s="208"/>
      <c r="AF128" s="209"/>
      <c r="AG128" s="209"/>
      <c r="AH128" s="209"/>
      <c r="AI128" s="209"/>
      <c r="AJ128" s="208"/>
      <c r="AK128" s="209"/>
      <c r="AL128" s="209"/>
      <c r="AM128" s="209"/>
      <c r="AN128" s="209"/>
      <c r="AO128" s="208"/>
      <c r="AP128" s="209"/>
      <c r="AQ128" s="208"/>
      <c r="AR128" s="208"/>
      <c r="AS128" s="208"/>
      <c r="AT128" s="208"/>
      <c r="AU128" s="208"/>
      <c r="AV128" s="208"/>
      <c r="AW128" s="208"/>
      <c r="AX128" s="208"/>
      <c r="AY128" s="208"/>
      <c r="AZ128" s="208"/>
      <c r="BA128" s="208"/>
      <c r="BB128" s="208"/>
      <c r="BC128" s="208"/>
      <c r="BD128" s="208"/>
      <c r="BE128" s="208"/>
      <c r="BF128" s="208"/>
      <c r="BG128" s="208"/>
      <c r="BH128" s="208"/>
      <c r="BI128" s="208"/>
      <c r="BJ128" s="208"/>
      <c r="BK128" s="208"/>
      <c r="BL128" s="208"/>
      <c r="BM128" s="208"/>
      <c r="BN128" s="208"/>
      <c r="BO128" s="208"/>
      <c r="BP128" s="208"/>
      <c r="BQ128" s="208"/>
      <c r="BR128" s="208"/>
      <c r="BS128" s="208"/>
      <c r="BT128" s="208"/>
      <c r="BU128" s="208"/>
      <c r="BV128" s="208"/>
      <c r="BW128" s="208"/>
      <c r="BX128" s="208"/>
      <c r="BY128" s="208"/>
      <c r="BZ128" s="208"/>
      <c r="CA128" s="208"/>
      <c r="CB128" s="208"/>
      <c r="CC128" s="208"/>
      <c r="CD128" s="208"/>
      <c r="CE128" s="208"/>
      <c r="CF128" s="208"/>
      <c r="CG128" s="208"/>
      <c r="CH128" s="208"/>
      <c r="CI128" s="208"/>
      <c r="CJ128" s="208"/>
      <c r="CK128" s="208"/>
      <c r="CL128" s="208"/>
      <c r="CM128" s="208"/>
      <c r="CN128" s="208"/>
      <c r="CO128" s="208"/>
      <c r="CP128" s="208"/>
      <c r="CQ128" s="208"/>
      <c r="CR128" s="208"/>
      <c r="CS128" s="208"/>
      <c r="CT128" s="208"/>
      <c r="CU128" s="208"/>
      <c r="CV128" s="208"/>
      <c r="CW128" s="208"/>
      <c r="CX128" s="208"/>
      <c r="CY128" s="208"/>
      <c r="CZ128" s="208"/>
      <c r="DA128" s="208"/>
      <c r="DB128" s="208"/>
      <c r="DC128" s="208"/>
      <c r="DD128" s="208"/>
      <c r="DE128" s="208"/>
      <c r="DF128" s="208"/>
      <c r="DG128" s="208"/>
      <c r="DH128" s="208"/>
      <c r="DI128" s="208"/>
      <c r="DJ128" s="208"/>
      <c r="DK128" s="208"/>
      <c r="DL128" s="208"/>
      <c r="DM128" s="208"/>
      <c r="DN128" s="208"/>
      <c r="DO128" s="208"/>
      <c r="DP128" s="208"/>
      <c r="DQ128" s="208"/>
      <c r="DR128" s="208"/>
      <c r="DS128" s="208"/>
      <c r="DT128" s="208"/>
      <c r="DU128" s="208"/>
      <c r="DV128" s="208"/>
      <c r="DW128" s="208"/>
      <c r="DX128" s="208"/>
      <c r="DY128" s="208"/>
      <c r="DZ128" s="208"/>
      <c r="EA128" s="208"/>
      <c r="EB128" s="208"/>
      <c r="EC128" s="208"/>
      <c r="ED128" s="208"/>
      <c r="EE128" s="208"/>
      <c r="EF128" s="208"/>
      <c r="EG128" s="208"/>
      <c r="EH128" s="208"/>
      <c r="EI128" s="208"/>
      <c r="EJ128" s="208"/>
      <c r="EK128" s="208"/>
      <c r="EL128" s="208"/>
      <c r="EM128" s="208"/>
      <c r="EN128" s="208"/>
      <c r="EO128" s="208"/>
      <c r="EP128" s="208"/>
      <c r="EQ128" s="208"/>
      <c r="ER128" s="208"/>
      <c r="ES128" s="208"/>
      <c r="ET128" s="208"/>
      <c r="EU128" s="208"/>
      <c r="EV128" s="208"/>
      <c r="EW128" s="208"/>
      <c r="EX128" s="208"/>
      <c r="EY128" s="208"/>
      <c r="EZ128" s="208"/>
      <c r="FA128" s="208"/>
      <c r="FB128" s="208"/>
      <c r="FC128" s="208"/>
      <c r="FD128" s="208"/>
      <c r="FE128" s="208"/>
      <c r="FF128" s="208"/>
      <c r="FG128" s="208"/>
      <c r="FH128" s="208"/>
      <c r="FI128" s="208"/>
      <c r="FJ128" s="208"/>
      <c r="FK128" s="208"/>
      <c r="FL128" s="208"/>
      <c r="FM128" s="208"/>
      <c r="FN128" s="208"/>
      <c r="FO128" s="208"/>
      <c r="FP128" s="208"/>
      <c r="FQ128" s="152"/>
    </row>
    <row r="129" spans="1:173" s="169" customFormat="1" ht="12.75" customHeight="1">
      <c r="A129" s="171" t="s">
        <v>469</v>
      </c>
      <c r="B129" s="737"/>
      <c r="C129" s="737"/>
      <c r="D129" s="737"/>
      <c r="E129" s="737"/>
      <c r="F129" s="737"/>
      <c r="G129" s="737"/>
      <c r="H129" s="737"/>
      <c r="I129" s="737"/>
      <c r="J129" s="737"/>
      <c r="K129" s="738"/>
      <c r="L129" s="739">
        <f t="shared" ref="L129:V129" si="174">SUM(L113:L126)</f>
        <v>3.3600000000000039</v>
      </c>
      <c r="M129" s="739">
        <f t="shared" si="174"/>
        <v>-2.8649999999999993</v>
      </c>
      <c r="N129" s="739">
        <f t="shared" si="174"/>
        <v>12.928999999999995</v>
      </c>
      <c r="O129" s="739">
        <f t="shared" si="174"/>
        <v>5.3080000000000114</v>
      </c>
      <c r="P129" s="739">
        <f>SUM(L129:O129)</f>
        <v>18.73200000000001</v>
      </c>
      <c r="Q129" s="739">
        <f t="shared" si="174"/>
        <v>7.0340000000000034</v>
      </c>
      <c r="R129" s="739">
        <f t="shared" si="174"/>
        <v>25.182000000000016</v>
      </c>
      <c r="S129" s="739">
        <f t="shared" si="174"/>
        <v>17.932999999999993</v>
      </c>
      <c r="T129" s="739">
        <f t="shared" si="174"/>
        <v>16.328999999999944</v>
      </c>
      <c r="U129" s="739">
        <f>SUM(Q129:T129)</f>
        <v>66.477999999999952</v>
      </c>
      <c r="V129" s="739">
        <f t="shared" si="174"/>
        <v>35.677999999999983</v>
      </c>
      <c r="W129" s="739">
        <f t="shared" ref="W129:AC129" si="175">SUM(W113:W127)</f>
        <v>58.116000000000014</v>
      </c>
      <c r="X129" s="739">
        <f t="shared" si="175"/>
        <v>19.445</v>
      </c>
      <c r="Y129" s="739">
        <f t="shared" si="175"/>
        <v>49.38069999999999</v>
      </c>
      <c r="Z129" s="739">
        <f>SUM(V129:Y129)</f>
        <v>162.61969999999999</v>
      </c>
      <c r="AA129" s="739">
        <f t="shared" si="175"/>
        <v>48.774999999999935</v>
      </c>
      <c r="AB129" s="739">
        <f t="shared" si="175"/>
        <v>0.66800000000003124</v>
      </c>
      <c r="AC129" s="739">
        <f t="shared" si="175"/>
        <v>91.263999999999982</v>
      </c>
      <c r="AD129" s="739">
        <v>124.325</v>
      </c>
      <c r="AE129" s="739">
        <f>SUM(AA129:AD129)</f>
        <v>265.03199999999993</v>
      </c>
      <c r="AF129" s="739">
        <f t="shared" ref="AF129:BR129" si="176">SUM(AF113:AF127)</f>
        <v>40.428000000000019</v>
      </c>
      <c r="AG129" s="739">
        <f t="shared" si="176"/>
        <v>18.813999999999986</v>
      </c>
      <c r="AH129" s="739">
        <f t="shared" si="176"/>
        <v>-8.6149999999999753</v>
      </c>
      <c r="AI129" s="739">
        <f t="shared" si="176"/>
        <v>-0.94899999999997675</v>
      </c>
      <c r="AJ129" s="739">
        <f>SUM(AF129:AI129)</f>
        <v>49.678000000000054</v>
      </c>
      <c r="AK129" s="739">
        <f t="shared" si="176"/>
        <v>61.485999999999933</v>
      </c>
      <c r="AL129" s="739">
        <f t="shared" si="176"/>
        <v>-28.891000000000034</v>
      </c>
      <c r="AM129" s="739">
        <f t="shared" si="176"/>
        <v>0.43400000000002947</v>
      </c>
      <c r="AN129" s="739">
        <f t="shared" si="176"/>
        <v>99.170999999999992</v>
      </c>
      <c r="AO129" s="739">
        <f>SUM(AK129:AN129)</f>
        <v>132.19999999999993</v>
      </c>
      <c r="AP129" s="739">
        <f t="shared" si="176"/>
        <v>89.578999999999979</v>
      </c>
      <c r="AQ129" s="740">
        <f t="shared" si="176"/>
        <v>47.347000000000008</v>
      </c>
      <c r="AR129" s="739">
        <f t="shared" si="176"/>
        <v>84.098999999999918</v>
      </c>
      <c r="AS129" s="739">
        <f t="shared" si="176"/>
        <v>225.38300000000007</v>
      </c>
      <c r="AT129" s="739">
        <f>SUM(AP129:AS129)</f>
        <v>446.40800000000002</v>
      </c>
      <c r="AU129" s="739">
        <f t="shared" si="176"/>
        <v>49.535999999999994</v>
      </c>
      <c r="AV129" s="739">
        <f t="shared" si="176"/>
        <v>17.862000000000045</v>
      </c>
      <c r="AW129" s="739">
        <f t="shared" si="176"/>
        <v>289.31799999999998</v>
      </c>
      <c r="AX129" s="739">
        <f t="shared" si="176"/>
        <v>230.3950000000001</v>
      </c>
      <c r="AY129" s="739">
        <f>SUM(AU129:AX129)</f>
        <v>587.1110000000001</v>
      </c>
      <c r="AZ129" s="739">
        <f t="shared" si="176"/>
        <v>306.48899999999998</v>
      </c>
      <c r="BA129" s="739">
        <f t="shared" si="176"/>
        <v>331.11099999999999</v>
      </c>
      <c r="BB129" s="739">
        <f t="shared" si="176"/>
        <v>380.12499999999994</v>
      </c>
      <c r="BC129" s="739">
        <f t="shared" si="176"/>
        <v>252.471</v>
      </c>
      <c r="BD129" s="739">
        <f>SUM(AZ129:BC129)</f>
        <v>1270.1959999999999</v>
      </c>
      <c r="BE129" s="739">
        <f t="shared" si="176"/>
        <v>145.24499999999998</v>
      </c>
      <c r="BF129" s="739">
        <f t="shared" si="176"/>
        <v>80.956999999999994</v>
      </c>
      <c r="BG129" s="739">
        <f t="shared" si="176"/>
        <v>-6.2970000000000397</v>
      </c>
      <c r="BH129" s="739">
        <f t="shared" si="176"/>
        <v>-19.845000000000034</v>
      </c>
      <c r="BI129" s="739">
        <f>SUM(BE129:BH129)</f>
        <v>200.05999999999989</v>
      </c>
      <c r="BJ129" s="739">
        <f t="shared" si="176"/>
        <v>142.12799999999999</v>
      </c>
      <c r="BK129" s="739">
        <f t="shared" si="176"/>
        <v>135.11699999999996</v>
      </c>
      <c r="BL129" s="739">
        <f t="shared" si="176"/>
        <v>197.97399999999999</v>
      </c>
      <c r="BM129" s="739">
        <f t="shared" si="176"/>
        <v>12.588000000000051</v>
      </c>
      <c r="BN129" s="739">
        <f>SUM(BJ129:BM129)</f>
        <v>487.80700000000002</v>
      </c>
      <c r="BO129" s="739">
        <f t="shared" si="176"/>
        <v>-5.3970000000000624</v>
      </c>
      <c r="BP129" s="739">
        <f t="shared" si="176"/>
        <v>34.34399999999988</v>
      </c>
      <c r="BQ129" s="739">
        <f t="shared" si="176"/>
        <v>212.17700000000005</v>
      </c>
      <c r="BR129" s="739">
        <f t="shared" si="176"/>
        <v>434.67300000000006</v>
      </c>
      <c r="BS129" s="739">
        <f>SUM(BO129:BR129)</f>
        <v>675.79699999999991</v>
      </c>
      <c r="BT129" s="739">
        <f t="shared" ref="BT129:CV129" si="177">SUM(BT113:BT127)</f>
        <v>172.20000000000002</v>
      </c>
      <c r="BU129" s="739">
        <f t="shared" si="177"/>
        <v>82.020999999999987</v>
      </c>
      <c r="BV129" s="739">
        <f t="shared" si="177"/>
        <v>244.41699999999992</v>
      </c>
      <c r="BW129" s="739">
        <f t="shared" si="177"/>
        <v>410.51799999999992</v>
      </c>
      <c r="BX129" s="739">
        <f>SUM(BT129:BW129)</f>
        <v>909.15599999999984</v>
      </c>
      <c r="BY129" s="739">
        <f t="shared" si="177"/>
        <v>-9.2079999999999558</v>
      </c>
      <c r="BZ129" s="739">
        <f t="shared" si="177"/>
        <v>200.88599999999991</v>
      </c>
      <c r="CA129" s="739">
        <f t="shared" si="177"/>
        <v>181.48499999999996</v>
      </c>
      <c r="CB129" s="739">
        <f t="shared" si="177"/>
        <v>451.00900000000001</v>
      </c>
      <c r="CC129" s="739">
        <f>SUM(BY129:CB129)</f>
        <v>824.17199999999991</v>
      </c>
      <c r="CD129" s="739">
        <f t="shared" si="177"/>
        <v>175.64999999999998</v>
      </c>
      <c r="CE129" s="739">
        <f t="shared" si="177"/>
        <v>96.469000000000051</v>
      </c>
      <c r="CF129" s="739">
        <f t="shared" si="177"/>
        <v>162.31500000000008</v>
      </c>
      <c r="CG129" s="739">
        <f t="shared" si="177"/>
        <v>400.71200000000005</v>
      </c>
      <c r="CH129" s="739">
        <f>SUM(CD129:CG129)</f>
        <v>835.14600000000019</v>
      </c>
      <c r="CI129" s="739">
        <f t="shared" si="177"/>
        <v>151.02200000000016</v>
      </c>
      <c r="CJ129" s="739">
        <f t="shared" si="177"/>
        <v>96.282000000000025</v>
      </c>
      <c r="CK129" s="739">
        <f t="shared" si="177"/>
        <v>215.62300000000005</v>
      </c>
      <c r="CL129" s="739">
        <f t="shared" si="177"/>
        <v>442.72900000000016</v>
      </c>
      <c r="CM129" s="739">
        <f>SUM(CI129:CL129)</f>
        <v>905.6560000000004</v>
      </c>
      <c r="CN129" s="739">
        <f t="shared" si="177"/>
        <v>246</v>
      </c>
      <c r="CO129" s="739">
        <f t="shared" si="177"/>
        <v>163</v>
      </c>
      <c r="CP129" s="739">
        <f>SUM(CP113:CP127)</f>
        <v>255</v>
      </c>
      <c r="CQ129" s="739">
        <f t="shared" si="177"/>
        <v>511</v>
      </c>
      <c r="CR129" s="739">
        <f>SUM(CN129:CQ129)</f>
        <v>1175</v>
      </c>
      <c r="CS129" s="739">
        <f>SUM(CS113:CS127)</f>
        <v>309</v>
      </c>
      <c r="CT129" s="739">
        <f>SUM(CT113:CT127)</f>
        <v>184</v>
      </c>
      <c r="CU129" s="739">
        <f t="shared" si="177"/>
        <v>458</v>
      </c>
      <c r="CV129" s="739">
        <f t="shared" si="177"/>
        <v>721</v>
      </c>
      <c r="CW129" s="739">
        <f>SUM(CS129:CV129)</f>
        <v>1672</v>
      </c>
      <c r="CX129" s="739">
        <f>SUM(CX113:CX127)</f>
        <v>282</v>
      </c>
      <c r="CY129" s="739">
        <f>SUM(CY113:CY127)</f>
        <v>704</v>
      </c>
      <c r="CZ129" s="739">
        <f>SUM(CZ113:CZ127)</f>
        <v>1159</v>
      </c>
      <c r="DA129" s="739">
        <f>SUM(DA113:DA127)</f>
        <v>1357</v>
      </c>
      <c r="DB129" s="739">
        <f>SUM(CX129:DA129)</f>
        <v>3502</v>
      </c>
      <c r="DC129" s="739">
        <f>SUM(DC113:DC127)</f>
        <v>1445</v>
      </c>
      <c r="DD129" s="739">
        <f>SUM(DD113:DD127)</f>
        <v>913</v>
      </c>
      <c r="DE129" s="739">
        <f>SUM(DE113:DE127)</f>
        <v>487</v>
      </c>
      <c r="DF129" s="739">
        <f>SUM(DF113:DF127)</f>
        <v>899</v>
      </c>
      <c r="DG129" s="739">
        <f>SUM(DC129:DF129)</f>
        <v>3744</v>
      </c>
      <c r="DH129" s="739">
        <f>SUM(DH113:DH127)</f>
        <v>720</v>
      </c>
      <c r="DI129" s="739">
        <f>SUM(DI113:DI127)</f>
        <v>936</v>
      </c>
      <c r="DJ129" s="739">
        <f>SUM(DJ113:DJ127)</f>
        <v>1640</v>
      </c>
      <c r="DK129" s="739">
        <f>SUM(DK113:DK127)</f>
        <v>1465</v>
      </c>
      <c r="DL129" s="739">
        <f>SUM(DH129:DK129)</f>
        <v>4761</v>
      </c>
      <c r="DM129" s="739">
        <f>SUM(DM113:DM127)</f>
        <v>909</v>
      </c>
      <c r="DN129" s="739">
        <f>SUM(DN113:DN127)</f>
        <v>1566</v>
      </c>
      <c r="DO129" s="739">
        <f>SUM(DO113:DO127)</f>
        <v>1279</v>
      </c>
      <c r="DP129" s="739">
        <f>SUM(DP113:DP127)</f>
        <v>2067</v>
      </c>
      <c r="DQ129" s="739">
        <f>SUM(DM129:DP129)</f>
        <v>5821</v>
      </c>
      <c r="DR129" s="739">
        <f>SUM(DR113:DR127)</f>
        <v>1874</v>
      </c>
      <c r="DS129" s="739">
        <f>SUM(DS113:DS127)</f>
        <v>2682</v>
      </c>
      <c r="DT129" s="739">
        <f>SUM(DT113:DT127)</f>
        <v>1519</v>
      </c>
      <c r="DU129" s="739">
        <f>SUM(DU113:DU127)</f>
        <v>3033</v>
      </c>
      <c r="DV129" s="739">
        <f>SUM(DR129:DU129)</f>
        <v>9108</v>
      </c>
      <c r="DW129" s="739">
        <f>SUM(DW113:DW127)</f>
        <v>1731</v>
      </c>
      <c r="DX129" s="739">
        <f>SUM(DX113:DX127)</f>
        <v>1270</v>
      </c>
      <c r="DY129" s="739">
        <f>SUM(DY113:DY127)</f>
        <v>392</v>
      </c>
      <c r="DZ129" s="739">
        <f>SUM(DZ113:DZ127)</f>
        <v>2249</v>
      </c>
      <c r="EA129" s="739">
        <f>SUM(DW129:DZ129)</f>
        <v>5642</v>
      </c>
      <c r="EB129" s="739">
        <f>SUM(EB113:EB127)</f>
        <v>2911</v>
      </c>
      <c r="EC129" s="739">
        <f>SUM(EC113:EC127)</f>
        <v>6348</v>
      </c>
      <c r="ED129" s="739">
        <f>SUM(ED113:ED127)</f>
        <v>7333</v>
      </c>
      <c r="EE129" s="739">
        <f>SUM(EE113:EE127)</f>
        <v>11499</v>
      </c>
      <c r="EF129" s="739">
        <f>SUM(EB129:EE129)</f>
        <v>28091</v>
      </c>
      <c r="EG129" s="739">
        <f>SUM(EG113:EG127)</f>
        <v>15345</v>
      </c>
      <c r="EH129" s="739">
        <f>SUM(EH113:EH127)</f>
        <v>14489</v>
      </c>
      <c r="EI129" s="739">
        <f>SUM(EI113:EI127)</f>
        <v>17629</v>
      </c>
      <c r="EJ129" s="739">
        <f>SUM(EJ113:EJ127)</f>
        <v>16628</v>
      </c>
      <c r="EK129" s="739">
        <f>SUM(EG129:EJ129)</f>
        <v>64091</v>
      </c>
      <c r="EL129" s="739">
        <f>SUM(EL113:EL127)</f>
        <v>27414</v>
      </c>
      <c r="EM129" s="739">
        <f>SUM(EM113:EM127)</f>
        <v>15365</v>
      </c>
      <c r="EN129" s="739">
        <f>SUM(EN113:EN127)</f>
        <v>23750</v>
      </c>
      <c r="EO129" s="739">
        <f>SUM(EO113:EO127)</f>
        <v>36190</v>
      </c>
      <c r="EP129" s="739">
        <f>SUM(EL129:EO129)</f>
        <v>102719</v>
      </c>
      <c r="EQ129" s="739">
        <f>SUM(EQ113:EQ127)</f>
        <v>50344</v>
      </c>
      <c r="ER129" s="739">
        <f>SUM(ER113:ER127)</f>
        <v>36215.46491437847</v>
      </c>
      <c r="ES129" s="739">
        <f>SUM(ES113:ES127)</f>
        <v>50148.132827338923</v>
      </c>
      <c r="ET129" s="739">
        <f>SUM(ET113:ET127)</f>
        <v>63334.632263954234</v>
      </c>
      <c r="EU129" s="739">
        <f>SUM(EQ129:ET129)</f>
        <v>200042.23000567165</v>
      </c>
      <c r="EV129" s="739">
        <f>SUM(EV113:EV127)</f>
        <v>78914.389634217878</v>
      </c>
      <c r="EW129" s="739">
        <f>SUM(EW113:EW127)</f>
        <v>78216.080821930169</v>
      </c>
      <c r="EX129" s="739">
        <f>SUM(EX113:EX127)</f>
        <v>85369.608218567431</v>
      </c>
      <c r="EY129" s="739">
        <f>SUM(EY113:EY127)</f>
        <v>99492.62785561019</v>
      </c>
      <c r="EZ129" s="739">
        <f>SUM(EV129:EY129)</f>
        <v>341992.7065303257</v>
      </c>
      <c r="FA129" s="739">
        <f>SUM(FA113:FA127)</f>
        <v>102510.52138615471</v>
      </c>
      <c r="FB129" s="739">
        <f>SUM(FB113:FB127)</f>
        <v>107264.44771400702</v>
      </c>
      <c r="FC129" s="739">
        <f>SUM(FC113:FC127)</f>
        <v>109309.3129819584</v>
      </c>
      <c r="FD129" s="739">
        <f>SUM(FD113:FD127)</f>
        <v>120819.59592855317</v>
      </c>
      <c r="FE129" s="739">
        <f>SUM(FA129:FD129)</f>
        <v>439903.87801067333</v>
      </c>
      <c r="FF129" s="739">
        <f>SUM(FF113:FF127)</f>
        <v>122810.21978386281</v>
      </c>
      <c r="FG129" s="739">
        <f>SUM(FG113:FG127)</f>
        <v>126192.55004073663</v>
      </c>
      <c r="FH129" s="739">
        <f>SUM(FH113:FH127)</f>
        <v>126888.30722182659</v>
      </c>
      <c r="FI129" s="739">
        <f>SUM(FI113:FI127)</f>
        <v>134491.59042698395</v>
      </c>
      <c r="FJ129" s="739">
        <f>SUM(FF129:FI129)</f>
        <v>510382.66747340997</v>
      </c>
      <c r="FK129" s="739">
        <f>SUM(FK113:FK127)</f>
        <v>131433.11071897298</v>
      </c>
      <c r="FL129" s="739">
        <f>SUM(FL113:FL127)</f>
        <v>135965.93485031076</v>
      </c>
      <c r="FM129" s="739">
        <f>SUM(FM113:FM127)</f>
        <v>138870.48812850146</v>
      </c>
      <c r="FN129" s="739">
        <f>SUM(FN113:FN127)</f>
        <v>151946.98274342599</v>
      </c>
      <c r="FO129" s="739">
        <f>SUM(FK129:FN129)</f>
        <v>558216.51644121122</v>
      </c>
      <c r="FP129" s="739"/>
      <c r="FQ129" s="152"/>
    </row>
    <row r="130" spans="1:173">
      <c r="B130" s="734"/>
      <c r="C130" s="734"/>
      <c r="D130" s="734"/>
      <c r="E130" s="734"/>
      <c r="F130" s="734"/>
      <c r="G130" s="734"/>
      <c r="H130" s="734"/>
      <c r="I130" s="734"/>
      <c r="J130" s="734"/>
      <c r="K130" s="152"/>
      <c r="L130" s="209"/>
      <c r="M130" s="209"/>
      <c r="N130" s="209"/>
      <c r="O130" s="209"/>
      <c r="P130" s="208"/>
      <c r="Q130" s="209"/>
      <c r="R130" s="209"/>
      <c r="S130" s="209"/>
      <c r="T130" s="209"/>
      <c r="U130" s="208"/>
      <c r="V130" s="209"/>
      <c r="W130" s="209"/>
      <c r="X130" s="209"/>
      <c r="Y130" s="209"/>
      <c r="Z130" s="208"/>
      <c r="AA130" s="209"/>
      <c r="AB130" s="209"/>
      <c r="AC130" s="209"/>
      <c r="AD130" s="209"/>
      <c r="AE130" s="208"/>
      <c r="AF130" s="209"/>
      <c r="AG130" s="209"/>
      <c r="AH130" s="209"/>
      <c r="AI130" s="209"/>
      <c r="AJ130" s="208"/>
      <c r="AK130" s="209"/>
      <c r="AL130" s="209"/>
      <c r="AM130" s="209"/>
      <c r="AN130" s="209"/>
      <c r="AO130" s="208"/>
      <c r="AP130" s="209"/>
      <c r="AQ130" s="208"/>
      <c r="AR130" s="208"/>
      <c r="AS130" s="208"/>
      <c r="AT130" s="208"/>
      <c r="AU130" s="208"/>
      <c r="AV130" s="208"/>
      <c r="AW130" s="208"/>
      <c r="AX130" s="208"/>
      <c r="AY130" s="208"/>
      <c r="AZ130" s="208"/>
      <c r="BA130" s="208"/>
      <c r="BB130" s="208"/>
      <c r="BC130" s="208"/>
      <c r="BD130" s="208"/>
      <c r="BE130" s="208"/>
      <c r="BF130" s="208"/>
      <c r="BG130" s="208"/>
      <c r="BH130" s="208"/>
      <c r="BI130" s="208"/>
      <c r="BJ130" s="208"/>
      <c r="BK130" s="208"/>
      <c r="BL130" s="208"/>
      <c r="BM130" s="208"/>
      <c r="BN130" s="208"/>
      <c r="BO130" s="208"/>
      <c r="BP130" s="208"/>
      <c r="BQ130" s="208"/>
      <c r="BR130" s="208"/>
      <c r="BS130" s="208"/>
      <c r="BT130" s="208"/>
      <c r="BU130" s="208"/>
      <c r="BV130" s="208"/>
      <c r="BW130" s="208"/>
      <c r="BX130" s="208"/>
      <c r="BY130" s="208"/>
      <c r="BZ130" s="208"/>
      <c r="CA130" s="208"/>
      <c r="CB130" s="208"/>
      <c r="CC130" s="208"/>
      <c r="CD130" s="208"/>
      <c r="CE130" s="208"/>
      <c r="CF130" s="208"/>
      <c r="CG130" s="208"/>
      <c r="CH130" s="208"/>
      <c r="CI130" s="208"/>
      <c r="CJ130" s="208"/>
      <c r="CK130" s="208"/>
      <c r="CL130" s="208"/>
      <c r="CM130" s="208"/>
      <c r="CN130" s="208"/>
      <c r="CO130" s="208"/>
      <c r="CP130" s="208"/>
      <c r="CQ130" s="208"/>
      <c r="CR130" s="208"/>
      <c r="CS130" s="208"/>
      <c r="CT130" s="208"/>
      <c r="CU130" s="208"/>
      <c r="CV130" s="208"/>
      <c r="CW130" s="208"/>
      <c r="CX130" s="208"/>
      <c r="CY130" s="208"/>
      <c r="CZ130" s="208"/>
      <c r="DA130" s="208"/>
      <c r="DB130" s="208"/>
      <c r="DC130" s="208"/>
      <c r="DD130" s="208"/>
      <c r="DE130" s="208"/>
      <c r="DF130" s="208"/>
      <c r="DG130" s="208"/>
      <c r="DH130" s="208"/>
      <c r="DI130" s="208"/>
      <c r="DJ130" s="208"/>
      <c r="DK130" s="208">
        <f>+DK129-1465</f>
        <v>0</v>
      </c>
      <c r="DL130" s="208"/>
      <c r="DM130" s="208"/>
      <c r="DN130" s="208"/>
      <c r="DO130" s="208"/>
      <c r="DP130" s="208"/>
      <c r="DQ130" s="208"/>
      <c r="DR130" s="208"/>
      <c r="DS130" s="208"/>
      <c r="DT130" s="208"/>
      <c r="DU130" s="208"/>
      <c r="DV130" s="208"/>
      <c r="DW130" s="208"/>
      <c r="DX130" s="208"/>
      <c r="DY130" s="208"/>
      <c r="DZ130" s="208"/>
      <c r="EA130" s="208"/>
      <c r="EB130" s="208"/>
      <c r="EC130" s="208"/>
      <c r="ED130" s="208"/>
      <c r="EE130" s="208"/>
      <c r="EF130" s="208"/>
      <c r="EG130" s="208"/>
      <c r="EH130" s="208"/>
      <c r="EI130" s="208"/>
      <c r="EJ130" s="208"/>
      <c r="EK130" s="208"/>
      <c r="EL130" s="208"/>
      <c r="EM130" s="208"/>
      <c r="EN130" s="208"/>
      <c r="EO130" s="208"/>
      <c r="EP130" s="208"/>
      <c r="EQ130" s="208"/>
      <c r="ER130" s="208"/>
      <c r="ES130" s="208"/>
      <c r="ET130" s="208"/>
      <c r="EU130" s="208"/>
      <c r="EV130" s="208"/>
      <c r="EW130" s="208"/>
      <c r="EX130" s="208"/>
      <c r="EY130" s="208"/>
      <c r="EZ130" s="208"/>
      <c r="FA130" s="208"/>
      <c r="FB130" s="208"/>
      <c r="FC130" s="208"/>
      <c r="FD130" s="208"/>
      <c r="FE130" s="208"/>
      <c r="FF130" s="208"/>
      <c r="FG130" s="208"/>
      <c r="FH130" s="208"/>
      <c r="FI130" s="208"/>
      <c r="FJ130" s="208"/>
      <c r="FK130" s="208"/>
      <c r="FL130" s="208"/>
      <c r="FM130" s="208"/>
      <c r="FN130" s="208"/>
      <c r="FO130" s="208"/>
      <c r="FP130" s="208"/>
      <c r="FQ130" s="152"/>
    </row>
    <row r="131" spans="1:173">
      <c r="A131" s="147" t="s">
        <v>470</v>
      </c>
      <c r="B131" s="734"/>
      <c r="C131" s="734"/>
      <c r="D131" s="734"/>
      <c r="E131" s="734"/>
      <c r="F131" s="734"/>
      <c r="G131" s="734"/>
      <c r="H131" s="734"/>
      <c r="I131" s="734"/>
      <c r="J131" s="734"/>
      <c r="K131" s="152"/>
      <c r="L131" s="209"/>
      <c r="M131" s="209"/>
      <c r="N131" s="209"/>
      <c r="O131" s="209"/>
      <c r="P131" s="208"/>
      <c r="Q131" s="209"/>
      <c r="R131" s="209"/>
      <c r="S131" s="209"/>
      <c r="T131" s="209"/>
      <c r="U131" s="208"/>
      <c r="V131" s="209"/>
      <c r="W131" s="209"/>
      <c r="X131" s="209"/>
      <c r="Y131" s="209"/>
      <c r="Z131" s="208"/>
      <c r="AA131" s="209"/>
      <c r="AB131" s="209"/>
      <c r="AC131" s="209"/>
      <c r="AD131" s="209"/>
      <c r="AE131" s="208"/>
      <c r="AF131" s="209"/>
      <c r="AG131" s="208"/>
      <c r="AH131" s="208"/>
      <c r="AI131" s="208"/>
      <c r="AJ131" s="208"/>
      <c r="AK131" s="208"/>
      <c r="AL131" s="208"/>
      <c r="AM131" s="208"/>
      <c r="AN131" s="208"/>
      <c r="AO131" s="208"/>
      <c r="AP131" s="208"/>
      <c r="AQ131" s="208"/>
      <c r="AR131" s="208"/>
      <c r="AS131" s="208"/>
      <c r="AT131" s="208"/>
      <c r="AU131" s="208"/>
      <c r="AV131" s="208"/>
      <c r="AW131" s="208"/>
      <c r="AX131" s="208"/>
      <c r="AY131" s="208"/>
      <c r="AZ131" s="208"/>
      <c r="BA131" s="208"/>
      <c r="BB131" s="208"/>
      <c r="BC131" s="208"/>
      <c r="BD131" s="208"/>
      <c r="BE131" s="208"/>
      <c r="BF131" s="208"/>
      <c r="BG131" s="208"/>
      <c r="BH131" s="208"/>
      <c r="BI131" s="208"/>
      <c r="BJ131" s="208"/>
      <c r="BK131" s="208"/>
      <c r="BL131" s="208"/>
      <c r="BM131" s="208"/>
      <c r="BN131" s="208"/>
      <c r="BO131" s="208"/>
      <c r="BP131" s="208"/>
      <c r="BQ131" s="208"/>
      <c r="BR131" s="208"/>
      <c r="BS131" s="208"/>
      <c r="BT131" s="208"/>
      <c r="BU131" s="208"/>
      <c r="BV131" s="208"/>
      <c r="BW131" s="208"/>
      <c r="BX131" s="208"/>
      <c r="BY131" s="208"/>
      <c r="BZ131" s="208"/>
      <c r="CA131" s="208"/>
      <c r="CB131" s="208"/>
      <c r="CC131" s="208"/>
      <c r="CD131" s="208"/>
      <c r="CE131" s="208"/>
      <c r="CF131" s="208"/>
      <c r="CG131" s="208"/>
      <c r="CH131" s="208"/>
      <c r="CI131" s="208"/>
      <c r="CJ131" s="208"/>
      <c r="CK131" s="208"/>
      <c r="CL131" s="208"/>
      <c r="CM131" s="208"/>
      <c r="CN131" s="208"/>
      <c r="CO131" s="208"/>
      <c r="CP131" s="208"/>
      <c r="CQ131" s="208"/>
      <c r="CR131" s="208"/>
      <c r="CS131" s="208"/>
      <c r="CT131" s="208"/>
      <c r="CU131" s="208"/>
      <c r="CV131" s="208"/>
      <c r="CW131" s="208"/>
      <c r="CX131" s="208"/>
      <c r="CY131" s="208"/>
      <c r="CZ131" s="208"/>
      <c r="DA131" s="208"/>
      <c r="DB131" s="208"/>
      <c r="DC131" s="208"/>
      <c r="DD131" s="208"/>
      <c r="DE131" s="208"/>
      <c r="DF131" s="208"/>
      <c r="DG131" s="208"/>
      <c r="DH131" s="208"/>
      <c r="DI131" s="208"/>
      <c r="DJ131" s="208"/>
      <c r="DK131" s="208"/>
      <c r="DL131" s="208"/>
      <c r="DM131" s="208"/>
      <c r="DN131" s="208"/>
      <c r="DO131" s="208"/>
      <c r="DP131" s="208"/>
      <c r="DQ131" s="208"/>
      <c r="DR131" s="208"/>
      <c r="DS131" s="208"/>
      <c r="DT131" s="208"/>
      <c r="DU131" s="208"/>
      <c r="DV131" s="208"/>
      <c r="DW131" s="208"/>
      <c r="DX131" s="208"/>
      <c r="DY131" s="208"/>
      <c r="DZ131" s="208"/>
      <c r="EA131" s="208"/>
      <c r="EB131" s="208"/>
      <c r="EC131" s="208"/>
      <c r="ED131" s="208"/>
      <c r="EE131" s="208"/>
      <c r="EF131" s="208"/>
      <c r="EG131" s="208"/>
      <c r="EH131" s="208"/>
      <c r="EI131" s="208"/>
      <c r="EJ131" s="208"/>
      <c r="EK131" s="208"/>
      <c r="EL131" s="208"/>
      <c r="EM131" s="208"/>
      <c r="EN131" s="208"/>
      <c r="EO131" s="208"/>
      <c r="EP131" s="208"/>
      <c r="EQ131" s="208"/>
      <c r="ER131" s="208"/>
      <c r="ES131" s="208"/>
      <c r="ET131" s="208"/>
      <c r="EU131" s="208"/>
      <c r="EV131" s="208"/>
      <c r="EW131" s="208"/>
      <c r="EX131" s="208"/>
      <c r="EY131" s="208"/>
      <c r="EZ131" s="208"/>
      <c r="FA131" s="208"/>
      <c r="FB131" s="208"/>
      <c r="FC131" s="208"/>
      <c r="FD131" s="208"/>
      <c r="FE131" s="208"/>
      <c r="FF131" s="208"/>
      <c r="FG131" s="208"/>
      <c r="FH131" s="208"/>
      <c r="FI131" s="208"/>
      <c r="FJ131" s="208"/>
      <c r="FK131" s="208"/>
      <c r="FL131" s="208"/>
      <c r="FM131" s="208"/>
      <c r="FN131" s="208"/>
      <c r="FO131" s="208"/>
      <c r="FP131" s="208"/>
      <c r="FQ131" s="152"/>
    </row>
    <row r="132" spans="1:173">
      <c r="A132" s="171" t="s">
        <v>471</v>
      </c>
      <c r="B132" s="734"/>
      <c r="C132" s="734"/>
      <c r="D132" s="734"/>
      <c r="E132" s="734"/>
      <c r="F132" s="734"/>
      <c r="G132" s="734"/>
      <c r="H132" s="734"/>
      <c r="I132" s="734"/>
      <c r="J132" s="734"/>
      <c r="K132" s="706"/>
      <c r="L132" s="209">
        <v>-2.4830000000000001</v>
      </c>
      <c r="M132" s="209">
        <v>-2.2330000000000001</v>
      </c>
      <c r="N132" s="209">
        <v>-5.2329999999999988</v>
      </c>
      <c r="O132" s="209">
        <v>-1.6490000000000009</v>
      </c>
      <c r="P132" s="735">
        <f>SUM(L132:O132)</f>
        <v>-11.597999999999999</v>
      </c>
      <c r="Q132" s="209">
        <v>-7.4509999999999996</v>
      </c>
      <c r="R132" s="209">
        <v>-7.6090000000000009</v>
      </c>
      <c r="S132" s="209">
        <v>-6.5339999999999998</v>
      </c>
      <c r="T132" s="209">
        <v>-14.734999999999999</v>
      </c>
      <c r="U132" s="735">
        <f>SUM(Q132:T132)</f>
        <v>-36.329000000000001</v>
      </c>
      <c r="V132" s="209">
        <v>-31.741</v>
      </c>
      <c r="W132" s="209">
        <f>-55.57-V132</f>
        <v>-23.829000000000001</v>
      </c>
      <c r="X132" s="209">
        <v>-21.245000000000001</v>
      </c>
      <c r="Y132" s="209">
        <f>-96.966-X132-W132-V132</f>
        <v>-20.150999999999989</v>
      </c>
      <c r="Z132" s="735">
        <f>SUM(V132:Y132)</f>
        <v>-96.96599999999998</v>
      </c>
      <c r="AA132" s="209">
        <v>-21.192</v>
      </c>
      <c r="AB132" s="209">
        <f>-45.123-AA132</f>
        <v>-23.930999999999997</v>
      </c>
      <c r="AC132" s="209">
        <f>-53.183-SUM(AA132:AB132)</f>
        <v>-8.0600000000000023</v>
      </c>
      <c r="AD132" s="209">
        <f>-63.123-AC132-AB132-AA132</f>
        <v>-9.9399999999999977</v>
      </c>
      <c r="AE132" s="735">
        <f>SUM(AA132:AD132)</f>
        <v>-63.122999999999998</v>
      </c>
      <c r="AF132" s="209">
        <v>-25.591999999999999</v>
      </c>
      <c r="AG132" s="208">
        <f>-91.863-AF132</f>
        <v>-66.271000000000001</v>
      </c>
      <c r="AH132" s="208">
        <f>-115.248-AG132-AF132</f>
        <v>-23.385000000000005</v>
      </c>
      <c r="AI132" s="208">
        <f>-127.604-SUM(AF132:AH132)</f>
        <v>-12.355999999999995</v>
      </c>
      <c r="AJ132" s="735">
        <f>SUM(AF132:AI132)</f>
        <v>-127.604</v>
      </c>
      <c r="AK132" s="208">
        <v>-18.599</v>
      </c>
      <c r="AL132" s="208">
        <f>-35.227-AK132</f>
        <v>-16.627999999999997</v>
      </c>
      <c r="AM132" s="208">
        <f>-49.284-SUM(AK132:AL132)</f>
        <v>-14.057000000000002</v>
      </c>
      <c r="AN132" s="208">
        <f>-67.261-SUM(AK132:AM132)</f>
        <v>-17.976999999999997</v>
      </c>
      <c r="AO132" s="735">
        <f>SUM(AK132:AN132)</f>
        <v>-67.260999999999996</v>
      </c>
      <c r="AP132" s="208">
        <v>-13.504</v>
      </c>
      <c r="AQ132" s="208">
        <f>-42.689-AP132</f>
        <v>-29.185000000000002</v>
      </c>
      <c r="AR132" s="208">
        <f>-56.155-SUM(AP132:AQ132)</f>
        <v>-13.466000000000001</v>
      </c>
      <c r="AS132" s="208">
        <f>-79.6-SUM(AP132:AR132)</f>
        <v>-23.444999999999993</v>
      </c>
      <c r="AT132" s="735">
        <f>SUM(AP132:AS132)</f>
        <v>-79.599999999999994</v>
      </c>
      <c r="AU132" s="208">
        <v>-20.667000000000002</v>
      </c>
      <c r="AV132" s="208">
        <f>-40.778-AU132</f>
        <v>-20.110999999999997</v>
      </c>
      <c r="AW132" s="208">
        <f>-69.564-SUM(AU132:AV132)</f>
        <v>-28.785999999999994</v>
      </c>
      <c r="AX132" s="208">
        <f>-145.256-SUM(AU132:AW132)</f>
        <v>-75.692000000000007</v>
      </c>
      <c r="AY132" s="735">
        <f>SUM(AU132:AX132)</f>
        <v>-145.256</v>
      </c>
      <c r="AZ132" s="208">
        <v>-37.627000000000002</v>
      </c>
      <c r="BA132" s="208">
        <f>-67.703-AZ132</f>
        <v>-30.076000000000001</v>
      </c>
      <c r="BB132" s="208">
        <f>-117.406-SUM(AZ132:BA132)</f>
        <v>-49.703000000000003</v>
      </c>
      <c r="BC132" s="208">
        <f>-187.745-SUM(AZ132:BB132)</f>
        <v>-70.338999999999999</v>
      </c>
      <c r="BD132" s="735">
        <f>SUM(AZ132:BC132)</f>
        <v>-187.745</v>
      </c>
      <c r="BE132" s="208">
        <v>-202.173</v>
      </c>
      <c r="BF132" s="208">
        <f>-255.687-SUM(BE132)</f>
        <v>-53.51400000000001</v>
      </c>
      <c r="BG132" s="208">
        <f>-364.695-BF132-BE132</f>
        <v>-109.00799999999998</v>
      </c>
      <c r="BH132" s="208">
        <f>-407.67-BG132-BF132-BE132</f>
        <v>-42.975000000000023</v>
      </c>
      <c r="BI132" s="735">
        <f>SUM(BE132:BH132)</f>
        <v>-407.67</v>
      </c>
      <c r="BJ132" s="208">
        <v>-20.777000000000001</v>
      </c>
      <c r="BK132" s="208">
        <f>-38.433-BJ132</f>
        <v>-17.655999999999999</v>
      </c>
      <c r="BL132" s="208">
        <v>-30</v>
      </c>
      <c r="BM132" s="208">
        <f>-77.601-BL132-BK132-BJ132</f>
        <v>-9.1679999999999993</v>
      </c>
      <c r="BN132" s="735">
        <f>SUM(BJ132:BM132)</f>
        <v>-77.600999999999999</v>
      </c>
      <c r="BO132" s="208">
        <v>-17.079999999999998</v>
      </c>
      <c r="BP132" s="208">
        <f>-54.724-BO132</f>
        <v>-37.643999999999998</v>
      </c>
      <c r="BQ132" s="208">
        <f>-76.547-BP132-BO132</f>
        <v>-21.823</v>
      </c>
      <c r="BR132" s="208">
        <f>-97.89-BQ132-BP132-BO132</f>
        <v>-21.343000000000011</v>
      </c>
      <c r="BS132" s="735">
        <f>SUM(BO132:BR132)</f>
        <v>-97.890000000000015</v>
      </c>
      <c r="BT132" s="208">
        <v>-31.195</v>
      </c>
      <c r="BU132" s="208">
        <f>-54.518-BT132</f>
        <v>-23.323</v>
      </c>
      <c r="BV132" s="208">
        <f>-93.553-BU132-BT132</f>
        <v>-39.034999999999989</v>
      </c>
      <c r="BW132" s="208">
        <f>-138.735-BV132-BU132-BT132</f>
        <v>-45.182000000000009</v>
      </c>
      <c r="BX132" s="735">
        <f>SUM(BT132:BW132)</f>
        <v>-138.73500000000001</v>
      </c>
      <c r="BY132" s="208">
        <v>-28.922999999999998</v>
      </c>
      <c r="BZ132" s="208">
        <f>-90.867-BY132</f>
        <v>-61.944000000000003</v>
      </c>
      <c r="CA132" s="208">
        <f>-135.551-BZ132-BY132</f>
        <v>-44.683999999999983</v>
      </c>
      <c r="CB132" s="208">
        <f>-183.309-CA132-BZ132-BY132</f>
        <v>-47.757999999999996</v>
      </c>
      <c r="CC132" s="735">
        <f>SUM(BY132:CB132)</f>
        <v>-183.30899999999997</v>
      </c>
      <c r="CD132" s="208">
        <v>-65.667000000000002</v>
      </c>
      <c r="CE132" s="208">
        <f>-150.653-CD132</f>
        <v>-84.98599999999999</v>
      </c>
      <c r="CF132" s="208">
        <f>-188.812-CE132-CD132</f>
        <v>-38.15900000000002</v>
      </c>
      <c r="CG132" s="208">
        <f>-255.186-CF132-CE132-CD132</f>
        <v>-66.373999999999995</v>
      </c>
      <c r="CH132" s="735">
        <f>SUM(CD132:CG132)</f>
        <v>-255.18600000000001</v>
      </c>
      <c r="CI132" s="208">
        <v>-29.068000000000001</v>
      </c>
      <c r="CJ132" s="208">
        <f>-51.595-CI132</f>
        <v>-22.526999999999997</v>
      </c>
      <c r="CK132" s="208">
        <f>-91.336-CJ132-CI132</f>
        <v>-39.741</v>
      </c>
      <c r="CL132" s="208">
        <f>-122.381-CK132-CJ132-CI132</f>
        <v>-31.044999999999998</v>
      </c>
      <c r="CM132" s="735">
        <f>SUM(CI132:CL132)</f>
        <v>-122.381</v>
      </c>
      <c r="CN132" s="208">
        <v>-30</v>
      </c>
      <c r="CO132" s="208">
        <f>-54-CN132</f>
        <v>-24</v>
      </c>
      <c r="CP132" s="208">
        <f>-71-CO132-CN132</f>
        <v>-17</v>
      </c>
      <c r="CQ132" s="208">
        <f>-86-CP132-CO132-CN132</f>
        <v>-15</v>
      </c>
      <c r="CR132" s="735">
        <f>SUM(CN132:CQ132)</f>
        <v>-86</v>
      </c>
      <c r="CS132" s="208">
        <v>-55</v>
      </c>
      <c r="CT132" s="208">
        <f>-87-CS132</f>
        <v>-32</v>
      </c>
      <c r="CU132" s="208">
        <f>-125-CT132-CS132</f>
        <v>-38</v>
      </c>
      <c r="CV132" s="208">
        <f>-176-CU132-CT132-CS132</f>
        <v>-51</v>
      </c>
      <c r="CW132" s="735">
        <f>SUM(CS132:CV132)</f>
        <v>-176</v>
      </c>
      <c r="CX132" s="208">
        <v>-54</v>
      </c>
      <c r="CY132" s="208">
        <f>-108-CX132</f>
        <v>-54</v>
      </c>
      <c r="CZ132" s="208">
        <f>-177-CY132-CX132</f>
        <v>-69</v>
      </c>
      <c r="DA132" s="208">
        <v>-416</v>
      </c>
      <c r="DB132" s="735">
        <f>SUM(CX132:DA132)</f>
        <v>-593</v>
      </c>
      <c r="DC132" s="208">
        <v>-118</v>
      </c>
      <c r="DD132" s="208">
        <f>-247-DC132</f>
        <v>-129</v>
      </c>
      <c r="DE132" s="208">
        <f>-397-DD132-DC132</f>
        <v>-150</v>
      </c>
      <c r="DF132" s="208">
        <f>-600-DE132-DD132-DC132</f>
        <v>-203</v>
      </c>
      <c r="DG132" s="735">
        <f>SUM(DC132:DF132)</f>
        <v>-600</v>
      </c>
      <c r="DH132" s="208">
        <v>-128</v>
      </c>
      <c r="DI132" s="208">
        <f>-241-DH132</f>
        <v>-113</v>
      </c>
      <c r="DJ132" s="208">
        <f>+-344-DI132-DH132</f>
        <v>-103</v>
      </c>
      <c r="DK132" s="208">
        <v>-144</v>
      </c>
      <c r="DL132" s="735">
        <f>SUM(DH132:DK132)</f>
        <v>-488</v>
      </c>
      <c r="DM132" s="208">
        <v>-34</v>
      </c>
      <c r="DN132" s="208">
        <v>-217</v>
      </c>
      <c r="DO132" s="208">
        <v>-473</v>
      </c>
      <c r="DP132" s="208">
        <f>-283</f>
        <v>-283</v>
      </c>
      <c r="DQ132" s="735">
        <f>SUM(DM132:DP132)</f>
        <v>-1007</v>
      </c>
      <c r="DR132" s="208">
        <v>-298</v>
      </c>
      <c r="DS132" s="208">
        <v>-183</v>
      </c>
      <c r="DT132" s="208">
        <v>-221</v>
      </c>
      <c r="DU132" s="208">
        <v>-273</v>
      </c>
      <c r="DV132" s="735">
        <f>SUM(DR132:DU132)</f>
        <v>-975</v>
      </c>
      <c r="DW132" s="208">
        <v>-361</v>
      </c>
      <c r="DX132" s="208">
        <v>-433</v>
      </c>
      <c r="DY132" s="208">
        <v>-530</v>
      </c>
      <c r="DZ132" s="208">
        <v>-509</v>
      </c>
      <c r="EA132" s="735">
        <f>SUM(DW132:DZ132)</f>
        <v>-1833</v>
      </c>
      <c r="EB132" s="208">
        <v>-248</v>
      </c>
      <c r="EC132" s="208">
        <v>-289</v>
      </c>
      <c r="ED132" s="208">
        <v>-278</v>
      </c>
      <c r="EE132" s="208">
        <v>-253</v>
      </c>
      <c r="EF132" s="735">
        <f>SUM(EB132:EE132)</f>
        <v>-1068</v>
      </c>
      <c r="EG132" s="208">
        <v>-369</v>
      </c>
      <c r="EH132" s="208">
        <v>-977</v>
      </c>
      <c r="EI132" s="208">
        <v>-813</v>
      </c>
      <c r="EJ132" s="208">
        <v>-1077</v>
      </c>
      <c r="EK132" s="735">
        <f>SUM(EG132:EJ132)</f>
        <v>-3236</v>
      </c>
      <c r="EL132" s="208">
        <v>-1227</v>
      </c>
      <c r="EM132" s="208">
        <v>-1894</v>
      </c>
      <c r="EN132" s="208">
        <v>-1637</v>
      </c>
      <c r="EO132" s="208">
        <v>-1284</v>
      </c>
      <c r="EP132" s="735">
        <f>SUM(EL132:EO132)</f>
        <v>-6042</v>
      </c>
      <c r="EQ132" s="208">
        <v>-1757</v>
      </c>
      <c r="ER132" s="736">
        <v>-2000</v>
      </c>
      <c r="ES132" s="736">
        <f>ER132</f>
        <v>-2000</v>
      </c>
      <c r="ET132" s="736">
        <f>ES132</f>
        <v>-2000</v>
      </c>
      <c r="EU132" s="735">
        <f>SUM(EQ132:ET132)</f>
        <v>-7757</v>
      </c>
      <c r="EV132" s="736">
        <v>-3000</v>
      </c>
      <c r="EW132" s="736">
        <f t="shared" ref="EW132:EY133" si="178">EV132</f>
        <v>-3000</v>
      </c>
      <c r="EX132" s="736">
        <f t="shared" si="178"/>
        <v>-3000</v>
      </c>
      <c r="EY132" s="736">
        <f t="shared" si="178"/>
        <v>-3000</v>
      </c>
      <c r="EZ132" s="735">
        <f>SUM(EV132:EY132)</f>
        <v>-12000</v>
      </c>
      <c r="FA132" s="736">
        <v>-3000</v>
      </c>
      <c r="FB132" s="736">
        <f t="shared" ref="FB132:FD133" si="179">FA132</f>
        <v>-3000</v>
      </c>
      <c r="FC132" s="736">
        <f t="shared" si="179"/>
        <v>-3000</v>
      </c>
      <c r="FD132" s="736">
        <f t="shared" si="179"/>
        <v>-3000</v>
      </c>
      <c r="FE132" s="735">
        <f>SUM(FA132:FD132)</f>
        <v>-12000</v>
      </c>
      <c r="FF132" s="736">
        <v>-3000</v>
      </c>
      <c r="FG132" s="736">
        <f t="shared" ref="FG132:FI133" si="180">FF132</f>
        <v>-3000</v>
      </c>
      <c r="FH132" s="736">
        <f t="shared" si="180"/>
        <v>-3000</v>
      </c>
      <c r="FI132" s="736">
        <f t="shared" si="180"/>
        <v>-3000</v>
      </c>
      <c r="FJ132" s="735">
        <f>SUM(FF132:FI132)</f>
        <v>-12000</v>
      </c>
      <c r="FK132" s="736">
        <v>-3000</v>
      </c>
      <c r="FL132" s="736">
        <f t="shared" ref="FL132:FN133" si="181">FK132</f>
        <v>-3000</v>
      </c>
      <c r="FM132" s="736">
        <f t="shared" si="181"/>
        <v>-3000</v>
      </c>
      <c r="FN132" s="736">
        <f t="shared" si="181"/>
        <v>-3000</v>
      </c>
      <c r="FO132" s="735">
        <f>SUM(FK132:FN132)</f>
        <v>-12000</v>
      </c>
      <c r="FP132" s="735"/>
      <c r="FQ132" s="152"/>
    </row>
    <row r="133" spans="1:173">
      <c r="A133" s="171" t="s">
        <v>472</v>
      </c>
      <c r="B133" s="734"/>
      <c r="C133" s="734"/>
      <c r="D133" s="734"/>
      <c r="E133" s="734"/>
      <c r="F133" s="734"/>
      <c r="G133" s="734"/>
      <c r="H133" s="734"/>
      <c r="I133" s="734"/>
      <c r="J133" s="734"/>
      <c r="K133" s="706"/>
      <c r="L133" s="209"/>
      <c r="M133" s="209"/>
      <c r="N133" s="209"/>
      <c r="O133" s="209"/>
      <c r="P133" s="735">
        <f>SUM(L133:O133)</f>
        <v>0</v>
      </c>
      <c r="Q133" s="209"/>
      <c r="R133" s="209"/>
      <c r="S133" s="209"/>
      <c r="T133" s="209">
        <v>-24.5</v>
      </c>
      <c r="U133" s="735">
        <f>SUM(Q133:T133)</f>
        <v>-24.5</v>
      </c>
      <c r="V133" s="209">
        <f>-63.61-3.55</f>
        <v>-67.16</v>
      </c>
      <c r="W133" s="209">
        <f>-64.109-3.55-V133</f>
        <v>-0.49899999999999523</v>
      </c>
      <c r="X133" s="209">
        <f>-316.812-64.109+17.45-W133-V133</f>
        <v>-295.81200000000001</v>
      </c>
      <c r="Y133" s="209">
        <f>-472.917+15.32-64.109+17.5-X133-W133-V133</f>
        <v>-140.73500000000001</v>
      </c>
      <c r="Z133" s="735">
        <f>SUM(V133:Y133)</f>
        <v>-504.20600000000002</v>
      </c>
      <c r="AA133" s="209">
        <f>-113.638+50.075-3.98</f>
        <v>-67.543000000000006</v>
      </c>
      <c r="AB133" s="209">
        <f>-267.546+149.986-3.901+7-AA133</f>
        <v>-46.917999999999992</v>
      </c>
      <c r="AC133" s="209">
        <f>-399.509+271.751-3.901+7-AB133-AA133</f>
        <v>-10.19800000000005</v>
      </c>
      <c r="AD133" s="209">
        <f>-639.5+422.2-3.901+7-AC133-AB133-AA133</f>
        <v>-89.541999999999973</v>
      </c>
      <c r="AE133" s="735">
        <f>SUM(AA133:AD133)</f>
        <v>-214.20100000000002</v>
      </c>
      <c r="AF133" s="209">
        <f>185.786-275.252</f>
        <v>-89.466000000000008</v>
      </c>
      <c r="AG133" s="208">
        <f>-456.921+399.765-AF133</f>
        <v>32.31</v>
      </c>
      <c r="AH133" s="208">
        <f>-640.209+935.697-71.303-AG133-AF133</f>
        <v>281.34100000000007</v>
      </c>
      <c r="AI133" s="208">
        <f>-734.642+1021.59-71.303-SUM(AF133:AH133)</f>
        <v>-8.5400000000000773</v>
      </c>
      <c r="AJ133" s="735">
        <f>SUM(AF133:AI133)</f>
        <v>215.64499999999998</v>
      </c>
      <c r="AK133" s="208">
        <f>-149.68+75.348</f>
        <v>-74.332000000000008</v>
      </c>
      <c r="AL133" s="208">
        <f>-170.132+121.967-AK133</f>
        <v>26.167000000000002</v>
      </c>
      <c r="AM133" s="208">
        <f>-222.783+178.635-SUM(AK133:AL133)</f>
        <v>4.0170000000000101</v>
      </c>
      <c r="AN133" s="208">
        <f>-313.76+229.068-SUM(AK133:AM133)</f>
        <v>-40.543999999999983</v>
      </c>
      <c r="AO133" s="735">
        <f>SUM(AK133:AN133)</f>
        <v>-84.691999999999979</v>
      </c>
      <c r="AP133" s="208">
        <f>65.304-56.411</f>
        <v>8.8930000000000007</v>
      </c>
      <c r="AQ133" s="208">
        <f>-133.214+115.614-AP133</f>
        <v>-26.492999999999995</v>
      </c>
      <c r="AR133" s="208">
        <f>-182.531+217.286-9.684-SUM(AP133:AQ133)</f>
        <v>42.670999999999992</v>
      </c>
      <c r="AS133" s="208">
        <f>-338.058+397.686-12.131-9.684-SUM(AP133:AR133)</f>
        <v>12.74199999999999</v>
      </c>
      <c r="AT133" s="735">
        <f>SUM(AP133:AS133)</f>
        <v>37.812999999999988</v>
      </c>
      <c r="AU133" s="208">
        <f>-92.344+22.523-67.026</f>
        <v>-136.84699999999998</v>
      </c>
      <c r="AV133" s="208">
        <f>-159.034+94.293-67.026-AU133</f>
        <v>5.0799999999999841</v>
      </c>
      <c r="AW133" s="208">
        <f>-179.05+146.745-67.037-0.008-SUM(AU133:AV133)</f>
        <v>32.416999999999987</v>
      </c>
      <c r="AX133" s="208">
        <f>-220.834+227.067-401.8-SUM(AU133:AW133)</f>
        <v>-296.21699999999998</v>
      </c>
      <c r="AY133" s="735">
        <f>SUM(AU133:AX133)</f>
        <v>-395.56700000000001</v>
      </c>
      <c r="AZ133" s="208">
        <f>-268.211+214.775</f>
        <v>-53.436000000000007</v>
      </c>
      <c r="BA133" s="208">
        <f>-455.909+374.661-AZ133</f>
        <v>-27.811999999999983</v>
      </c>
      <c r="BB133" s="208">
        <f>-739.706+521.712-SUM(AZ133:BA133)</f>
        <v>-136.74600000000004</v>
      </c>
      <c r="BC133" s="208">
        <f>-1250.248+753.839-75.542-1.622-SUM(AZ133:BB133)</f>
        <v>-355.57899999999995</v>
      </c>
      <c r="BD133" s="735">
        <f>SUM(AZ133:BC133)</f>
        <v>-573.57299999999998</v>
      </c>
      <c r="BE133" s="208">
        <f>-289.649+545.803-27.948-1.5</f>
        <v>226.70599999999999</v>
      </c>
      <c r="BF133" s="208">
        <f>810.508-678.704-27.948+3.218-1.5-SUM(BE133)</f>
        <v>-121.13199999999991</v>
      </c>
      <c r="BG133" s="208">
        <f>1131.147-917.987-27.948+1.468-BF133-BE133</f>
        <v>81.105999999999852</v>
      </c>
      <c r="BH133" s="208">
        <f>1226.646-999.953-27.948-0.442-BG133-BF133-BE133</f>
        <v>11.623000000000019</v>
      </c>
      <c r="BI133" s="735">
        <f>SUM(BE133:BH133)</f>
        <v>198.30299999999997</v>
      </c>
      <c r="BJ133" s="208">
        <f>226.96-215.088</f>
        <v>11.872000000000014</v>
      </c>
      <c r="BK133" s="208">
        <f>-530.11+427.699+0.782-BJ133</f>
        <v>-113.50100000000002</v>
      </c>
      <c r="BL133" s="208">
        <v>0</v>
      </c>
      <c r="BM133" s="208">
        <f>-1193.948+752.434-0.218-BL133-BK133-BJ133</f>
        <v>-340.10300000000012</v>
      </c>
      <c r="BN133" s="735">
        <f>SUM(BJ133:BM133)</f>
        <v>-441.73200000000014</v>
      </c>
      <c r="BO133" s="208">
        <f>-226.963+186.701</f>
        <v>-40.262</v>
      </c>
      <c r="BP133" s="208">
        <f>-755.626+635.432-1.525-BO133</f>
        <v>-81.456999999999965</v>
      </c>
      <c r="BQ133" s="208">
        <f>-1193.323+931.099-76.547-BP133-BO133</f>
        <v>-217.05200000000008</v>
      </c>
      <c r="BR133" s="208">
        <f>-1719.7+1170.075-2.163-BQ133-BP133-BO133</f>
        <v>-213.01699999999997</v>
      </c>
      <c r="BS133" s="735">
        <f>SUM(BO133:BR133)</f>
        <v>-551.78800000000001</v>
      </c>
      <c r="BT133" s="208">
        <f>-0.383+206.946-427.874</f>
        <v>-221.31100000000004</v>
      </c>
      <c r="BU133" s="208">
        <f>-711.674+591.242-348.884-1.89-BT133</f>
        <v>-249.89499999999998</v>
      </c>
      <c r="BV133" s="208">
        <f>-1324.35+953.808-348.884-1.89-BU133-BT133</f>
        <v>-250.1099999999999</v>
      </c>
      <c r="BW133" s="208">
        <f>1310.743-1964.898-348.884-1.59-BV133-BU133-BT133</f>
        <v>-283.3130000000001</v>
      </c>
      <c r="BX133" s="735">
        <f>SUM(BT133:BW133)</f>
        <v>-1004.629</v>
      </c>
      <c r="BY133" s="208">
        <f>-814.222+507.875+0.216</f>
        <v>-306.13099999999997</v>
      </c>
      <c r="BZ133" s="208">
        <f>-1247.664+918.856-BY133-0.082</f>
        <v>-22.759000000000022</v>
      </c>
      <c r="CA133" s="208">
        <f>-1729.307+1262.167+0.135-BZ133-BY133</f>
        <v>-138.11500000000012</v>
      </c>
      <c r="CB133" s="208">
        <f>-2378.445+1817.41+0.352-CA133-BZ133-BY133</f>
        <v>-93.677999999999997</v>
      </c>
      <c r="CC133" s="735">
        <f>SUM(BY133:CB133)</f>
        <v>-560.68300000000011</v>
      </c>
      <c r="CD133" s="208">
        <f>-541.95+378.281-1.45</f>
        <v>-165.11900000000003</v>
      </c>
      <c r="CE133" s="208">
        <f>481.032+315.772</f>
        <v>796.80399999999997</v>
      </c>
      <c r="CF133" s="208">
        <f>293.659-442.873</f>
        <v>-149.214</v>
      </c>
      <c r="CG133" s="208">
        <f>-3065.404+1926.817+24.781-17.145-4.95-CF133-CE133-CD133+585.15</f>
        <v>-1033.2219999999998</v>
      </c>
      <c r="CH133" s="735">
        <f>SUM(CD133:CG133)</f>
        <v>-550.75099999999975</v>
      </c>
      <c r="CI133" s="208">
        <f>-1001.073+544.878+134.079+20.862</f>
        <v>-301.25399999999991</v>
      </c>
      <c r="CJ133" s="208">
        <f>-1682.854+869.087+451.474+20.862-0.25-CI133</f>
        <v>-40.427000000000135</v>
      </c>
      <c r="CK133" s="208">
        <f>-2126.079+1100.014+688.168+20.862-0.5-CJ133-CI133</f>
        <v>24.145999999999788</v>
      </c>
      <c r="CL133" s="208">
        <f>1371.982-2861.809+864.798+20.862-0.5-CK133-CJ133-CI133</f>
        <v>-287.13200000000006</v>
      </c>
      <c r="CM133" s="735">
        <f>SUM(CI133:CL133)</f>
        <v>-604.66700000000037</v>
      </c>
      <c r="CN133" s="208">
        <f>-1267+825+238-1</f>
        <v>-205</v>
      </c>
      <c r="CO133" s="208">
        <f>-1861+1415+487+2+24-1-CN133</f>
        <v>271</v>
      </c>
      <c r="CP133" s="208">
        <f>-2669+1651+872+7+24-1-CO133-CN133</f>
        <v>-182</v>
      </c>
      <c r="CQ133" s="208">
        <f>-3477+2102+1036+7+24-6-CP133-CO133-CN133</f>
        <v>-198</v>
      </c>
      <c r="CR133" s="735">
        <f>SUM(CN133:CQ133)</f>
        <v>-314</v>
      </c>
      <c r="CS133" s="208">
        <f>529+175-469-4</f>
        <v>231</v>
      </c>
      <c r="CT133" s="208">
        <f>901+506+6-1415-4-CS133</f>
        <v>-237</v>
      </c>
      <c r="CU133" s="208">
        <f>1239+712+6-2249-3-CT133-CS133</f>
        <v>-289</v>
      </c>
      <c r="CV133" s="208">
        <f>1546+969+7-3134-5-CU133-CT133-CS133</f>
        <v>-322</v>
      </c>
      <c r="CW133" s="735">
        <f>SUM(CS133:CV133)</f>
        <v>-617</v>
      </c>
      <c r="CX133" s="208">
        <f>649+200-36-5</f>
        <v>808</v>
      </c>
      <c r="CY133" s="208">
        <f>726+450+-36-16-CX133</f>
        <v>316</v>
      </c>
      <c r="CZ133" s="208">
        <f>802+739-36-26-CY133-CX133</f>
        <v>355</v>
      </c>
      <c r="DA133" s="208">
        <f>863+1078+2-36-36-CZ133-CY133-CX133</f>
        <v>392</v>
      </c>
      <c r="DB133" s="735">
        <f>SUM(CX133:DA133)</f>
        <v>1871</v>
      </c>
      <c r="DC133" s="208">
        <f>239+33-3705</f>
        <v>-3433</v>
      </c>
      <c r="DD133" s="208">
        <f>2957+77-7136-7-DC133</f>
        <v>-676</v>
      </c>
      <c r="DE133" s="208">
        <f>6267+114-10112-9-DD133-DC133</f>
        <v>369</v>
      </c>
      <c r="DF133" s="208">
        <f>7232+428-11148-9-DE133-DD133-DC133</f>
        <v>243</v>
      </c>
      <c r="DG133" s="735">
        <f>SUM(DC133:DF133)</f>
        <v>-3497</v>
      </c>
      <c r="DH133" s="208">
        <f>2219+26-622</f>
        <v>1623</v>
      </c>
      <c r="DI133" s="208">
        <f>3592+3152-1461-2-DH133</f>
        <v>3658</v>
      </c>
      <c r="DJ133" s="208">
        <f>4744+3363-1461-6-DI133-DH133</f>
        <v>1359</v>
      </c>
      <c r="DK133" s="208">
        <f>2-9-2.654</f>
        <v>-9.6539999999999999</v>
      </c>
      <c r="DL133" s="735">
        <f>SUM(DH133:DK133)</f>
        <v>6630.3459999999995</v>
      </c>
      <c r="DM133" s="208">
        <f>1-861-155-6</f>
        <v>-1021</v>
      </c>
      <c r="DN133" s="208">
        <f>1032+258-7425-7137</f>
        <v>-13272</v>
      </c>
      <c r="DO133" s="208">
        <f>4133+243-4554-1353+3</f>
        <v>-1528</v>
      </c>
      <c r="DP133" s="208">
        <f>3627+25-6468-30</f>
        <v>-2846</v>
      </c>
      <c r="DQ133" s="735">
        <f>SUM(DM133:DP133)</f>
        <v>-18667</v>
      </c>
      <c r="DR133" s="208">
        <f>3140+358-4470-2</f>
        <v>-974</v>
      </c>
      <c r="DS133" s="208">
        <f>2096+347-4798+5</f>
        <v>-2350</v>
      </c>
      <c r="DT133" s="208">
        <f>2545+211-6752-203-18</f>
        <v>-4217</v>
      </c>
      <c r="DU133" s="208">
        <f>7417+107-8767-60-11</f>
        <v>-1314</v>
      </c>
      <c r="DV133" s="735">
        <f>SUM(DR133:DU133)</f>
        <v>-8855</v>
      </c>
      <c r="DW133" s="208">
        <f>5947+1029-3932-36-35</f>
        <v>2973</v>
      </c>
      <c r="DX133" s="208">
        <f>5036+702-3644-13-30</f>
        <v>2051</v>
      </c>
      <c r="DY133" s="208">
        <f>5809+75-2188-18</f>
        <v>3678</v>
      </c>
      <c r="DZ133" s="208">
        <f>2633-2133+5</f>
        <v>505</v>
      </c>
      <c r="EA133" s="735">
        <f>SUM(DW133:DZ133)</f>
        <v>9207</v>
      </c>
      <c r="EB133" s="208">
        <f>2512-2801-83-221</f>
        <v>-593</v>
      </c>
      <c r="EC133" s="208">
        <f>2598-2542-214</f>
        <v>-158</v>
      </c>
      <c r="ED133" s="208">
        <f>2891-5345-437</f>
        <v>-2891</v>
      </c>
      <c r="EE133" s="208">
        <f>1731+50-7524-113</f>
        <v>-5856</v>
      </c>
      <c r="EF133" s="735">
        <f>SUM(EB133:EE133)</f>
        <v>-9498</v>
      </c>
      <c r="EG133" s="208">
        <f>4004+149-9303-39-135</f>
        <v>-5324</v>
      </c>
      <c r="EH133" s="208">
        <f>4094+15-5744-279-344+50</f>
        <v>-2208</v>
      </c>
      <c r="EI133" s="208">
        <f>1386+154-4518-147-473+66</f>
        <v>-3532</v>
      </c>
      <c r="EJ133" s="208">
        <f>1710+177-7010-478-542+22</f>
        <v>-6121</v>
      </c>
      <c r="EK133" s="735">
        <f>SUM(EG133:EJ133)</f>
        <v>-17185</v>
      </c>
      <c r="EL133" s="208">
        <f>3122+467-6546-649-383</f>
        <v>-3989</v>
      </c>
      <c r="EM133" s="208">
        <f>3130+20+70-7812-346-294</f>
        <v>-5232</v>
      </c>
      <c r="EN133" s="208">
        <f>2728+2-5718-3706-694</f>
        <v>-7388</v>
      </c>
      <c r="EO133" s="208">
        <f>14670+2246+12-20540-12800-13000-165</f>
        <v>-29577</v>
      </c>
      <c r="EP133" s="735">
        <f>SUM(EL133:EO133)</f>
        <v>-46186</v>
      </c>
      <c r="EQ133" s="208">
        <f>1946+26+25-18582-8000-87</f>
        <v>-24672</v>
      </c>
      <c r="ER133" s="736">
        <v>-10000</v>
      </c>
      <c r="ES133" s="736">
        <v>-10000</v>
      </c>
      <c r="ET133" s="736">
        <v>-10000</v>
      </c>
      <c r="EU133" s="735">
        <f>SUM(EQ133:ET133)</f>
        <v>-54672</v>
      </c>
      <c r="EV133" s="736">
        <v>-15000</v>
      </c>
      <c r="EW133" s="736">
        <f t="shared" si="178"/>
        <v>-15000</v>
      </c>
      <c r="EX133" s="736">
        <f t="shared" si="178"/>
        <v>-15000</v>
      </c>
      <c r="EY133" s="736">
        <f t="shared" si="178"/>
        <v>-15000</v>
      </c>
      <c r="EZ133" s="735">
        <f>SUM(EV133:EY133)</f>
        <v>-60000</v>
      </c>
      <c r="FA133" s="736">
        <v>-17000</v>
      </c>
      <c r="FB133" s="736">
        <f t="shared" si="179"/>
        <v>-17000</v>
      </c>
      <c r="FC133" s="736">
        <f t="shared" si="179"/>
        <v>-17000</v>
      </c>
      <c r="FD133" s="736">
        <f t="shared" si="179"/>
        <v>-17000</v>
      </c>
      <c r="FE133" s="735">
        <f>SUM(FA133:FD133)</f>
        <v>-68000</v>
      </c>
      <c r="FF133" s="736">
        <v>-20000</v>
      </c>
      <c r="FG133" s="736">
        <f t="shared" si="180"/>
        <v>-20000</v>
      </c>
      <c r="FH133" s="736">
        <f t="shared" si="180"/>
        <v>-20000</v>
      </c>
      <c r="FI133" s="736">
        <f t="shared" si="180"/>
        <v>-20000</v>
      </c>
      <c r="FJ133" s="735">
        <f>SUM(FF133:FI133)</f>
        <v>-80000</v>
      </c>
      <c r="FK133" s="736">
        <v>-22500</v>
      </c>
      <c r="FL133" s="736">
        <f t="shared" si="181"/>
        <v>-22500</v>
      </c>
      <c r="FM133" s="736">
        <f t="shared" si="181"/>
        <v>-22500</v>
      </c>
      <c r="FN133" s="736">
        <f t="shared" si="181"/>
        <v>-22500</v>
      </c>
      <c r="FO133" s="735">
        <f>SUM(FK133:FN133)</f>
        <v>-90000</v>
      </c>
      <c r="FP133" s="735"/>
      <c r="FQ133" s="152"/>
    </row>
    <row r="134" spans="1:173" s="169" customFormat="1">
      <c r="A134" s="171" t="s">
        <v>473</v>
      </c>
      <c r="B134" s="737"/>
      <c r="C134" s="741"/>
      <c r="D134" s="741"/>
      <c r="E134" s="741"/>
      <c r="F134" s="741"/>
      <c r="G134" s="737"/>
      <c r="H134" s="737"/>
      <c r="I134" s="737"/>
      <c r="J134" s="737"/>
      <c r="K134" s="738"/>
      <c r="L134" s="739">
        <f>SUM(L132:L133)</f>
        <v>-2.4830000000000001</v>
      </c>
      <c r="M134" s="739">
        <f>SUM(M132:M133)</f>
        <v>-2.2330000000000001</v>
      </c>
      <c r="N134" s="739">
        <f>SUM(N132:N133)</f>
        <v>-5.2329999999999988</v>
      </c>
      <c r="O134" s="739">
        <f>SUM(O132:O133)</f>
        <v>-1.6490000000000009</v>
      </c>
      <c r="P134" s="739">
        <f>SUM(L134:O134)</f>
        <v>-11.597999999999999</v>
      </c>
      <c r="Q134" s="739">
        <f>SUM(Q132:Q133)</f>
        <v>-7.4509999999999996</v>
      </c>
      <c r="R134" s="739">
        <f>SUM(R132:R133)</f>
        <v>-7.6090000000000009</v>
      </c>
      <c r="S134" s="739">
        <f>SUM(S132:S133)</f>
        <v>-6.5339999999999998</v>
      </c>
      <c r="T134" s="739">
        <f>SUM(T132:T133)</f>
        <v>-39.234999999999999</v>
      </c>
      <c r="U134" s="739">
        <f>SUM(Q134:T134)</f>
        <v>-60.829000000000001</v>
      </c>
      <c r="V134" s="739">
        <f>SUM(V132:V133)</f>
        <v>-98.900999999999996</v>
      </c>
      <c r="W134" s="739">
        <f>SUM(W132:W133)</f>
        <v>-24.327999999999996</v>
      </c>
      <c r="X134" s="739">
        <f>SUM(X132:X133)</f>
        <v>-317.05700000000002</v>
      </c>
      <c r="Y134" s="739">
        <f>SUM(Y132:Y133)</f>
        <v>-160.886</v>
      </c>
      <c r="Z134" s="739">
        <f>SUM(V134:Y134)</f>
        <v>-601.17200000000003</v>
      </c>
      <c r="AA134" s="739">
        <f>SUM(AA132:AA133)</f>
        <v>-88.735000000000014</v>
      </c>
      <c r="AB134" s="739">
        <f>SUM(AB132:AB133)</f>
        <v>-70.84899999999999</v>
      </c>
      <c r="AC134" s="739">
        <f>SUM(AC132:AC133)</f>
        <v>-18.258000000000052</v>
      </c>
      <c r="AD134" s="739">
        <f>SUM(AD132:AD133)</f>
        <v>-99.481999999999971</v>
      </c>
      <c r="AE134" s="739">
        <f>SUM(AA134:AD134)</f>
        <v>-277.32400000000001</v>
      </c>
      <c r="AF134" s="739">
        <f>SUM(AF132:AF133)</f>
        <v>-115.05800000000001</v>
      </c>
      <c r="AG134" s="739">
        <f>SUM(AG132:AG133)</f>
        <v>-33.960999999999999</v>
      </c>
      <c r="AH134" s="739">
        <f>SUM(AH132:AH133)</f>
        <v>257.95600000000007</v>
      </c>
      <c r="AI134" s="739">
        <f>SUM(AI132:AI133)</f>
        <v>-20.896000000000072</v>
      </c>
      <c r="AJ134" s="739">
        <f>SUM(AF134:AI134)</f>
        <v>88.040999999999997</v>
      </c>
      <c r="AK134" s="739">
        <f>SUM(AK132:AK133)</f>
        <v>-92.931000000000012</v>
      </c>
      <c r="AL134" s="739">
        <f>SUM(AL132:AL133)</f>
        <v>9.539000000000005</v>
      </c>
      <c r="AM134" s="739">
        <f>SUM(AM132:AM133)</f>
        <v>-10.039999999999992</v>
      </c>
      <c r="AN134" s="739">
        <f>SUM(AN132:AN133)</f>
        <v>-58.520999999999979</v>
      </c>
      <c r="AO134" s="739">
        <f>SUM(AK134:AN134)</f>
        <v>-151.95299999999997</v>
      </c>
      <c r="AP134" s="739">
        <f>SUM(AP132:AP133)</f>
        <v>-4.6109999999999989</v>
      </c>
      <c r="AQ134" s="739">
        <f>SUM(AQ132:AQ133)</f>
        <v>-55.677999999999997</v>
      </c>
      <c r="AR134" s="739">
        <f>SUM(AR132:AR133)</f>
        <v>29.204999999999991</v>
      </c>
      <c r="AS134" s="739">
        <f>SUM(AS132:AS133)</f>
        <v>-10.703000000000003</v>
      </c>
      <c r="AT134" s="739">
        <f>SUM(AP134:AS134)</f>
        <v>-41.787000000000006</v>
      </c>
      <c r="AU134" s="739">
        <f>SUM(AU132:AU133)</f>
        <v>-157.51399999999998</v>
      </c>
      <c r="AV134" s="739">
        <f>SUM(AV132:AV133)</f>
        <v>-15.031000000000013</v>
      </c>
      <c r="AW134" s="739">
        <f>SUM(AW132:AW133)</f>
        <v>3.6309999999999931</v>
      </c>
      <c r="AX134" s="739">
        <f>SUM(AX132:AX133)</f>
        <v>-371.90899999999999</v>
      </c>
      <c r="AY134" s="739">
        <f>SUM(AU134:AX134)</f>
        <v>-540.82299999999998</v>
      </c>
      <c r="AZ134" s="739">
        <f>SUM(AZ132:AZ133)</f>
        <v>-91.063000000000017</v>
      </c>
      <c r="BA134" s="739">
        <f>SUM(BA132:BA133)</f>
        <v>-57.887999999999984</v>
      </c>
      <c r="BB134" s="739">
        <f>SUM(BB132:BB133)</f>
        <v>-186.44900000000004</v>
      </c>
      <c r="BC134" s="739">
        <f>SUM(BC132:BC133)</f>
        <v>-425.91799999999995</v>
      </c>
      <c r="BD134" s="739">
        <f>SUM(AZ134:BC134)</f>
        <v>-761.31799999999998</v>
      </c>
      <c r="BE134" s="739">
        <f>SUM(BE132:BE133)</f>
        <v>24.532999999999987</v>
      </c>
      <c r="BF134" s="739">
        <f>SUM(BF132:BF133)</f>
        <v>-174.6459999999999</v>
      </c>
      <c r="BG134" s="739">
        <f>SUM(BG132:BG133)</f>
        <v>-27.902000000000129</v>
      </c>
      <c r="BH134" s="739">
        <f>SUM(BH132:BH133)</f>
        <v>-31.352000000000004</v>
      </c>
      <c r="BI134" s="739">
        <f>SUM(BE134:BH134)</f>
        <v>-209.36700000000005</v>
      </c>
      <c r="BJ134" s="739">
        <f>SUM(BJ132:BJ133)</f>
        <v>-8.9049999999999869</v>
      </c>
      <c r="BK134" s="739">
        <f>SUM(BK132:BK133)</f>
        <v>-131.15700000000001</v>
      </c>
      <c r="BL134" s="739">
        <f>SUM(BL132:BL133)</f>
        <v>-30</v>
      </c>
      <c r="BM134" s="739">
        <f>SUM(BM132:BM133)</f>
        <v>-349.27100000000013</v>
      </c>
      <c r="BN134" s="739">
        <f>SUM(BJ134:BM134)</f>
        <v>-519.33300000000008</v>
      </c>
      <c r="BO134" s="739">
        <f>SUM(BO132:BO133)</f>
        <v>-57.341999999999999</v>
      </c>
      <c r="BP134" s="739">
        <f>SUM(BP132:BP133)</f>
        <v>-119.10099999999997</v>
      </c>
      <c r="BQ134" s="739">
        <f>SUM(BQ132:BQ133)</f>
        <v>-238.87500000000009</v>
      </c>
      <c r="BR134" s="739">
        <f>SUM(BR132:BR133)</f>
        <v>-234.35999999999999</v>
      </c>
      <c r="BS134" s="739">
        <f>SUM(BO134:BR134)</f>
        <v>-649.67800000000011</v>
      </c>
      <c r="BT134" s="739">
        <f>SUM(BT132:BT133)</f>
        <v>-252.50600000000003</v>
      </c>
      <c r="BU134" s="739">
        <f>SUM(BU132:BU133)</f>
        <v>-273.21799999999996</v>
      </c>
      <c r="BV134" s="739">
        <f>SUM(BV132:BV133)</f>
        <v>-289.14499999999987</v>
      </c>
      <c r="BW134" s="739">
        <f>SUM(BW132:BW133)</f>
        <v>-328.49500000000012</v>
      </c>
      <c r="BX134" s="739">
        <f>SUM(BT134:BW134)</f>
        <v>-1143.364</v>
      </c>
      <c r="BY134" s="739">
        <f>SUM(BY132:BY133)</f>
        <v>-335.05399999999997</v>
      </c>
      <c r="BZ134" s="739">
        <f>SUM(BZ132:BZ133)</f>
        <v>-84.703000000000031</v>
      </c>
      <c r="CA134" s="739">
        <f>SUM(CA132:CA133)</f>
        <v>-182.79900000000009</v>
      </c>
      <c r="CB134" s="739">
        <f>SUM(CB132:CB133)</f>
        <v>-141.43599999999998</v>
      </c>
      <c r="CC134" s="739">
        <f>SUM(BY134:CB134)</f>
        <v>-743.99199999999996</v>
      </c>
      <c r="CD134" s="739">
        <f>SUM(CD132:CD133)</f>
        <v>-230.78600000000003</v>
      </c>
      <c r="CE134" s="739">
        <f>SUM(CE132:CE133)</f>
        <v>711.81799999999998</v>
      </c>
      <c r="CF134" s="739">
        <f>SUM(CF132:CF133)</f>
        <v>-187.37300000000002</v>
      </c>
      <c r="CG134" s="739">
        <f>SUM(CG132:CG133)</f>
        <v>-1099.5959999999998</v>
      </c>
      <c r="CH134" s="739">
        <f>SUM(CD134:CG134)</f>
        <v>-805.9369999999999</v>
      </c>
      <c r="CI134" s="739">
        <f>SUM(CI132:CI133)</f>
        <v>-330.32199999999989</v>
      </c>
      <c r="CJ134" s="739">
        <f>SUM(CJ132:CJ133)</f>
        <v>-62.954000000000136</v>
      </c>
      <c r="CK134" s="739">
        <f>SUM(CK132:CK133)</f>
        <v>-15.595000000000212</v>
      </c>
      <c r="CL134" s="739">
        <f>SUM(CL132:CL133)</f>
        <v>-318.17700000000008</v>
      </c>
      <c r="CM134" s="739">
        <f>SUM(CI134:CL134)</f>
        <v>-727.04800000000023</v>
      </c>
      <c r="CN134" s="739">
        <f>SUM(CN132:CN133)</f>
        <v>-235</v>
      </c>
      <c r="CO134" s="739">
        <f>SUM(CO132:CO133)</f>
        <v>247</v>
      </c>
      <c r="CP134" s="739">
        <f>SUM(CP132:CP133)</f>
        <v>-199</v>
      </c>
      <c r="CQ134" s="739">
        <f>SUM(CQ132:CQ133)</f>
        <v>-213</v>
      </c>
      <c r="CR134" s="739">
        <f>SUM(CN134:CQ134)</f>
        <v>-400</v>
      </c>
      <c r="CS134" s="739">
        <f>SUM(CS132:CS133)</f>
        <v>176</v>
      </c>
      <c r="CT134" s="739">
        <f>SUM(CT132:CT133)</f>
        <v>-269</v>
      </c>
      <c r="CU134" s="739">
        <f>SUM(CU132:CU133)</f>
        <v>-327</v>
      </c>
      <c r="CV134" s="739">
        <f>SUM(CV132:CV133)</f>
        <v>-373</v>
      </c>
      <c r="CW134" s="739">
        <f>SUM(CS134:CV134)</f>
        <v>-793</v>
      </c>
      <c r="CX134" s="739">
        <f>SUM(CX132:CX133)</f>
        <v>754</v>
      </c>
      <c r="CY134" s="739">
        <f>SUM(CY132:CY133)</f>
        <v>262</v>
      </c>
      <c r="CZ134" s="739">
        <f>SUM(CZ132:CZ133)</f>
        <v>286</v>
      </c>
      <c r="DA134" s="739">
        <f>SUM(DA132:DA133)</f>
        <v>-24</v>
      </c>
      <c r="DB134" s="739">
        <f>SUM(CX134:DA134)</f>
        <v>1278</v>
      </c>
      <c r="DC134" s="739">
        <f>SUM(DC132:DC133)</f>
        <v>-3551</v>
      </c>
      <c r="DD134" s="739">
        <f>SUM(DD132:DD133)</f>
        <v>-805</v>
      </c>
      <c r="DE134" s="739">
        <f>SUM(DE132:DE133)</f>
        <v>219</v>
      </c>
      <c r="DF134" s="739">
        <f>SUM(DF132:DF133)</f>
        <v>40</v>
      </c>
      <c r="DG134" s="739">
        <f>SUM(DC134:DF134)</f>
        <v>-4097</v>
      </c>
      <c r="DH134" s="739">
        <f>SUM(DH132:DH133)</f>
        <v>1495</v>
      </c>
      <c r="DI134" s="739">
        <f>SUM(DI132:DI133)</f>
        <v>3545</v>
      </c>
      <c r="DJ134" s="739">
        <f>SUM(DJ132:DJ133)</f>
        <v>1256</v>
      </c>
      <c r="DK134" s="739">
        <f>SUM(DK132:DK133)</f>
        <v>-153.654</v>
      </c>
      <c r="DL134" s="739">
        <f>SUM(DH134:DK134)</f>
        <v>6142.3459999999995</v>
      </c>
      <c r="DM134" s="739">
        <f>SUM(DM132:DM133)</f>
        <v>-1055</v>
      </c>
      <c r="DN134" s="739">
        <f>SUM(DN132:DN133)</f>
        <v>-13489</v>
      </c>
      <c r="DO134" s="739">
        <f>SUM(DO132:DO133)</f>
        <v>-2001</v>
      </c>
      <c r="DP134" s="739">
        <f>SUM(DP132:DP133)</f>
        <v>-3129</v>
      </c>
      <c r="DQ134" s="739">
        <f>SUM(DM134:DP134)</f>
        <v>-19674</v>
      </c>
      <c r="DR134" s="739">
        <f>SUM(DR132:DR133)</f>
        <v>-1272</v>
      </c>
      <c r="DS134" s="739">
        <f>SUM(DS132:DS133)</f>
        <v>-2533</v>
      </c>
      <c r="DT134" s="739">
        <f>SUM(DT132:DT133)</f>
        <v>-4438</v>
      </c>
      <c r="DU134" s="739">
        <f>SUM(DU132:DU133)</f>
        <v>-1587</v>
      </c>
      <c r="DV134" s="739">
        <f>SUM(DR134:DU134)</f>
        <v>-9830</v>
      </c>
      <c r="DW134" s="739">
        <f>SUM(DW132:DW133)</f>
        <v>2612</v>
      </c>
      <c r="DX134" s="739">
        <f>SUM(DX132:DX133)</f>
        <v>1618</v>
      </c>
      <c r="DY134" s="739">
        <f>SUM(DY132:DY133)</f>
        <v>3148</v>
      </c>
      <c r="DZ134" s="739">
        <f>SUM(DZ132:DZ133)</f>
        <v>-4</v>
      </c>
      <c r="EA134" s="739">
        <f>SUM(DW134:DZ134)</f>
        <v>7374</v>
      </c>
      <c r="EB134" s="739">
        <f>SUM(EB132:EB133)</f>
        <v>-841</v>
      </c>
      <c r="EC134" s="739">
        <f>SUM(EC132:EC133)</f>
        <v>-447</v>
      </c>
      <c r="ED134" s="739">
        <f>SUM(ED132:ED133)</f>
        <v>-3169</v>
      </c>
      <c r="EE134" s="739">
        <f>SUM(EE132:EE133)</f>
        <v>-6109</v>
      </c>
      <c r="EF134" s="739">
        <f>SUM(EB134:EE134)</f>
        <v>-10566</v>
      </c>
      <c r="EG134" s="739">
        <f>SUM(EG132:EG133)</f>
        <v>-5693</v>
      </c>
      <c r="EH134" s="739">
        <f>SUM(EH132:EH133)</f>
        <v>-3185</v>
      </c>
      <c r="EI134" s="739">
        <f>SUM(EI132:EI133)</f>
        <v>-4345</v>
      </c>
      <c r="EJ134" s="739">
        <f>SUM(EJ132:EJ133)</f>
        <v>-7198</v>
      </c>
      <c r="EK134" s="739">
        <f>SUM(EG134:EJ134)</f>
        <v>-20421</v>
      </c>
      <c r="EL134" s="739">
        <f>SUM(EL132:EL133)</f>
        <v>-5216</v>
      </c>
      <c r="EM134" s="739">
        <f>SUM(EM132:EM133)</f>
        <v>-7126</v>
      </c>
      <c r="EN134" s="739">
        <f>SUM(EN132:EN133)</f>
        <v>-9025</v>
      </c>
      <c r="EO134" s="739">
        <f>SUM(EO132:EO133)</f>
        <v>-30861</v>
      </c>
      <c r="EP134" s="739">
        <f>SUM(EL134:EO134)</f>
        <v>-52228</v>
      </c>
      <c r="EQ134" s="739">
        <f>SUM(EQ132:EQ133)</f>
        <v>-26429</v>
      </c>
      <c r="ER134" s="739">
        <f>SUM(ER132:ER133)</f>
        <v>-12000</v>
      </c>
      <c r="ES134" s="739">
        <f>SUM(ES132:ES133)</f>
        <v>-12000</v>
      </c>
      <c r="ET134" s="739">
        <f>SUM(ET132:ET133)</f>
        <v>-12000</v>
      </c>
      <c r="EU134" s="739">
        <f>SUM(EQ134:ET134)</f>
        <v>-62429</v>
      </c>
      <c r="EV134" s="739">
        <f>SUM(EV132:EV133)</f>
        <v>-18000</v>
      </c>
      <c r="EW134" s="739">
        <f>SUM(EW132:EW133)</f>
        <v>-18000</v>
      </c>
      <c r="EX134" s="739">
        <f>SUM(EX132:EX133)</f>
        <v>-18000</v>
      </c>
      <c r="EY134" s="739">
        <f>SUM(EY132:EY133)</f>
        <v>-18000</v>
      </c>
      <c r="EZ134" s="739">
        <f>SUM(EV134:EY134)</f>
        <v>-72000</v>
      </c>
      <c r="FA134" s="739">
        <f>SUM(FA132:FA133)</f>
        <v>-20000</v>
      </c>
      <c r="FB134" s="739">
        <f>SUM(FB132:FB133)</f>
        <v>-20000</v>
      </c>
      <c r="FC134" s="739">
        <f>SUM(FC132:FC133)</f>
        <v>-20000</v>
      </c>
      <c r="FD134" s="739">
        <f>SUM(FD132:FD133)</f>
        <v>-20000</v>
      </c>
      <c r="FE134" s="739">
        <f>SUM(FA134:FD134)</f>
        <v>-80000</v>
      </c>
      <c r="FF134" s="739">
        <f>SUM(FF132:FF133)</f>
        <v>-23000</v>
      </c>
      <c r="FG134" s="739">
        <f>SUM(FG132:FG133)</f>
        <v>-23000</v>
      </c>
      <c r="FH134" s="739">
        <f>SUM(FH132:FH133)</f>
        <v>-23000</v>
      </c>
      <c r="FI134" s="739">
        <f>SUM(FI132:FI133)</f>
        <v>-23000</v>
      </c>
      <c r="FJ134" s="739">
        <f>SUM(FF134:FI134)</f>
        <v>-92000</v>
      </c>
      <c r="FK134" s="739">
        <f>SUM(FK132:FK133)</f>
        <v>-25500</v>
      </c>
      <c r="FL134" s="739">
        <f>SUM(FL132:FL133)</f>
        <v>-25500</v>
      </c>
      <c r="FM134" s="739">
        <f>SUM(FM132:FM133)</f>
        <v>-25500</v>
      </c>
      <c r="FN134" s="739">
        <f>SUM(FN132:FN133)</f>
        <v>-25500</v>
      </c>
      <c r="FO134" s="739">
        <f>SUM(FK134:FN134)</f>
        <v>-102000</v>
      </c>
      <c r="FP134" s="739"/>
      <c r="FQ134" s="152"/>
    </row>
    <row r="135" spans="1:173">
      <c r="B135" s="734"/>
      <c r="C135" s="734"/>
      <c r="D135" s="734"/>
      <c r="E135" s="734"/>
      <c r="F135" s="734"/>
      <c r="G135" s="734"/>
      <c r="H135" s="734"/>
      <c r="I135" s="734"/>
      <c r="J135" s="734"/>
      <c r="K135" s="152"/>
      <c r="L135" s="209"/>
      <c r="M135" s="209"/>
      <c r="N135" s="209"/>
      <c r="O135" s="209"/>
      <c r="P135" s="208"/>
      <c r="Q135" s="209"/>
      <c r="R135" s="209"/>
      <c r="S135" s="209"/>
      <c r="T135" s="209"/>
      <c r="U135" s="208"/>
      <c r="V135" s="209"/>
      <c r="W135" s="209"/>
      <c r="X135" s="209"/>
      <c r="Y135" s="209"/>
      <c r="Z135" s="208"/>
      <c r="AA135" s="209"/>
      <c r="AB135" s="209"/>
      <c r="AC135" s="209"/>
      <c r="AD135" s="209"/>
      <c r="AE135" s="208"/>
      <c r="AF135" s="209"/>
      <c r="AG135" s="209"/>
      <c r="AH135" s="209"/>
      <c r="AI135" s="209"/>
      <c r="AJ135" s="208"/>
      <c r="AK135" s="209"/>
      <c r="AL135" s="209"/>
      <c r="AM135" s="208"/>
      <c r="AN135" s="209"/>
      <c r="AO135" s="208"/>
      <c r="AP135" s="209"/>
      <c r="AQ135" s="208"/>
      <c r="AR135" s="208"/>
      <c r="AS135" s="208"/>
      <c r="AT135" s="208"/>
      <c r="AU135" s="208"/>
      <c r="AV135" s="208"/>
      <c r="AW135" s="208"/>
      <c r="AX135" s="208"/>
      <c r="AY135" s="208"/>
      <c r="AZ135" s="208"/>
      <c r="BA135" s="208"/>
      <c r="BB135" s="208"/>
      <c r="BC135" s="208"/>
      <c r="BD135" s="208"/>
      <c r="BE135" s="208"/>
      <c r="BF135" s="208"/>
      <c r="BG135" s="208"/>
      <c r="BH135" s="208"/>
      <c r="BI135" s="208"/>
      <c r="BJ135" s="208"/>
      <c r="BK135" s="208"/>
      <c r="BL135" s="208"/>
      <c r="BM135" s="208"/>
      <c r="BN135" s="208"/>
      <c r="BO135" s="208"/>
      <c r="BP135" s="208"/>
      <c r="BQ135" s="208"/>
      <c r="BR135" s="208"/>
      <c r="BS135" s="208"/>
      <c r="BT135" s="208"/>
      <c r="BU135" s="208"/>
      <c r="BV135" s="208"/>
      <c r="BW135" s="208"/>
      <c r="BX135" s="208"/>
      <c r="BY135" s="208"/>
      <c r="BZ135" s="208"/>
      <c r="CA135" s="208"/>
      <c r="CB135" s="208"/>
      <c r="CC135" s="208"/>
      <c r="CD135" s="208"/>
      <c r="CE135" s="208"/>
      <c r="CF135" s="208"/>
      <c r="CG135" s="208"/>
      <c r="CH135" s="208"/>
      <c r="CI135" s="208"/>
      <c r="CJ135" s="208"/>
      <c r="CK135" s="208"/>
      <c r="CL135" s="208"/>
      <c r="CM135" s="208"/>
      <c r="CN135" s="208"/>
      <c r="CO135" s="208"/>
      <c r="CP135" s="208"/>
      <c r="CQ135" s="208"/>
      <c r="CR135" s="208"/>
      <c r="CS135" s="208"/>
      <c r="CT135" s="208"/>
      <c r="CU135" s="208"/>
      <c r="CV135" s="208"/>
      <c r="CW135" s="208"/>
      <c r="CX135" s="208"/>
      <c r="CY135" s="208"/>
      <c r="CZ135" s="208"/>
      <c r="DA135" s="208"/>
      <c r="DB135" s="208"/>
      <c r="DC135" s="208"/>
      <c r="DD135" s="208"/>
      <c r="DE135" s="208"/>
      <c r="DF135" s="208"/>
      <c r="DG135" s="208"/>
      <c r="DH135" s="208"/>
      <c r="DI135" s="208"/>
      <c r="DJ135" s="208"/>
      <c r="DK135" s="208"/>
      <c r="DL135" s="208"/>
      <c r="DM135" s="208"/>
      <c r="DN135" s="208"/>
      <c r="DO135" s="208"/>
      <c r="DP135" s="208"/>
      <c r="DQ135" s="208"/>
      <c r="DR135" s="208"/>
      <c r="DS135" s="208"/>
      <c r="DT135" s="208"/>
      <c r="DU135" s="208"/>
      <c r="DV135" s="208"/>
      <c r="DW135" s="208"/>
      <c r="DX135" s="208"/>
      <c r="DY135" s="208"/>
      <c r="DZ135" s="208"/>
      <c r="EA135" s="208"/>
      <c r="EB135" s="208"/>
      <c r="EC135" s="208"/>
      <c r="ED135" s="208"/>
      <c r="EE135" s="208"/>
      <c r="EF135" s="208"/>
      <c r="EG135" s="208"/>
      <c r="EH135" s="208"/>
      <c r="EI135" s="208"/>
      <c r="EJ135" s="208"/>
      <c r="EK135" s="208"/>
      <c r="EL135" s="208"/>
      <c r="EM135" s="208"/>
      <c r="EN135" s="208"/>
      <c r="EO135" s="208"/>
      <c r="EP135" s="208"/>
      <c r="EQ135" s="208"/>
      <c r="ER135" s="208"/>
      <c r="ES135" s="208"/>
      <c r="ET135" s="208"/>
      <c r="EU135" s="208"/>
      <c r="EV135" s="208"/>
      <c r="EW135" s="208"/>
      <c r="EX135" s="208"/>
      <c r="EY135" s="208"/>
      <c r="EZ135" s="208"/>
      <c r="FA135" s="208"/>
      <c r="FB135" s="208"/>
      <c r="FC135" s="208"/>
      <c r="FD135" s="208"/>
      <c r="FE135" s="208"/>
      <c r="FF135" s="208"/>
      <c r="FG135" s="208"/>
      <c r="FH135" s="208"/>
      <c r="FI135" s="208"/>
      <c r="FJ135" s="208"/>
      <c r="FK135" s="208"/>
      <c r="FL135" s="208"/>
      <c r="FM135" s="208"/>
      <c r="FN135" s="208"/>
      <c r="FO135" s="208"/>
      <c r="FP135" s="208"/>
      <c r="FQ135" s="152"/>
    </row>
    <row r="136" spans="1:173">
      <c r="A136" s="171" t="s">
        <v>474</v>
      </c>
      <c r="B136" s="734"/>
      <c r="C136" s="734"/>
      <c r="D136" s="734"/>
      <c r="E136" s="734"/>
      <c r="F136" s="734"/>
      <c r="G136" s="734"/>
      <c r="H136" s="734"/>
      <c r="I136" s="734"/>
      <c r="J136" s="734"/>
      <c r="K136" s="152"/>
      <c r="L136" s="209"/>
      <c r="M136" s="209"/>
      <c r="N136" s="209"/>
      <c r="O136" s="209"/>
      <c r="P136" s="208"/>
      <c r="Q136" s="209"/>
      <c r="R136" s="209"/>
      <c r="S136" s="209"/>
      <c r="T136" s="209"/>
      <c r="U136" s="208"/>
      <c r="V136" s="209"/>
      <c r="W136" s="209"/>
      <c r="X136" s="209"/>
      <c r="Y136" s="209"/>
      <c r="Z136" s="208"/>
      <c r="AA136" s="209"/>
      <c r="AB136" s="209"/>
      <c r="AC136" s="209"/>
      <c r="AD136" s="209"/>
      <c r="AE136" s="208"/>
      <c r="AF136" s="209"/>
      <c r="AG136" s="209"/>
      <c r="AH136" s="209"/>
      <c r="AI136" s="209"/>
      <c r="AJ136" s="208"/>
      <c r="AK136" s="209"/>
      <c r="AL136" s="209"/>
      <c r="AM136" s="208"/>
      <c r="AN136" s="209"/>
      <c r="AO136" s="208"/>
      <c r="AP136" s="209"/>
      <c r="AQ136" s="208"/>
      <c r="AR136" s="208"/>
      <c r="AS136" s="208"/>
      <c r="AT136" s="208"/>
      <c r="AU136" s="208"/>
      <c r="AV136" s="208"/>
      <c r="AW136" s="208"/>
      <c r="AX136" s="208"/>
      <c r="AY136" s="208"/>
      <c r="AZ136" s="208"/>
      <c r="BA136" s="208"/>
      <c r="BB136" s="208"/>
      <c r="BC136" s="208"/>
      <c r="BD136" s="208"/>
      <c r="BE136" s="208"/>
      <c r="BF136" s="208"/>
      <c r="BG136" s="208"/>
      <c r="BH136" s="208"/>
      <c r="BI136" s="208"/>
      <c r="BJ136" s="208"/>
      <c r="BK136" s="208"/>
      <c r="BL136" s="208"/>
      <c r="BM136" s="208"/>
      <c r="BN136" s="208"/>
      <c r="BO136" s="208"/>
      <c r="BP136" s="208"/>
      <c r="BQ136" s="208"/>
      <c r="BR136" s="208"/>
      <c r="BS136" s="208"/>
      <c r="BT136" s="208"/>
      <c r="BU136" s="208"/>
      <c r="BV136" s="208"/>
      <c r="BW136" s="208"/>
      <c r="BX136" s="208"/>
      <c r="BY136" s="208"/>
      <c r="BZ136" s="208"/>
      <c r="CA136" s="208"/>
      <c r="CB136" s="208"/>
      <c r="CC136" s="208"/>
      <c r="CD136" s="208"/>
      <c r="CE136" s="208"/>
      <c r="CF136" s="208"/>
      <c r="CG136" s="208"/>
      <c r="CH136" s="208"/>
      <c r="CI136" s="208"/>
      <c r="CJ136" s="208"/>
      <c r="CK136" s="208"/>
      <c r="CL136" s="208"/>
      <c r="CM136" s="208"/>
      <c r="CN136" s="208"/>
      <c r="CO136" s="208"/>
      <c r="CP136" s="208"/>
      <c r="CQ136" s="208"/>
      <c r="CR136" s="208"/>
      <c r="CS136" s="208"/>
      <c r="CT136" s="208"/>
      <c r="CU136" s="208"/>
      <c r="CV136" s="208"/>
      <c r="CW136" s="208"/>
      <c r="CX136" s="208"/>
      <c r="CY136" s="208"/>
      <c r="CZ136" s="208"/>
      <c r="DA136" s="208"/>
      <c r="DB136" s="208"/>
      <c r="DC136" s="208"/>
      <c r="DD136" s="208"/>
      <c r="DE136" s="208"/>
      <c r="DF136" s="208"/>
      <c r="DG136" s="208"/>
      <c r="DH136" s="208"/>
      <c r="DI136" s="208"/>
      <c r="DJ136" s="208"/>
      <c r="DK136" s="208"/>
      <c r="DL136" s="208"/>
      <c r="DM136" s="208"/>
      <c r="DN136" s="208"/>
      <c r="DO136" s="208"/>
      <c r="DP136" s="208"/>
      <c r="DQ136" s="208"/>
      <c r="DR136" s="208"/>
      <c r="DS136" s="208"/>
      <c r="DT136" s="208"/>
      <c r="DU136" s="208"/>
      <c r="DV136" s="208"/>
      <c r="DW136" s="208"/>
      <c r="DX136" s="208"/>
      <c r="DY136" s="208"/>
      <c r="DZ136" s="208"/>
      <c r="EA136" s="208"/>
      <c r="EB136" s="208"/>
      <c r="EC136" s="208"/>
      <c r="ED136" s="208"/>
      <c r="EE136" s="208"/>
      <c r="EF136" s="208"/>
      <c r="EG136" s="208"/>
      <c r="EH136" s="208"/>
      <c r="EI136" s="208"/>
      <c r="EJ136" s="208"/>
      <c r="EK136" s="208"/>
      <c r="EL136" s="208"/>
      <c r="EM136" s="208"/>
      <c r="EN136" s="208"/>
      <c r="EO136" s="208"/>
      <c r="EP136" s="208"/>
      <c r="EQ136" s="208"/>
      <c r="ER136" s="208"/>
      <c r="ES136" s="208"/>
      <c r="ET136" s="208"/>
      <c r="EU136" s="208"/>
      <c r="EV136" s="208"/>
      <c r="EW136" s="208"/>
      <c r="EX136" s="208"/>
      <c r="EY136" s="208"/>
      <c r="EZ136" s="208"/>
      <c r="FA136" s="208"/>
      <c r="FB136" s="208"/>
      <c r="FC136" s="208"/>
      <c r="FD136" s="208"/>
      <c r="FE136" s="208"/>
      <c r="FF136" s="208"/>
      <c r="FG136" s="208"/>
      <c r="FH136" s="208"/>
      <c r="FI136" s="208"/>
      <c r="FJ136" s="208"/>
      <c r="FK136" s="208"/>
      <c r="FL136" s="208"/>
      <c r="FM136" s="208"/>
      <c r="FN136" s="208"/>
      <c r="FO136" s="208"/>
      <c r="FP136" s="208"/>
      <c r="FQ136" s="152"/>
    </row>
    <row r="137" spans="1:173">
      <c r="B137" s="734"/>
      <c r="C137" s="734"/>
      <c r="D137" s="734"/>
      <c r="E137" s="734"/>
      <c r="F137" s="734"/>
      <c r="G137" s="734"/>
      <c r="H137" s="734"/>
      <c r="I137" s="734"/>
      <c r="J137" s="734"/>
      <c r="K137" s="152"/>
      <c r="L137" s="209"/>
      <c r="M137" s="209"/>
      <c r="N137" s="209"/>
      <c r="O137" s="209"/>
      <c r="P137" s="208"/>
      <c r="Q137" s="209"/>
      <c r="R137" s="209"/>
      <c r="S137" s="209"/>
      <c r="T137" s="209"/>
      <c r="U137" s="208"/>
      <c r="V137" s="209"/>
      <c r="W137" s="209"/>
      <c r="X137" s="209"/>
      <c r="Y137" s="209"/>
      <c r="Z137" s="208"/>
      <c r="AA137" s="209"/>
      <c r="AB137" s="209"/>
      <c r="AC137" s="209"/>
      <c r="AD137" s="209"/>
      <c r="AE137" s="208"/>
      <c r="AF137" s="209"/>
      <c r="AG137" s="209"/>
      <c r="AH137" s="209"/>
      <c r="AI137" s="209"/>
      <c r="AJ137" s="208"/>
      <c r="AK137" s="209"/>
      <c r="AL137" s="209"/>
      <c r="AM137" s="208"/>
      <c r="AN137" s="209"/>
      <c r="AO137" s="208"/>
      <c r="AP137" s="209"/>
      <c r="AQ137" s="208"/>
      <c r="AR137" s="208"/>
      <c r="AS137" s="208"/>
      <c r="AT137" s="208"/>
      <c r="AU137" s="208"/>
      <c r="AV137" s="208"/>
      <c r="AW137" s="208"/>
      <c r="AX137" s="208"/>
      <c r="AY137" s="208"/>
      <c r="AZ137" s="208"/>
      <c r="BA137" s="208"/>
      <c r="BB137" s="208"/>
      <c r="BC137" s="208"/>
      <c r="BD137" s="208"/>
      <c r="BE137" s="208"/>
      <c r="BF137" s="208"/>
      <c r="BG137" s="208"/>
      <c r="BH137" s="208"/>
      <c r="BI137" s="208"/>
      <c r="BJ137" s="208"/>
      <c r="BK137" s="208"/>
      <c r="BL137" s="208"/>
      <c r="BM137" s="208"/>
      <c r="BN137" s="208"/>
      <c r="BO137" s="208"/>
      <c r="BP137" s="208"/>
      <c r="BQ137" s="208"/>
      <c r="BR137" s="208"/>
      <c r="BS137" s="208"/>
      <c r="BT137" s="208"/>
      <c r="BU137" s="208"/>
      <c r="BV137" s="208"/>
      <c r="BW137" s="208"/>
      <c r="BX137" s="208"/>
      <c r="BY137" s="208"/>
      <c r="BZ137" s="208"/>
      <c r="CA137" s="208"/>
      <c r="CB137" s="208"/>
      <c r="CC137" s="208"/>
      <c r="CD137" s="208"/>
      <c r="CE137" s="208"/>
      <c r="CF137" s="208"/>
      <c r="CG137" s="208"/>
      <c r="CH137" s="208"/>
      <c r="CI137" s="208"/>
      <c r="CJ137" s="208"/>
      <c r="CK137" s="208"/>
      <c r="CL137" s="208"/>
      <c r="CM137" s="208"/>
      <c r="CN137" s="208"/>
      <c r="CO137" s="208"/>
      <c r="CP137" s="208"/>
      <c r="CQ137" s="208"/>
      <c r="CR137" s="208"/>
      <c r="CS137" s="208"/>
      <c r="CT137" s="208"/>
      <c r="CU137" s="208"/>
      <c r="CV137" s="208"/>
      <c r="CW137" s="208"/>
      <c r="CX137" s="208"/>
      <c r="CY137" s="208"/>
      <c r="CZ137" s="208"/>
      <c r="DA137" s="208"/>
      <c r="DB137" s="208"/>
      <c r="DC137" s="208"/>
      <c r="DD137" s="208"/>
      <c r="DE137" s="208"/>
      <c r="DF137" s="208"/>
      <c r="DG137" s="208"/>
      <c r="DH137" s="208"/>
      <c r="DI137" s="208"/>
      <c r="DJ137" s="208"/>
      <c r="DK137" s="184"/>
      <c r="DL137" s="208"/>
      <c r="DM137" s="184"/>
      <c r="DN137" s="208"/>
      <c r="DO137" s="208"/>
      <c r="DP137" s="208"/>
      <c r="DQ137" s="208"/>
      <c r="DR137" s="184"/>
      <c r="DS137" s="208"/>
      <c r="DT137" s="208"/>
      <c r="DU137" s="208"/>
      <c r="DV137" s="208"/>
      <c r="DW137" s="184"/>
      <c r="DX137" s="208"/>
      <c r="DY137" s="208"/>
      <c r="DZ137" s="208"/>
      <c r="EA137" s="208"/>
      <c r="EB137" s="208"/>
      <c r="EC137" s="208"/>
      <c r="ED137" s="208"/>
      <c r="EE137" s="208"/>
      <c r="EF137" s="208"/>
      <c r="EG137" s="208"/>
      <c r="EH137" s="208"/>
      <c r="EI137" s="208"/>
      <c r="EJ137" s="208"/>
      <c r="EK137" s="208"/>
      <c r="EL137" s="208"/>
      <c r="EM137" s="208"/>
      <c r="EN137" s="208"/>
      <c r="EO137" s="208"/>
      <c r="EP137" s="208"/>
      <c r="EQ137" s="208"/>
      <c r="ER137" s="208"/>
      <c r="ES137" s="208"/>
      <c r="ET137" s="208"/>
      <c r="EU137" s="208"/>
      <c r="EV137" s="208"/>
      <c r="EW137" s="208"/>
      <c r="EX137" s="208"/>
      <c r="EY137" s="208"/>
      <c r="EZ137" s="208"/>
      <c r="FA137" s="208"/>
      <c r="FB137" s="208"/>
      <c r="FC137" s="208"/>
      <c r="FD137" s="208"/>
      <c r="FE137" s="208"/>
      <c r="FF137" s="208"/>
      <c r="FG137" s="208"/>
      <c r="FH137" s="208"/>
      <c r="FI137" s="208"/>
      <c r="FJ137" s="208"/>
      <c r="FK137" s="208"/>
      <c r="FL137" s="208"/>
      <c r="FM137" s="208"/>
      <c r="FN137" s="208"/>
      <c r="FO137" s="208"/>
      <c r="FP137" s="208"/>
      <c r="FQ137" s="152"/>
    </row>
    <row r="138" spans="1:173">
      <c r="A138" s="147" t="s">
        <v>475</v>
      </c>
      <c r="B138" s="734"/>
      <c r="C138" s="734"/>
      <c r="D138" s="734"/>
      <c r="E138" s="734"/>
      <c r="F138" s="734"/>
      <c r="G138" s="734"/>
      <c r="H138" s="734"/>
      <c r="I138" s="734"/>
      <c r="J138" s="734"/>
      <c r="K138" s="152"/>
      <c r="L138" s="209"/>
      <c r="M138" s="209"/>
      <c r="N138" s="209"/>
      <c r="O138" s="209"/>
      <c r="P138" s="208"/>
      <c r="Q138" s="209"/>
      <c r="R138" s="209"/>
      <c r="S138" s="209"/>
      <c r="T138" s="209"/>
      <c r="U138" s="208"/>
      <c r="V138" s="209"/>
      <c r="W138" s="209"/>
      <c r="X138" s="209"/>
      <c r="Y138" s="209"/>
      <c r="Z138" s="208"/>
      <c r="AA138" s="209"/>
      <c r="AB138" s="209"/>
      <c r="AC138" s="209"/>
      <c r="AD138" s="209"/>
      <c r="AE138" s="208"/>
      <c r="AF138" s="209"/>
      <c r="AG138" s="209"/>
      <c r="AH138" s="209"/>
      <c r="AI138" s="209"/>
      <c r="AJ138" s="208"/>
      <c r="AK138" s="209"/>
      <c r="AL138" s="209"/>
      <c r="AM138" s="208"/>
      <c r="AN138" s="208"/>
      <c r="AO138" s="208"/>
      <c r="AP138" s="208"/>
      <c r="AQ138" s="208"/>
      <c r="AR138" s="208"/>
      <c r="AS138" s="208"/>
      <c r="AT138" s="208"/>
      <c r="AU138" s="208"/>
      <c r="AV138" s="208"/>
      <c r="AW138" s="208"/>
      <c r="AX138" s="208"/>
      <c r="AY138" s="208"/>
      <c r="AZ138" s="208"/>
      <c r="BA138" s="208"/>
      <c r="BB138" s="208"/>
      <c r="BC138" s="208"/>
      <c r="BD138" s="208"/>
      <c r="BE138" s="208"/>
      <c r="BF138" s="208"/>
      <c r="BG138" s="208"/>
      <c r="BH138" s="208"/>
      <c r="BI138" s="208"/>
      <c r="BJ138" s="208"/>
      <c r="BK138" s="208"/>
      <c r="BL138" s="208"/>
      <c r="BM138" s="208"/>
      <c r="BN138" s="208"/>
      <c r="BO138" s="208"/>
      <c r="BP138" s="208"/>
      <c r="BQ138" s="208"/>
      <c r="BR138" s="208"/>
      <c r="BS138" s="208"/>
      <c r="BT138" s="208"/>
      <c r="BU138" s="208"/>
      <c r="BV138" s="208"/>
      <c r="BW138" s="208"/>
      <c r="BX138" s="208"/>
      <c r="BY138" s="208"/>
      <c r="BZ138" s="208"/>
      <c r="CA138" s="208"/>
      <c r="CB138" s="208"/>
      <c r="CC138" s="208"/>
      <c r="CD138" s="208"/>
      <c r="CE138" s="208"/>
      <c r="CF138" s="208"/>
      <c r="CG138" s="208"/>
      <c r="CH138" s="208"/>
      <c r="CI138" s="208"/>
      <c r="CJ138" s="208"/>
      <c r="CK138" s="208"/>
      <c r="CL138" s="208"/>
      <c r="CM138" s="208"/>
      <c r="CN138" s="208"/>
      <c r="CO138" s="208"/>
      <c r="CP138" s="208"/>
      <c r="CQ138" s="208"/>
      <c r="CR138" s="208"/>
      <c r="CS138" s="208"/>
      <c r="CT138" s="208"/>
      <c r="CU138" s="208"/>
      <c r="CV138" s="208"/>
      <c r="CW138" s="208"/>
      <c r="CX138" s="208"/>
      <c r="CY138" s="208"/>
      <c r="CZ138" s="208"/>
      <c r="DA138" s="208"/>
      <c r="DB138" s="208"/>
      <c r="DC138" s="208"/>
      <c r="DD138" s="208"/>
      <c r="DE138" s="208"/>
      <c r="DF138" s="208"/>
      <c r="DG138" s="208"/>
      <c r="DH138" s="208"/>
      <c r="DI138" s="208"/>
      <c r="DJ138" s="174"/>
      <c r="DK138" s="174"/>
      <c r="DL138" s="174"/>
      <c r="DM138" s="174"/>
      <c r="DN138" s="174"/>
      <c r="DO138" s="174"/>
      <c r="DP138" s="174"/>
      <c r="DQ138" s="174"/>
      <c r="DR138" s="174"/>
      <c r="DS138" s="174"/>
      <c r="DT138" s="174"/>
      <c r="DU138" s="174"/>
      <c r="DV138" s="174"/>
      <c r="DW138" s="174"/>
      <c r="DX138" s="174"/>
      <c r="DY138" s="174"/>
      <c r="DZ138" s="174"/>
      <c r="EA138" s="174"/>
      <c r="EB138" s="174"/>
      <c r="EC138" s="174"/>
      <c r="ED138" s="174"/>
      <c r="EE138" s="174"/>
      <c r="EF138" s="174"/>
      <c r="EG138" s="174"/>
      <c r="EH138" s="174"/>
      <c r="EI138" s="174"/>
      <c r="EJ138" s="174"/>
      <c r="EK138" s="174"/>
      <c r="EL138" s="174"/>
      <c r="EM138" s="174"/>
      <c r="EN138" s="174"/>
      <c r="EO138" s="174"/>
      <c r="EP138" s="174"/>
      <c r="EQ138" s="174"/>
      <c r="ER138" s="174"/>
      <c r="ES138" s="174"/>
      <c r="ET138" s="174"/>
      <c r="EU138" s="174"/>
      <c r="EV138" s="174"/>
      <c r="EW138" s="174"/>
      <c r="EX138" s="174"/>
      <c r="EY138" s="174"/>
      <c r="EZ138" s="174"/>
      <c r="FA138" s="174"/>
      <c r="FB138" s="174"/>
      <c r="FC138" s="174"/>
      <c r="FD138" s="174"/>
      <c r="FE138" s="174"/>
      <c r="FF138" s="174"/>
      <c r="FG138" s="174"/>
      <c r="FH138" s="174"/>
      <c r="FI138" s="174"/>
      <c r="FJ138" s="174"/>
      <c r="FK138" s="174"/>
      <c r="FL138" s="174"/>
      <c r="FM138" s="174"/>
      <c r="FN138" s="174"/>
      <c r="FO138" s="174"/>
      <c r="FP138" s="174"/>
      <c r="FQ138" s="152"/>
    </row>
    <row r="139" spans="1:173">
      <c r="A139" s="171" t="s">
        <v>476</v>
      </c>
      <c r="B139" s="734"/>
      <c r="C139" s="734"/>
      <c r="D139" s="734"/>
      <c r="E139" s="734"/>
      <c r="F139" s="734"/>
      <c r="G139" s="734"/>
      <c r="H139" s="734"/>
      <c r="I139" s="734"/>
      <c r="J139" s="734"/>
      <c r="K139" s="706"/>
      <c r="L139" s="209"/>
      <c r="M139" s="209"/>
      <c r="N139" s="209"/>
      <c r="O139" s="209"/>
      <c r="P139" s="735">
        <f>SUM(L139:O139)</f>
        <v>0</v>
      </c>
      <c r="Q139" s="209"/>
      <c r="R139" s="209"/>
      <c r="S139" s="209">
        <v>290.83800000000002</v>
      </c>
      <c r="T139" s="209">
        <f>290.838-S139-R139-Q139</f>
        <v>0</v>
      </c>
      <c r="U139" s="735">
        <f>SUM(Q139:T139)</f>
        <v>290.83800000000002</v>
      </c>
      <c r="V139" s="209">
        <v>0</v>
      </c>
      <c r="W139" s="209">
        <v>5.2489999999999997</v>
      </c>
      <c r="X139" s="209">
        <f>11.246-W139-V139</f>
        <v>5.9970000000000008</v>
      </c>
      <c r="Y139" s="209">
        <f>11.246-X139-W139-V139</f>
        <v>0</v>
      </c>
      <c r="Z139" s="735">
        <f>SUM(V139:Y139)</f>
        <v>11.246</v>
      </c>
      <c r="AA139" s="209">
        <v>0</v>
      </c>
      <c r="AB139" s="209">
        <f>5.734-AA139</f>
        <v>5.734</v>
      </c>
      <c r="AC139" s="209">
        <f>5.734-AB139-AA139</f>
        <v>0</v>
      </c>
      <c r="AD139" s="209">
        <f>5.734-AC139-AB139-AA139</f>
        <v>0</v>
      </c>
      <c r="AE139" s="735">
        <f>SUM(AA139:AD139)</f>
        <v>5.734</v>
      </c>
      <c r="AF139" s="209">
        <v>0</v>
      </c>
      <c r="AG139" s="209">
        <v>0</v>
      </c>
      <c r="AH139" s="209">
        <v>0</v>
      </c>
      <c r="AI139" s="209">
        <v>0</v>
      </c>
      <c r="AJ139" s="735">
        <f>SUM(AF139:AI139)</f>
        <v>0</v>
      </c>
      <c r="AK139" s="209">
        <v>0</v>
      </c>
      <c r="AL139" s="209">
        <v>0</v>
      </c>
      <c r="AM139" s="209">
        <v>0</v>
      </c>
      <c r="AN139" s="209">
        <f>0-SUM(AK139:AM139)</f>
        <v>0</v>
      </c>
      <c r="AO139" s="735">
        <f>SUM(AK139:AN139)</f>
        <v>0</v>
      </c>
      <c r="AP139" s="209">
        <v>0</v>
      </c>
      <c r="AQ139" s="209">
        <v>0</v>
      </c>
      <c r="AR139" s="208">
        <v>0</v>
      </c>
      <c r="AS139" s="208">
        <v>0</v>
      </c>
      <c r="AT139" s="735">
        <f>SUM(AP139:AS139)</f>
        <v>0</v>
      </c>
      <c r="AU139" s="208">
        <v>0</v>
      </c>
      <c r="AV139" s="208">
        <v>0</v>
      </c>
      <c r="AW139" s="208">
        <v>0</v>
      </c>
      <c r="AX139" s="208">
        <v>0</v>
      </c>
      <c r="AY139" s="735">
        <f>SUM(AU139:AX139)</f>
        <v>0</v>
      </c>
      <c r="AZ139" s="208">
        <v>0</v>
      </c>
      <c r="BA139" s="208">
        <v>0</v>
      </c>
      <c r="BB139" s="208">
        <v>0</v>
      </c>
      <c r="BC139" s="208">
        <v>0</v>
      </c>
      <c r="BD139" s="735">
        <f>SUM(AZ139:BC139)</f>
        <v>0</v>
      </c>
      <c r="BE139" s="208">
        <v>0</v>
      </c>
      <c r="BF139" s="208">
        <v>0</v>
      </c>
      <c r="BG139" s="208">
        <v>0</v>
      </c>
      <c r="BH139" s="208">
        <v>0</v>
      </c>
      <c r="BI139" s="735">
        <f>SUM(BE139:BH139)</f>
        <v>0</v>
      </c>
      <c r="BJ139" s="208">
        <v>0</v>
      </c>
      <c r="BK139" s="208">
        <v>0</v>
      </c>
      <c r="BL139" s="208">
        <v>0</v>
      </c>
      <c r="BM139" s="208">
        <v>0</v>
      </c>
      <c r="BN139" s="735">
        <f>SUM(BJ139:BM139)</f>
        <v>0</v>
      </c>
      <c r="BO139" s="208">
        <v>0</v>
      </c>
      <c r="BP139" s="208">
        <v>0</v>
      </c>
      <c r="BQ139" s="208">
        <v>0</v>
      </c>
      <c r="BR139" s="208">
        <v>0</v>
      </c>
      <c r="BS139" s="735">
        <f>SUM(BO139:BR139)</f>
        <v>0</v>
      </c>
      <c r="BT139" s="208">
        <v>0</v>
      </c>
      <c r="BU139" s="208">
        <v>0</v>
      </c>
      <c r="BV139" s="208">
        <v>0</v>
      </c>
      <c r="BW139" s="208">
        <v>0</v>
      </c>
      <c r="BX139" s="735">
        <f>SUM(BT139:BW139)</f>
        <v>0</v>
      </c>
      <c r="BY139" s="208">
        <v>0</v>
      </c>
      <c r="BZ139" s="208">
        <v>0</v>
      </c>
      <c r="CA139" s="208">
        <v>0</v>
      </c>
      <c r="CB139" s="208">
        <v>0</v>
      </c>
      <c r="CC139" s="735">
        <f>SUM(BY139:CB139)</f>
        <v>0</v>
      </c>
      <c r="CD139" s="208">
        <v>0</v>
      </c>
      <c r="CE139" s="208">
        <v>0</v>
      </c>
      <c r="CF139" s="208">
        <v>0</v>
      </c>
      <c r="CG139" s="208">
        <v>1477.5</v>
      </c>
      <c r="CH139" s="735">
        <f>SUM(CD139:CG139)</f>
        <v>1477.5</v>
      </c>
      <c r="CI139" s="208">
        <v>0</v>
      </c>
      <c r="CJ139" s="208">
        <f>0-CI139</f>
        <v>0</v>
      </c>
      <c r="CK139" s="208">
        <v>0</v>
      </c>
      <c r="CL139" s="208">
        <v>0</v>
      </c>
      <c r="CM139" s="735">
        <f>SUM(CI139:CL139)</f>
        <v>0</v>
      </c>
      <c r="CN139" s="208">
        <v>0</v>
      </c>
      <c r="CO139" s="208">
        <v>0</v>
      </c>
      <c r="CP139" s="208">
        <v>0</v>
      </c>
      <c r="CQ139" s="208">
        <v>0</v>
      </c>
      <c r="CR139" s="735">
        <f>SUM(CN139:CQ139)</f>
        <v>0</v>
      </c>
      <c r="CS139" s="208">
        <v>0</v>
      </c>
      <c r="CT139" s="208">
        <v>0</v>
      </c>
      <c r="CU139" s="208">
        <f>1988-CT139-CS139</f>
        <v>1988</v>
      </c>
      <c r="CV139" s="208">
        <f>1988-CU139-CT139-CS139</f>
        <v>0</v>
      </c>
      <c r="CW139" s="735">
        <f>SUM(CS139:CV139)</f>
        <v>1988</v>
      </c>
      <c r="CX139" s="208">
        <v>0</v>
      </c>
      <c r="CY139" s="208">
        <v>0</v>
      </c>
      <c r="CZ139" s="208">
        <v>0</v>
      </c>
      <c r="DA139" s="208">
        <v>0</v>
      </c>
      <c r="DB139" s="735">
        <f t="shared" ref="DB139:DB144" si="182">SUM(CX139:DA139)</f>
        <v>0</v>
      </c>
      <c r="DC139" s="208">
        <v>0</v>
      </c>
      <c r="DD139" s="208">
        <v>0</v>
      </c>
      <c r="DE139" s="208">
        <v>0</v>
      </c>
      <c r="DF139" s="208">
        <v>0</v>
      </c>
      <c r="DG139" s="735">
        <f t="shared" ref="DG139:DG144" si="183">SUM(DC139:DF139)</f>
        <v>0</v>
      </c>
      <c r="DH139" s="208">
        <v>0</v>
      </c>
      <c r="DI139" s="208">
        <v>0</v>
      </c>
      <c r="DJ139" s="208">
        <v>0</v>
      </c>
      <c r="DK139" s="208">
        <v>0</v>
      </c>
      <c r="DL139" s="735">
        <f t="shared" ref="DL139:DL144" si="184">SUM(DH139:DK139)</f>
        <v>0</v>
      </c>
      <c r="DM139" s="208">
        <v>4979</v>
      </c>
      <c r="DN139" s="208">
        <v>0</v>
      </c>
      <c r="DO139" s="208">
        <v>0</v>
      </c>
      <c r="DP139" s="208">
        <v>-3</v>
      </c>
      <c r="DQ139" s="735">
        <f t="shared" ref="DQ139:DQ144" si="185">SUM(DM139:DP139)</f>
        <v>4976</v>
      </c>
      <c r="DR139" s="208">
        <v>0</v>
      </c>
      <c r="DS139" s="208">
        <v>4985</v>
      </c>
      <c r="DT139" s="208">
        <v>-8</v>
      </c>
      <c r="DU139" s="208">
        <v>0</v>
      </c>
      <c r="DV139" s="735">
        <f t="shared" ref="DV139:DV144" si="186">SUM(DR139:DU139)</f>
        <v>4977</v>
      </c>
      <c r="DW139" s="208">
        <v>0</v>
      </c>
      <c r="DX139" s="208">
        <v>0</v>
      </c>
      <c r="DY139" s="208">
        <v>0</v>
      </c>
      <c r="DZ139" s="208">
        <v>0</v>
      </c>
      <c r="EA139" s="735">
        <f t="shared" ref="EA139:EA144" si="187">SUM(DW139:DZ139)</f>
        <v>0</v>
      </c>
      <c r="EB139" s="208">
        <v>0</v>
      </c>
      <c r="EC139" s="208">
        <v>0</v>
      </c>
      <c r="ED139" s="208">
        <v>0</v>
      </c>
      <c r="EE139" s="208">
        <v>0</v>
      </c>
      <c r="EF139" s="735">
        <f t="shared" ref="EF139:EF144" si="188">SUM(EB139:EE139)</f>
        <v>0</v>
      </c>
      <c r="EG139" s="208">
        <v>0</v>
      </c>
      <c r="EH139" s="208">
        <v>0</v>
      </c>
      <c r="EI139" s="208">
        <v>0</v>
      </c>
      <c r="EJ139" s="208">
        <v>0</v>
      </c>
      <c r="EK139" s="735">
        <f t="shared" ref="EK139:EK144" si="189">SUM(EG139:EJ139)</f>
        <v>0</v>
      </c>
      <c r="EL139" s="208">
        <v>0</v>
      </c>
      <c r="EM139" s="208">
        <v>0</v>
      </c>
      <c r="EN139" s="208">
        <v>0</v>
      </c>
      <c r="EO139" s="208">
        <v>0</v>
      </c>
      <c r="EP139" s="735">
        <f t="shared" ref="EP139:EP144" si="190">SUM(EL139:EO139)</f>
        <v>0</v>
      </c>
      <c r="EQ139" s="208">
        <v>0</v>
      </c>
      <c r="ER139" s="736">
        <v>0</v>
      </c>
      <c r="ES139" s="736">
        <v>0</v>
      </c>
      <c r="ET139" s="736">
        <v>0</v>
      </c>
      <c r="EU139" s="735">
        <f t="shared" ref="EU139:EU144" si="191">SUM(EQ139:ET139)</f>
        <v>0</v>
      </c>
      <c r="EV139" s="736">
        <v>0</v>
      </c>
      <c r="EW139" s="736">
        <v>0</v>
      </c>
      <c r="EX139" s="736">
        <v>0</v>
      </c>
      <c r="EY139" s="736">
        <v>0</v>
      </c>
      <c r="EZ139" s="735">
        <f t="shared" ref="EZ139:EZ144" si="192">SUM(EV139:EY139)</f>
        <v>0</v>
      </c>
      <c r="FA139" s="736">
        <v>0</v>
      </c>
      <c r="FB139" s="736">
        <v>0</v>
      </c>
      <c r="FC139" s="736">
        <v>0</v>
      </c>
      <c r="FD139" s="736">
        <v>0</v>
      </c>
      <c r="FE139" s="735">
        <f t="shared" ref="FE139:FE144" si="193">SUM(FA139:FD139)</f>
        <v>0</v>
      </c>
      <c r="FF139" s="736">
        <v>0</v>
      </c>
      <c r="FG139" s="736">
        <v>0</v>
      </c>
      <c r="FH139" s="736">
        <v>0</v>
      </c>
      <c r="FI139" s="736">
        <v>0</v>
      </c>
      <c r="FJ139" s="735">
        <f t="shared" ref="FJ139:FJ144" si="194">SUM(FF139:FI139)</f>
        <v>0</v>
      </c>
      <c r="FK139" s="736">
        <v>0</v>
      </c>
      <c r="FL139" s="736">
        <v>0</v>
      </c>
      <c r="FM139" s="736">
        <v>0</v>
      </c>
      <c r="FN139" s="736">
        <v>0</v>
      </c>
      <c r="FO139" s="735">
        <f t="shared" ref="FO139:FO144" si="195">SUM(FK139:FN139)</f>
        <v>0</v>
      </c>
      <c r="FP139" s="735"/>
      <c r="FQ139" s="152"/>
    </row>
    <row r="140" spans="1:173">
      <c r="A140" s="171" t="s">
        <v>477</v>
      </c>
      <c r="B140" s="734"/>
      <c r="C140" s="734"/>
      <c r="D140" s="734"/>
      <c r="E140" s="734"/>
      <c r="F140" s="734"/>
      <c r="G140" s="734"/>
      <c r="H140" s="734"/>
      <c r="I140" s="734"/>
      <c r="J140" s="734"/>
      <c r="K140" s="706"/>
      <c r="L140" s="209">
        <f>-5-0.241</f>
        <v>-5.2409999999999997</v>
      </c>
      <c r="M140" s="209">
        <f>-5-0.689-L140</f>
        <v>-0.4480000000000004</v>
      </c>
      <c r="N140" s="209">
        <f>-5-1.365-M140-L140</f>
        <v>-0.67600000000000016</v>
      </c>
      <c r="O140" s="209">
        <f>-5-1.897-N140-M140-L140</f>
        <v>-0.53200000000000003</v>
      </c>
      <c r="P140" s="735">
        <f>SUM(L140:O140)</f>
        <v>-6.8970000000000002</v>
      </c>
      <c r="Q140" s="209">
        <v>-0.501</v>
      </c>
      <c r="R140" s="209">
        <f>-0.972-Q140</f>
        <v>-0.47099999999999997</v>
      </c>
      <c r="S140" s="209">
        <f>-1.419-R140-Q140</f>
        <v>-0.44700000000000006</v>
      </c>
      <c r="T140" s="209">
        <f>-1.782-S140-R140-Q140</f>
        <v>-0.36299999999999999</v>
      </c>
      <c r="U140" s="735">
        <f>SUM(Q140:T140)</f>
        <v>-1.782</v>
      </c>
      <c r="V140" s="209">
        <f>-0.018-0.23</f>
        <v>-0.248</v>
      </c>
      <c r="W140" s="209">
        <f>-0.075-0.524-V140</f>
        <v>-0.35099999999999998</v>
      </c>
      <c r="X140" s="209">
        <f>-0.15-1.257-W140-V140</f>
        <v>-0.80799999999999983</v>
      </c>
      <c r="Y140" s="209">
        <f>-0.075-2.455-X140-W140-V140</f>
        <v>-1.1230000000000004</v>
      </c>
      <c r="Z140" s="735">
        <f>SUM(V140:Y140)</f>
        <v>-2.5300000000000002</v>
      </c>
      <c r="AA140" s="209">
        <v>-0.87</v>
      </c>
      <c r="AB140" s="209">
        <f>-1.958-AA140</f>
        <v>-1.0880000000000001</v>
      </c>
      <c r="AC140" s="209">
        <f>-3.571-AB140-AA140</f>
        <v>-1.613</v>
      </c>
      <c r="AD140" s="209">
        <f>-4.935-AC140-AB140-AA140</f>
        <v>-1.3639999999999994</v>
      </c>
      <c r="AE140" s="735">
        <f>SUM(AA140:AD140)</f>
        <v>-4.9349999999999996</v>
      </c>
      <c r="AF140" s="209">
        <v>-1.4139999999999999</v>
      </c>
      <c r="AG140" s="209">
        <f>-2.804-AF140</f>
        <v>-1.39</v>
      </c>
      <c r="AH140" s="209">
        <f>-300-4.497-AG140-AF140</f>
        <v>-301.69300000000004</v>
      </c>
      <c r="AI140" s="209">
        <f>-308.048-SUM(AF140:AH140)</f>
        <v>-3.5509999999999877</v>
      </c>
      <c r="AJ140" s="735">
        <f>SUM(AF140:AI140)</f>
        <v>-308.048</v>
      </c>
      <c r="AK140" s="209">
        <v>-1.4830000000000001</v>
      </c>
      <c r="AL140" s="209">
        <f>-2.833-AK140</f>
        <v>-1.35</v>
      </c>
      <c r="AM140" s="209">
        <f>-3.511-SUM(AK140:AL140)</f>
        <v>-0.67799999999999994</v>
      </c>
      <c r="AN140" s="209">
        <f>-4.015-SUM(AK140:AM140)</f>
        <v>-0.50399999999999956</v>
      </c>
      <c r="AO140" s="735">
        <f>SUM(AK140:AN140)</f>
        <v>-4.0149999999999997</v>
      </c>
      <c r="AP140" s="209">
        <v>-0.51100000000000001</v>
      </c>
      <c r="AQ140" s="209">
        <f>-0.856-AP140</f>
        <v>-0.34499999999999997</v>
      </c>
      <c r="AR140" s="208">
        <f>-0.856-SUM(AP140:AQ140)</f>
        <v>0</v>
      </c>
      <c r="AS140" s="208">
        <f>-0.856-SUM(AP140:AR140)</f>
        <v>0</v>
      </c>
      <c r="AT140" s="735">
        <f>SUM(AP140:AS140)</f>
        <v>-0.85599999999999998</v>
      </c>
      <c r="AU140" s="208">
        <v>0</v>
      </c>
      <c r="AV140" s="208">
        <v>0</v>
      </c>
      <c r="AW140" s="208">
        <v>0</v>
      </c>
      <c r="AX140" s="208">
        <v>0</v>
      </c>
      <c r="AY140" s="735">
        <f>SUM(AU140:AX140)</f>
        <v>0</v>
      </c>
      <c r="AZ140" s="208">
        <v>0</v>
      </c>
      <c r="BA140" s="208">
        <v>0</v>
      </c>
      <c r="BB140" s="208">
        <v>0</v>
      </c>
      <c r="BC140" s="208">
        <v>0</v>
      </c>
      <c r="BD140" s="735">
        <f>SUM(AZ140:BC140)</f>
        <v>0</v>
      </c>
      <c r="BE140" s="208">
        <v>0</v>
      </c>
      <c r="BF140" s="208">
        <v>0</v>
      </c>
      <c r="BG140" s="208">
        <v>0</v>
      </c>
      <c r="BH140" s="208">
        <v>0</v>
      </c>
      <c r="BI140" s="735">
        <f>SUM(BE140:BH140)</f>
        <v>0</v>
      </c>
      <c r="BJ140" s="208">
        <v>0</v>
      </c>
      <c r="BK140" s="208">
        <v>0</v>
      </c>
      <c r="BL140" s="208">
        <v>0</v>
      </c>
      <c r="BM140" s="208">
        <v>0</v>
      </c>
      <c r="BN140" s="735">
        <f>SUM(BJ140:BM140)</f>
        <v>0</v>
      </c>
      <c r="BO140" s="208">
        <v>0</v>
      </c>
      <c r="BP140" s="208">
        <v>0</v>
      </c>
      <c r="BQ140" s="208">
        <v>0</v>
      </c>
      <c r="BR140" s="208">
        <v>0</v>
      </c>
      <c r="BS140" s="735">
        <f>SUM(BO140:BR140)</f>
        <v>0</v>
      </c>
      <c r="BT140" s="208">
        <v>0</v>
      </c>
      <c r="BU140" s="208">
        <v>-10.319000000000001</v>
      </c>
      <c r="BV140" s="208">
        <f>-10.319-BU140-BT140</f>
        <v>0</v>
      </c>
      <c r="BW140" s="208">
        <v>0</v>
      </c>
      <c r="BX140" s="735">
        <f>SUM(BT140:BW140)</f>
        <v>-10.319000000000001</v>
      </c>
      <c r="BY140" s="208">
        <v>0</v>
      </c>
      <c r="BZ140" s="208">
        <v>0</v>
      </c>
      <c r="CA140" s="208">
        <v>0</v>
      </c>
      <c r="CB140" s="208">
        <v>0</v>
      </c>
      <c r="CC140" s="735">
        <f>SUM(BY140:CB140)</f>
        <v>0</v>
      </c>
      <c r="CD140" s="208">
        <v>0</v>
      </c>
      <c r="CE140" s="208">
        <v>0</v>
      </c>
      <c r="CF140" s="208">
        <v>0</v>
      </c>
      <c r="CG140" s="208">
        <v>-167.1</v>
      </c>
      <c r="CH140" s="735">
        <f>SUM(CD140:CG140)</f>
        <v>-167.1</v>
      </c>
      <c r="CI140" s="208">
        <v>0</v>
      </c>
      <c r="CJ140" s="208">
        <f>0-CI140</f>
        <v>0</v>
      </c>
      <c r="CK140" s="208">
        <v>0</v>
      </c>
      <c r="CL140" s="208">
        <v>0</v>
      </c>
      <c r="CM140" s="735">
        <f>SUM(CI140:CL140)</f>
        <v>0</v>
      </c>
      <c r="CN140" s="208">
        <v>-1</v>
      </c>
      <c r="CO140" s="208">
        <f>0-CN140</f>
        <v>1</v>
      </c>
      <c r="CP140" s="208">
        <f>0-CO140-CN140</f>
        <v>0</v>
      </c>
      <c r="CQ140" s="208">
        <f>0-CP140-CO140-CN140</f>
        <v>0</v>
      </c>
      <c r="CR140" s="735">
        <f>SUM(CN140:CQ140)</f>
        <v>0</v>
      </c>
      <c r="CS140" s="208">
        <v>-1</v>
      </c>
      <c r="CT140" s="208">
        <f>0-CS140</f>
        <v>1</v>
      </c>
      <c r="CU140" s="208">
        <f>-444-CT140-CS140</f>
        <v>-444</v>
      </c>
      <c r="CV140" s="208">
        <f>-673-CU140-CT140-CS140</f>
        <v>-229</v>
      </c>
      <c r="CW140" s="735">
        <f>SUM(CS140:CV140)</f>
        <v>-673</v>
      </c>
      <c r="CX140" s="208">
        <v>-605</v>
      </c>
      <c r="CY140" s="208">
        <f>-741-CX140</f>
        <v>-136</v>
      </c>
      <c r="CZ140" s="208">
        <f>-803-CY140-CX140</f>
        <v>-62</v>
      </c>
      <c r="DA140" s="208">
        <f>-812-CZ140-CY140-CX140</f>
        <v>-9</v>
      </c>
      <c r="DB140" s="735">
        <f t="shared" si="182"/>
        <v>-812</v>
      </c>
      <c r="DC140" s="208">
        <v>-2</v>
      </c>
      <c r="DD140" s="208">
        <v>0</v>
      </c>
      <c r="DE140" s="208">
        <f>-12-DD140-DC140</f>
        <v>-10</v>
      </c>
      <c r="DF140" s="208">
        <f>-16-DE140-DD140-DC140</f>
        <v>-4</v>
      </c>
      <c r="DG140" s="735">
        <f t="shared" si="183"/>
        <v>-16</v>
      </c>
      <c r="DH140" s="208">
        <v>0</v>
      </c>
      <c r="DI140" s="208">
        <v>0</v>
      </c>
      <c r="DJ140" s="208">
        <v>0</v>
      </c>
      <c r="DK140" s="208">
        <v>0</v>
      </c>
      <c r="DL140" s="735">
        <f t="shared" si="184"/>
        <v>0</v>
      </c>
      <c r="DM140" s="208">
        <v>0</v>
      </c>
      <c r="DN140" s="208">
        <v>0</v>
      </c>
      <c r="DO140" s="208">
        <v>0</v>
      </c>
      <c r="DP140" s="208">
        <v>0</v>
      </c>
      <c r="DQ140" s="735">
        <f t="shared" si="185"/>
        <v>0</v>
      </c>
      <c r="DR140" s="208">
        <v>0</v>
      </c>
      <c r="DS140" s="208">
        <v>0</v>
      </c>
      <c r="DT140" s="208">
        <v>-1000</v>
      </c>
      <c r="DU140" s="208">
        <v>0</v>
      </c>
      <c r="DV140" s="735">
        <f t="shared" si="186"/>
        <v>-1000</v>
      </c>
      <c r="DW140" s="208">
        <v>0</v>
      </c>
      <c r="DX140" s="208">
        <v>0</v>
      </c>
      <c r="DY140" s="208">
        <v>0</v>
      </c>
      <c r="DZ140" s="208">
        <v>0</v>
      </c>
      <c r="EA140" s="735">
        <f t="shared" si="187"/>
        <v>0</v>
      </c>
      <c r="EB140" s="208">
        <v>0</v>
      </c>
      <c r="EC140" s="208">
        <v>-1250</v>
      </c>
      <c r="ED140" s="208">
        <v>0</v>
      </c>
      <c r="EE140" s="208">
        <v>0</v>
      </c>
      <c r="EF140" s="735">
        <f t="shared" si="188"/>
        <v>-1250</v>
      </c>
      <c r="EG140" s="208">
        <v>0</v>
      </c>
      <c r="EH140" s="208">
        <v>-1250</v>
      </c>
      <c r="EI140" s="208">
        <v>0</v>
      </c>
      <c r="EJ140" s="208">
        <v>0</v>
      </c>
      <c r="EK140" s="735">
        <f t="shared" si="189"/>
        <v>-1250</v>
      </c>
      <c r="EL140" s="208">
        <v>0</v>
      </c>
      <c r="EM140" s="208">
        <v>0</v>
      </c>
      <c r="EN140" s="208">
        <v>0</v>
      </c>
      <c r="EO140" s="208">
        <v>0</v>
      </c>
      <c r="EP140" s="735">
        <f t="shared" si="190"/>
        <v>0</v>
      </c>
      <c r="EQ140" s="208">
        <v>0</v>
      </c>
      <c r="ER140" s="736">
        <v>0</v>
      </c>
      <c r="ES140" s="736">
        <v>0</v>
      </c>
      <c r="ET140" s="736">
        <v>0</v>
      </c>
      <c r="EU140" s="735">
        <f t="shared" si="191"/>
        <v>0</v>
      </c>
      <c r="EV140" s="736">
        <v>0</v>
      </c>
      <c r="EW140" s="736">
        <v>0</v>
      </c>
      <c r="EX140" s="736">
        <v>0</v>
      </c>
      <c r="EY140" s="736">
        <v>0</v>
      </c>
      <c r="EZ140" s="735">
        <f t="shared" si="192"/>
        <v>0</v>
      </c>
      <c r="FA140" s="736">
        <v>0</v>
      </c>
      <c r="FB140" s="736">
        <v>0</v>
      </c>
      <c r="FC140" s="736">
        <v>0</v>
      </c>
      <c r="FD140" s="736">
        <v>0</v>
      </c>
      <c r="FE140" s="735">
        <f t="shared" si="193"/>
        <v>0</v>
      </c>
      <c r="FF140" s="736">
        <v>0</v>
      </c>
      <c r="FG140" s="736">
        <v>0</v>
      </c>
      <c r="FH140" s="736">
        <v>0</v>
      </c>
      <c r="FI140" s="736">
        <v>0</v>
      </c>
      <c r="FJ140" s="735">
        <f t="shared" si="194"/>
        <v>0</v>
      </c>
      <c r="FK140" s="736">
        <v>0</v>
      </c>
      <c r="FL140" s="736">
        <v>0</v>
      </c>
      <c r="FM140" s="736">
        <v>0</v>
      </c>
      <c r="FN140" s="736">
        <v>0</v>
      </c>
      <c r="FO140" s="735">
        <f t="shared" si="195"/>
        <v>0</v>
      </c>
      <c r="FP140" s="735"/>
      <c r="FQ140" s="152"/>
    </row>
    <row r="141" spans="1:173">
      <c r="A141" s="171" t="s">
        <v>478</v>
      </c>
      <c r="B141" s="734"/>
      <c r="C141" s="734"/>
      <c r="D141" s="734"/>
      <c r="E141" s="734"/>
      <c r="F141" s="734"/>
      <c r="G141" s="734"/>
      <c r="H141" s="734"/>
      <c r="I141" s="734"/>
      <c r="J141" s="734"/>
      <c r="K141" s="706"/>
      <c r="L141" s="209">
        <f>0.12+5.81</f>
        <v>5.93</v>
      </c>
      <c r="M141" s="209">
        <f>0.99+5.81-L141</f>
        <v>0.87000000000000011</v>
      </c>
      <c r="N141" s="209">
        <f>4.949+5.74-M141-L141</f>
        <v>3.8889999999999993</v>
      </c>
      <c r="O141" s="209">
        <f>5.741+7.677-N141-M141-L141</f>
        <v>2.7289999999999992</v>
      </c>
      <c r="P141" s="735">
        <f>SUM(L141:O141)</f>
        <v>13.417999999999999</v>
      </c>
      <c r="Q141" s="209">
        <v>5.5659999999999998</v>
      </c>
      <c r="R141" s="209">
        <f>8.984-Q141</f>
        <v>3.4180000000000001</v>
      </c>
      <c r="S141" s="209">
        <f>16.513+96.611-R141-Q141</f>
        <v>104.14</v>
      </c>
      <c r="T141" s="209">
        <f>19.91+96.669-S141-R141-Q141</f>
        <v>3.4549999999999939</v>
      </c>
      <c r="U141" s="735">
        <f>SUM(Q141:T141)</f>
        <v>116.57899999999999</v>
      </c>
      <c r="V141" s="209">
        <f>16.514-0.018</f>
        <v>16.495999999999999</v>
      </c>
      <c r="W141" s="209">
        <f>31.663-0.075-V141</f>
        <v>15.092000000000002</v>
      </c>
      <c r="X141" s="209">
        <f>41.406-W141-V141</f>
        <v>9.8179999999999978</v>
      </c>
      <c r="Y141" s="209">
        <f>90.476-0.101-X141-W141-V141</f>
        <v>48.969000000000008</v>
      </c>
      <c r="Z141" s="735">
        <f>SUM(V141:Y141)</f>
        <v>90.375</v>
      </c>
      <c r="AA141" s="209">
        <v>14.981</v>
      </c>
      <c r="AB141" s="209">
        <f>20.181-AA141</f>
        <v>5.2000000000000011</v>
      </c>
      <c r="AC141" s="209">
        <f>24.507-AB141-AA141</f>
        <v>4.3260000000000023</v>
      </c>
      <c r="AD141" s="209">
        <f>25.487-AC141-AB141-AA141</f>
        <v>0.97999999999999332</v>
      </c>
      <c r="AE141" s="735">
        <f>SUM(AA141:AD141)</f>
        <v>25.486999999999998</v>
      </c>
      <c r="AF141" s="209">
        <v>7.8460000000000001</v>
      </c>
      <c r="AG141" s="209">
        <f>19.884-AF141</f>
        <v>12.038</v>
      </c>
      <c r="AH141" s="209">
        <f>29.752-AG141-AF141</f>
        <v>9.8679999999999986</v>
      </c>
      <c r="AI141" s="209">
        <f>37.757-SUM(AF141:AH141)</f>
        <v>8.004999999999999</v>
      </c>
      <c r="AJ141" s="735">
        <f>SUM(AF141:AI141)</f>
        <v>37.756999999999998</v>
      </c>
      <c r="AK141" s="209">
        <v>15.180999999999999</v>
      </c>
      <c r="AL141" s="209">
        <f>19.787-AK141</f>
        <v>4.6059999999999999</v>
      </c>
      <c r="AM141" s="209">
        <f>30.823-24.644-SUM(AK141:AL141)</f>
        <v>-13.607999999999997</v>
      </c>
      <c r="AN141" s="209">
        <f>42.502-SUM(AK141:AM141)</f>
        <v>36.323</v>
      </c>
      <c r="AO141" s="735">
        <f>SUM(AK141:AN141)</f>
        <v>42.502000000000002</v>
      </c>
      <c r="AP141" s="209">
        <v>36.011000000000003</v>
      </c>
      <c r="AQ141" s="209">
        <f>55.895-AP141</f>
        <v>19.884</v>
      </c>
      <c r="AR141" s="208">
        <f>104.729-SUM(AP141:AQ141)</f>
        <v>48.833999999999996</v>
      </c>
      <c r="AS141" s="208">
        <f>127.497-SUM(AP141:AR141)</f>
        <v>22.768000000000001</v>
      </c>
      <c r="AT141" s="735">
        <f>SUM(AP141:AS141)</f>
        <v>127.497</v>
      </c>
      <c r="AU141" s="208">
        <v>86.655000000000001</v>
      </c>
      <c r="AV141" s="208">
        <f>102.43-AU141</f>
        <v>15.775000000000006</v>
      </c>
      <c r="AW141" s="208">
        <f>154.607-SUM(AU141:AV141)</f>
        <v>52.176999999999992</v>
      </c>
      <c r="AX141" s="208">
        <f>221.16-SUM(AU141:AW141)</f>
        <v>66.552999999999997</v>
      </c>
      <c r="AY141" s="735">
        <f>SUM(AU141:AX141)</f>
        <v>221.16</v>
      </c>
      <c r="AZ141" s="208">
        <v>44.110999999999997</v>
      </c>
      <c r="BA141" s="208">
        <f>131.068-AZ141</f>
        <v>86.957000000000022</v>
      </c>
      <c r="BB141" s="208">
        <f>204.39-SUM(AZ141:BA141)</f>
        <v>73.321999999999974</v>
      </c>
      <c r="BC141" s="208">
        <f>225.969-SUM(AZ141:BB141)</f>
        <v>21.579000000000008</v>
      </c>
      <c r="BD141" s="735">
        <f>SUM(AZ141:BC141)</f>
        <v>225.96899999999999</v>
      </c>
      <c r="BE141" s="208">
        <v>30.457000000000001</v>
      </c>
      <c r="BF141" s="208">
        <f>39.981-SUM(BE141)</f>
        <v>9.5240000000000009</v>
      </c>
      <c r="BG141" s="208">
        <f>66.73-BF141-BE141</f>
        <v>26.749000000000002</v>
      </c>
      <c r="BH141" s="208">
        <f>73.547-BG141-BF141-BE141</f>
        <v>6.8169999999999931</v>
      </c>
      <c r="BI141" s="735">
        <f>SUM(BE141:BH141)</f>
        <v>73.546999999999997</v>
      </c>
      <c r="BJ141" s="208">
        <v>0</v>
      </c>
      <c r="BK141" s="208">
        <f t="shared" ref="BK141:BM142" si="196">BJ141</f>
        <v>0</v>
      </c>
      <c r="BL141" s="208">
        <f t="shared" si="196"/>
        <v>0</v>
      </c>
      <c r="BM141" s="208">
        <f t="shared" si="196"/>
        <v>0</v>
      </c>
      <c r="BN141" s="735">
        <f>SUM(BJ141:BM141)</f>
        <v>0</v>
      </c>
      <c r="BO141" s="208">
        <v>63.061999999999998</v>
      </c>
      <c r="BP141" s="208">
        <f>77.852-BO141</f>
        <v>14.790000000000006</v>
      </c>
      <c r="BQ141" s="208">
        <f>104.131-BP141-BO141</f>
        <v>26.278999999999996</v>
      </c>
      <c r="BR141" s="208">
        <f>177.276-BQ141-BP141-BO141</f>
        <v>73.144999999999996</v>
      </c>
      <c r="BS141" s="735">
        <f>SUM(BO141:BR141)</f>
        <v>177.27600000000001</v>
      </c>
      <c r="BT141" s="208">
        <v>85.286000000000001</v>
      </c>
      <c r="BU141" s="208">
        <f>124.785-BT141</f>
        <v>39.498999999999995</v>
      </c>
      <c r="BV141" s="208">
        <f>176.49-BU141-BT141</f>
        <v>51.705000000000013</v>
      </c>
      <c r="BW141" s="208">
        <f>195.857-BV141-BU141-BT141</f>
        <v>19.36699999999999</v>
      </c>
      <c r="BX141" s="735">
        <f>SUM(BT141:BW141)</f>
        <v>195.857</v>
      </c>
      <c r="BY141" s="208">
        <v>37.360999999999997</v>
      </c>
      <c r="BZ141" s="208">
        <f>42.678-BY141</f>
        <v>5.3170000000000002</v>
      </c>
      <c r="CA141" s="208">
        <f>62.781-BZ141-BY141</f>
        <v>20.103000000000002</v>
      </c>
      <c r="CB141" s="208">
        <f>64.935-CA141-BZ141-BY141</f>
        <v>2.1540000000000035</v>
      </c>
      <c r="CC141" s="735">
        <f>SUM(BY141:CB141)</f>
        <v>64.935000000000002</v>
      </c>
      <c r="CD141" s="208">
        <v>22.995999999999999</v>
      </c>
      <c r="CE141" s="208">
        <f>31.303-CD141</f>
        <v>8.3070000000000022</v>
      </c>
      <c r="CF141" s="208">
        <f>64.749-CE141-CD141</f>
        <v>33.445999999999998</v>
      </c>
      <c r="CG141" s="208">
        <f>70.17-CF141-CE141-CD141</f>
        <v>5.4210000000000029</v>
      </c>
      <c r="CH141" s="735">
        <f>SUM(CD141:CG141)</f>
        <v>70.17</v>
      </c>
      <c r="CI141" s="208">
        <v>80.231999999999999</v>
      </c>
      <c r="CJ141" s="208">
        <f>98.22-CI141</f>
        <v>17.988</v>
      </c>
      <c r="CK141" s="208">
        <f>129.691-CJ141-CI141</f>
        <v>31.471000000000004</v>
      </c>
      <c r="CL141" s="208">
        <f>153.472-CK141-CJ141-CI141</f>
        <v>23.781000000000006</v>
      </c>
      <c r="CM141" s="735">
        <f>SUM(CI141:CL141)</f>
        <v>153.47200000000001</v>
      </c>
      <c r="CN141" s="208">
        <v>50</v>
      </c>
      <c r="CO141" s="208">
        <f>64-CN141</f>
        <v>14</v>
      </c>
      <c r="CP141" s="208">
        <f>99-CO141-CN141</f>
        <v>35</v>
      </c>
      <c r="CQ141" s="208">
        <f>120-CP141-CO141-CN141</f>
        <v>21</v>
      </c>
      <c r="CR141" s="735">
        <f>SUM(CN141:CQ141)</f>
        <v>120</v>
      </c>
      <c r="CS141" s="208">
        <v>20</v>
      </c>
      <c r="CT141" s="208">
        <f>40-CS141</f>
        <v>20</v>
      </c>
      <c r="CU141" s="208">
        <f>-29-CT141-CS141</f>
        <v>-69</v>
      </c>
      <c r="CV141" s="208">
        <f>-9-CU141-CT141-CS141</f>
        <v>20</v>
      </c>
      <c r="CW141" s="735">
        <f>SUM(CS141:CV141)</f>
        <v>-9</v>
      </c>
      <c r="CX141" s="208">
        <v>65</v>
      </c>
      <c r="CY141" s="208">
        <f>76-CX141</f>
        <v>11</v>
      </c>
      <c r="CZ141" s="208">
        <f>132-CY141-CX141</f>
        <v>56</v>
      </c>
      <c r="DA141" s="208">
        <f>139-CZ141-CY141-CX141</f>
        <v>7</v>
      </c>
      <c r="DB141" s="735">
        <f t="shared" si="182"/>
        <v>139</v>
      </c>
      <c r="DC141" s="208">
        <v>0</v>
      </c>
      <c r="DD141" s="208">
        <v>0</v>
      </c>
      <c r="DE141" s="208">
        <v>0</v>
      </c>
      <c r="DF141" s="208">
        <v>0</v>
      </c>
      <c r="DG141" s="735">
        <f t="shared" si="183"/>
        <v>0</v>
      </c>
      <c r="DH141" s="208">
        <v>83</v>
      </c>
      <c r="DI141" s="208">
        <v>83</v>
      </c>
      <c r="DJ141" s="208">
        <v>0</v>
      </c>
      <c r="DK141" s="208">
        <f>DJ141</f>
        <v>0</v>
      </c>
      <c r="DL141" s="735">
        <f t="shared" si="184"/>
        <v>166</v>
      </c>
      <c r="DM141" s="208">
        <v>88</v>
      </c>
      <c r="DN141" s="208">
        <v>6</v>
      </c>
      <c r="DO141" s="208">
        <v>96</v>
      </c>
      <c r="DP141" s="208">
        <v>0</v>
      </c>
      <c r="DQ141" s="735">
        <f t="shared" si="185"/>
        <v>190</v>
      </c>
      <c r="DR141" s="208">
        <v>126</v>
      </c>
      <c r="DS141" s="208">
        <v>2</v>
      </c>
      <c r="DT141" s="208">
        <v>149</v>
      </c>
      <c r="DU141" s="208">
        <v>0</v>
      </c>
      <c r="DV141" s="735">
        <f t="shared" si="186"/>
        <v>277</v>
      </c>
      <c r="DW141" s="208">
        <v>204</v>
      </c>
      <c r="DX141" s="208">
        <v>1</v>
      </c>
      <c r="DY141" s="208">
        <v>143</v>
      </c>
      <c r="DZ141" s="208">
        <v>5</v>
      </c>
      <c r="EA141" s="735">
        <f t="shared" si="187"/>
        <v>353</v>
      </c>
      <c r="EB141" s="208">
        <v>0</v>
      </c>
      <c r="EC141" s="208">
        <v>0</v>
      </c>
      <c r="ED141" s="208">
        <v>0</v>
      </c>
      <c r="EE141" s="208">
        <v>0</v>
      </c>
      <c r="EF141" s="735">
        <f t="shared" si="188"/>
        <v>0</v>
      </c>
      <c r="EG141" s="208">
        <v>0</v>
      </c>
      <c r="EH141" s="208">
        <v>0</v>
      </c>
      <c r="EI141" s="208">
        <v>0</v>
      </c>
      <c r="EJ141" s="208">
        <v>0</v>
      </c>
      <c r="EK141" s="735">
        <f t="shared" si="189"/>
        <v>0</v>
      </c>
      <c r="EL141" s="208">
        <f>EJ141</f>
        <v>0</v>
      </c>
      <c r="EM141" s="208">
        <f>EK141</f>
        <v>0</v>
      </c>
      <c r="EN141" s="208">
        <f>EL141</f>
        <v>0</v>
      </c>
      <c r="EO141" s="208">
        <f>EM141</f>
        <v>0</v>
      </c>
      <c r="EP141" s="735">
        <f t="shared" si="190"/>
        <v>0</v>
      </c>
      <c r="EQ141" s="208">
        <f>EO141</f>
        <v>0</v>
      </c>
      <c r="ER141" s="208">
        <f t="shared" ref="ER141:ET142" si="197">EQ141</f>
        <v>0</v>
      </c>
      <c r="ES141" s="208">
        <f t="shared" si="197"/>
        <v>0</v>
      </c>
      <c r="ET141" s="208">
        <f t="shared" si="197"/>
        <v>0</v>
      </c>
      <c r="EU141" s="735">
        <f t="shared" si="191"/>
        <v>0</v>
      </c>
      <c r="EV141" s="208">
        <f>ET141</f>
        <v>0</v>
      </c>
      <c r="EW141" s="208">
        <f t="shared" ref="EW141:EY142" si="198">EV141</f>
        <v>0</v>
      </c>
      <c r="EX141" s="208">
        <f t="shared" si="198"/>
        <v>0</v>
      </c>
      <c r="EY141" s="208">
        <f t="shared" si="198"/>
        <v>0</v>
      </c>
      <c r="EZ141" s="735">
        <f t="shared" si="192"/>
        <v>0</v>
      </c>
      <c r="FA141" s="208">
        <f>EY141</f>
        <v>0</v>
      </c>
      <c r="FB141" s="208">
        <f>FA141</f>
        <v>0</v>
      </c>
      <c r="FC141" s="208">
        <f>FB141</f>
        <v>0</v>
      </c>
      <c r="FD141" s="208">
        <f>FC141</f>
        <v>0</v>
      </c>
      <c r="FE141" s="735">
        <f t="shared" si="193"/>
        <v>0</v>
      </c>
      <c r="FF141" s="208">
        <f>FD141</f>
        <v>0</v>
      </c>
      <c r="FG141" s="208">
        <f t="shared" ref="FG141:FI142" si="199">FF141</f>
        <v>0</v>
      </c>
      <c r="FH141" s="208">
        <f t="shared" si="199"/>
        <v>0</v>
      </c>
      <c r="FI141" s="208">
        <f t="shared" si="199"/>
        <v>0</v>
      </c>
      <c r="FJ141" s="735">
        <f t="shared" si="194"/>
        <v>0</v>
      </c>
      <c r="FK141" s="208">
        <f>FI141</f>
        <v>0</v>
      </c>
      <c r="FL141" s="208">
        <f t="shared" ref="FL141:FN142" si="200">FK141</f>
        <v>0</v>
      </c>
      <c r="FM141" s="208">
        <f t="shared" si="200"/>
        <v>0</v>
      </c>
      <c r="FN141" s="208">
        <f t="shared" si="200"/>
        <v>0</v>
      </c>
      <c r="FO141" s="735">
        <f t="shared" si="195"/>
        <v>0</v>
      </c>
      <c r="FP141" s="735"/>
      <c r="FQ141" s="152"/>
    </row>
    <row r="142" spans="1:173">
      <c r="A142" s="171" t="s">
        <v>479</v>
      </c>
      <c r="B142" s="734"/>
      <c r="C142" s="734"/>
      <c r="D142" s="734"/>
      <c r="E142" s="734"/>
      <c r="F142" s="734"/>
      <c r="G142" s="734"/>
      <c r="H142" s="734"/>
      <c r="I142" s="734"/>
      <c r="J142" s="734"/>
      <c r="K142" s="706"/>
      <c r="L142" s="209"/>
      <c r="M142" s="209"/>
      <c r="N142" s="209"/>
      <c r="O142" s="209"/>
      <c r="P142" s="735">
        <f>SUM(L142:O142)</f>
        <v>0</v>
      </c>
      <c r="Q142" s="209"/>
      <c r="R142" s="209"/>
      <c r="S142" s="209"/>
      <c r="T142" s="209"/>
      <c r="U142" s="735">
        <f>SUM(Q142:T142)</f>
        <v>0</v>
      </c>
      <c r="V142" s="209"/>
      <c r="W142" s="209"/>
      <c r="X142" s="209"/>
      <c r="Y142" s="209"/>
      <c r="Z142" s="735">
        <f>SUM(V142:Y142)</f>
        <v>0</v>
      </c>
      <c r="AA142" s="209"/>
      <c r="AB142" s="209"/>
      <c r="AC142" s="209"/>
      <c r="AD142" s="209"/>
      <c r="AE142" s="735">
        <f>SUM(AA142:AD142)</f>
        <v>0</v>
      </c>
      <c r="AF142" s="209"/>
      <c r="AG142" s="209"/>
      <c r="AH142" s="209"/>
      <c r="AI142" s="209"/>
      <c r="AJ142" s="735">
        <f>SUM(AF142:AI142)</f>
        <v>0</v>
      </c>
      <c r="AK142" s="209"/>
      <c r="AL142" s="209"/>
      <c r="AM142" s="209"/>
      <c r="AN142" s="209">
        <f>-24.644-SUM(AK142:AM142)</f>
        <v>-24.643999999999998</v>
      </c>
      <c r="AO142" s="735">
        <f>SUM(AK142:AN142)</f>
        <v>-24.643999999999998</v>
      </c>
      <c r="AP142" s="209">
        <v>-48.466999999999999</v>
      </c>
      <c r="AQ142" s="209">
        <f>-98.509-AP142</f>
        <v>-50.042000000000002</v>
      </c>
      <c r="AR142" s="208">
        <f>-138.509-SUM(AP142:AQ142)</f>
        <v>-39.999999999999986</v>
      </c>
      <c r="AS142" s="208">
        <f>-188.509-SUM(AP142:AR142)</f>
        <v>-50</v>
      </c>
      <c r="AT142" s="735">
        <f>SUM(AP142:AS142)</f>
        <v>-188.50899999999999</v>
      </c>
      <c r="AU142" s="208">
        <v>-50</v>
      </c>
      <c r="AV142" s="208">
        <f>-174.978-AU142</f>
        <v>-124.97800000000001</v>
      </c>
      <c r="AW142" s="208">
        <f>-174.978-SUM(AU142:AV142)</f>
        <v>0</v>
      </c>
      <c r="AX142" s="208">
        <f>-274.978-SUM(AU142:AW142)</f>
        <v>-100</v>
      </c>
      <c r="AY142" s="735">
        <f>SUM(AU142:AX142)</f>
        <v>-274.97800000000001</v>
      </c>
      <c r="AZ142" s="208">
        <v>-125</v>
      </c>
      <c r="BA142" s="208">
        <f>-249.386-AZ142</f>
        <v>-124.386</v>
      </c>
      <c r="BB142" s="208">
        <f>-374.427-SUM(AZ142:BA142)</f>
        <v>-125.04100000000003</v>
      </c>
      <c r="BC142" s="208">
        <f>-552.512-SUM(AZ142:BB142)</f>
        <v>-178.08499999999992</v>
      </c>
      <c r="BD142" s="735">
        <f>SUM(AZ142:BC142)</f>
        <v>-552.51199999999994</v>
      </c>
      <c r="BE142" s="208">
        <v>-123.896</v>
      </c>
      <c r="BF142" s="208">
        <f>-123.896-SUM(BE142)</f>
        <v>0</v>
      </c>
      <c r="BG142" s="208">
        <f>-423.636-BF142-BE142</f>
        <v>-299.74</v>
      </c>
      <c r="BH142" s="208">
        <f>-423.636-BG142-BF142-BE142</f>
        <v>0</v>
      </c>
      <c r="BI142" s="735">
        <f>SUM(BE142:BH142)</f>
        <v>-423.63600000000002</v>
      </c>
      <c r="BJ142" s="208">
        <f>BH142</f>
        <v>0</v>
      </c>
      <c r="BK142" s="208">
        <f t="shared" si="196"/>
        <v>0</v>
      </c>
      <c r="BL142" s="208">
        <f t="shared" si="196"/>
        <v>0</v>
      </c>
      <c r="BM142" s="208">
        <f t="shared" si="196"/>
        <v>0</v>
      </c>
      <c r="BN142" s="735">
        <f>SUM(BJ142:BM142)</f>
        <v>0</v>
      </c>
      <c r="BO142" s="208">
        <f>BM142</f>
        <v>0</v>
      </c>
      <c r="BP142" s="208">
        <f t="shared" ref="BP142:BW142" si="201">BO142</f>
        <v>0</v>
      </c>
      <c r="BQ142" s="208">
        <f t="shared" si="201"/>
        <v>0</v>
      </c>
      <c r="BR142" s="208">
        <f t="shared" si="201"/>
        <v>0</v>
      </c>
      <c r="BS142" s="735">
        <f>SUM(BO142:BR142)</f>
        <v>0</v>
      </c>
      <c r="BT142" s="208">
        <f>BR142</f>
        <v>0</v>
      </c>
      <c r="BU142" s="208">
        <f t="shared" si="201"/>
        <v>0</v>
      </c>
      <c r="BV142" s="208">
        <f t="shared" si="201"/>
        <v>0</v>
      </c>
      <c r="BW142" s="208">
        <f t="shared" si="201"/>
        <v>0</v>
      </c>
      <c r="BX142" s="735">
        <f>SUM(BT142:BW142)</f>
        <v>0</v>
      </c>
      <c r="BY142" s="208">
        <f>BW142</f>
        <v>0</v>
      </c>
      <c r="BZ142" s="208">
        <f>BY142</f>
        <v>0</v>
      </c>
      <c r="CA142" s="208">
        <f>BZ142</f>
        <v>0</v>
      </c>
      <c r="CB142" s="208">
        <v>-100</v>
      </c>
      <c r="CC142" s="735">
        <f>SUM(BY142:CB142)</f>
        <v>-100</v>
      </c>
      <c r="CD142" s="208">
        <f>CB142</f>
        <v>-100</v>
      </c>
      <c r="CE142" s="208">
        <f>-850-CD142</f>
        <v>-750</v>
      </c>
      <c r="CF142" s="208">
        <f>-850-CE142-CD142</f>
        <v>0</v>
      </c>
      <c r="CG142" s="208">
        <f>-887.304-CF142-CE142-CD142</f>
        <v>-37.303999999999974</v>
      </c>
      <c r="CH142" s="735">
        <f>SUM(CD142:CG142)</f>
        <v>-887.30399999999997</v>
      </c>
      <c r="CI142" s="208">
        <v>-500</v>
      </c>
      <c r="CJ142" s="208">
        <f>-500-CI142</f>
        <v>0</v>
      </c>
      <c r="CK142" s="208">
        <f>-810-CJ142-CI142</f>
        <v>-310</v>
      </c>
      <c r="CL142" s="208">
        <f>-813.6-CK142-CJ142-CI142</f>
        <v>-3.6000000000000227</v>
      </c>
      <c r="CM142" s="735">
        <f>SUM(CI142:CL142)</f>
        <v>-813.6</v>
      </c>
      <c r="CN142" s="208">
        <v>-53</v>
      </c>
      <c r="CO142" s="208">
        <f>-452-CN142</f>
        <v>-399</v>
      </c>
      <c r="CP142" s="208">
        <f>-452-CO142-CN142</f>
        <v>0</v>
      </c>
      <c r="CQ142" s="208">
        <f>-587-CP142-CO142-CN142</f>
        <v>-135</v>
      </c>
      <c r="CR142" s="735">
        <f>SUM(CN142:CQ142)</f>
        <v>-587</v>
      </c>
      <c r="CS142" s="208">
        <v>-500</v>
      </c>
      <c r="CT142" s="208">
        <f>-509-CS142</f>
        <v>-9</v>
      </c>
      <c r="CU142" s="208">
        <f>-509-CT142-CS142</f>
        <v>0</v>
      </c>
      <c r="CV142" s="208">
        <f>-739-CU142-CT142-CS142</f>
        <v>-230</v>
      </c>
      <c r="CW142" s="735">
        <f>SUM(CS142:CV142)</f>
        <v>-739</v>
      </c>
      <c r="CX142" s="208">
        <v>0</v>
      </c>
      <c r="CY142" s="208">
        <f>-758-CX142</f>
        <v>-758</v>
      </c>
      <c r="CZ142" s="208">
        <f>-909-CY142-CX142</f>
        <v>-151</v>
      </c>
      <c r="DA142" s="208">
        <f>-909-CZ142-CY142-CX142</f>
        <v>0</v>
      </c>
      <c r="DB142" s="735">
        <f t="shared" si="182"/>
        <v>-909</v>
      </c>
      <c r="DC142" s="208">
        <v>-655</v>
      </c>
      <c r="DD142" s="208">
        <f>-655-DC142</f>
        <v>0</v>
      </c>
      <c r="DE142" s="208">
        <f>-855-DD142-DC142</f>
        <v>-200</v>
      </c>
      <c r="DF142" s="208">
        <f>-1579-DE142-DD142-DC142</f>
        <v>-724</v>
      </c>
      <c r="DG142" s="735">
        <f t="shared" si="183"/>
        <v>-1579</v>
      </c>
      <c r="DH142" s="208">
        <v>0</v>
      </c>
      <c r="DI142" s="208">
        <v>0</v>
      </c>
      <c r="DJ142" s="208">
        <v>0</v>
      </c>
      <c r="DK142" s="208">
        <f>DJ142</f>
        <v>0</v>
      </c>
      <c r="DL142" s="735">
        <f t="shared" si="184"/>
        <v>0</v>
      </c>
      <c r="DM142" s="208">
        <v>0</v>
      </c>
      <c r="DN142" s="208">
        <v>0</v>
      </c>
      <c r="DO142" s="208">
        <f>DN142</f>
        <v>0</v>
      </c>
      <c r="DP142" s="208">
        <f>DO142</f>
        <v>0</v>
      </c>
      <c r="DQ142" s="735">
        <f t="shared" si="185"/>
        <v>0</v>
      </c>
      <c r="DR142" s="208">
        <v>0</v>
      </c>
      <c r="DS142" s="208">
        <v>0</v>
      </c>
      <c r="DT142" s="208">
        <f>DS142</f>
        <v>0</v>
      </c>
      <c r="DU142" s="208">
        <f>DT142</f>
        <v>0</v>
      </c>
      <c r="DV142" s="735">
        <f t="shared" si="186"/>
        <v>0</v>
      </c>
      <c r="DW142" s="208">
        <v>-1996</v>
      </c>
      <c r="DX142" s="208">
        <v>-3345</v>
      </c>
      <c r="DY142" s="208">
        <v>-3485</v>
      </c>
      <c r="DZ142" s="208">
        <v>-1212</v>
      </c>
      <c r="EA142" s="735">
        <f t="shared" si="187"/>
        <v>-10038</v>
      </c>
      <c r="EB142" s="208">
        <v>0</v>
      </c>
      <c r="EC142" s="208">
        <v>-3067</v>
      </c>
      <c r="ED142" s="208">
        <v>-3806</v>
      </c>
      <c r="EE142" s="208">
        <v>-2660</v>
      </c>
      <c r="EF142" s="735">
        <f t="shared" si="188"/>
        <v>-9533</v>
      </c>
      <c r="EG142" s="208">
        <v>-7740</v>
      </c>
      <c r="EH142" s="208">
        <v>-7158</v>
      </c>
      <c r="EI142" s="208">
        <v>-10998</v>
      </c>
      <c r="EJ142" s="208">
        <v>-7810</v>
      </c>
      <c r="EK142" s="735">
        <f t="shared" si="189"/>
        <v>-33706</v>
      </c>
      <c r="EL142" s="208">
        <v>-14095</v>
      </c>
      <c r="EM142" s="208">
        <v>-9721</v>
      </c>
      <c r="EN142" s="208">
        <v>-12456</v>
      </c>
      <c r="EO142" s="208">
        <v>-3815</v>
      </c>
      <c r="EP142" s="735">
        <f t="shared" si="190"/>
        <v>-40087</v>
      </c>
      <c r="EQ142" s="208">
        <v>-19312</v>
      </c>
      <c r="ER142" s="736">
        <v>-20000</v>
      </c>
      <c r="ES142" s="736">
        <v>-20000</v>
      </c>
      <c r="ET142" s="736">
        <f t="shared" si="197"/>
        <v>-20000</v>
      </c>
      <c r="EU142" s="735">
        <f t="shared" si="191"/>
        <v>-79312</v>
      </c>
      <c r="EV142" s="736">
        <v>-22500</v>
      </c>
      <c r="EW142" s="736">
        <f t="shared" si="198"/>
        <v>-22500</v>
      </c>
      <c r="EX142" s="736">
        <v>-25000</v>
      </c>
      <c r="EY142" s="736">
        <f t="shared" si="198"/>
        <v>-25000</v>
      </c>
      <c r="EZ142" s="735">
        <f t="shared" si="192"/>
        <v>-95000</v>
      </c>
      <c r="FA142" s="736">
        <v>-25000</v>
      </c>
      <c r="FB142" s="736">
        <f>FA142</f>
        <v>-25000</v>
      </c>
      <c r="FC142" s="736">
        <v>-25000</v>
      </c>
      <c r="FD142" s="736">
        <f>FC142</f>
        <v>-25000</v>
      </c>
      <c r="FE142" s="735">
        <f t="shared" si="193"/>
        <v>-100000</v>
      </c>
      <c r="FF142" s="736">
        <v>-27500</v>
      </c>
      <c r="FG142" s="736">
        <f t="shared" si="199"/>
        <v>-27500</v>
      </c>
      <c r="FH142" s="736">
        <f t="shared" si="199"/>
        <v>-27500</v>
      </c>
      <c r="FI142" s="736">
        <f t="shared" si="199"/>
        <v>-27500</v>
      </c>
      <c r="FJ142" s="735">
        <f t="shared" si="194"/>
        <v>-110000</v>
      </c>
      <c r="FK142" s="736">
        <v>-30000</v>
      </c>
      <c r="FL142" s="736">
        <f t="shared" si="200"/>
        <v>-30000</v>
      </c>
      <c r="FM142" s="736">
        <f t="shared" si="200"/>
        <v>-30000</v>
      </c>
      <c r="FN142" s="736">
        <f t="shared" si="200"/>
        <v>-30000</v>
      </c>
      <c r="FO142" s="735">
        <f t="shared" si="195"/>
        <v>-120000</v>
      </c>
      <c r="FP142" s="735"/>
    </row>
    <row r="143" spans="1:173">
      <c r="A143" s="171" t="s">
        <v>480</v>
      </c>
      <c r="B143" s="734"/>
      <c r="C143" s="734"/>
      <c r="D143" s="734"/>
      <c r="E143" s="734"/>
      <c r="F143" s="734"/>
      <c r="G143" s="734"/>
      <c r="H143" s="734"/>
      <c r="I143" s="734"/>
      <c r="J143" s="734"/>
      <c r="K143" s="152"/>
      <c r="L143" s="209"/>
      <c r="M143" s="209"/>
      <c r="N143" s="209"/>
      <c r="O143" s="209"/>
      <c r="P143" s="208"/>
      <c r="Q143" s="209"/>
      <c r="R143" s="209"/>
      <c r="S143" s="209"/>
      <c r="T143" s="209"/>
      <c r="U143" s="208"/>
      <c r="V143" s="209"/>
      <c r="W143" s="209"/>
      <c r="X143" s="209"/>
      <c r="Y143" s="209"/>
      <c r="Z143" s="208"/>
      <c r="AA143" s="209"/>
      <c r="AB143" s="209"/>
      <c r="AC143" s="209"/>
      <c r="AD143" s="209"/>
      <c r="AE143" s="208"/>
      <c r="AF143" s="209"/>
      <c r="AG143" s="209"/>
      <c r="AH143" s="209"/>
      <c r="AI143" s="209"/>
      <c r="AJ143" s="208"/>
      <c r="AK143" s="209"/>
      <c r="AL143" s="209"/>
      <c r="AM143" s="209"/>
      <c r="AN143" s="209"/>
      <c r="AO143" s="208"/>
      <c r="AP143" s="209"/>
      <c r="AQ143" s="209"/>
      <c r="AR143" s="208"/>
      <c r="AS143" s="208"/>
      <c r="AT143" s="208"/>
      <c r="AU143" s="208"/>
      <c r="AV143" s="208"/>
      <c r="AW143" s="208"/>
      <c r="AX143" s="208"/>
      <c r="AY143" s="208"/>
      <c r="AZ143" s="208"/>
      <c r="BA143" s="208"/>
      <c r="BB143" s="208"/>
      <c r="BC143" s="208"/>
      <c r="BD143" s="208"/>
      <c r="BE143" s="208"/>
      <c r="BF143" s="208"/>
      <c r="BG143" s="208"/>
      <c r="BH143" s="208"/>
      <c r="BI143" s="208"/>
      <c r="BJ143" s="208"/>
      <c r="BK143" s="208"/>
      <c r="BL143" s="208"/>
      <c r="BM143" s="208"/>
      <c r="BN143" s="208"/>
      <c r="BO143" s="208"/>
      <c r="BP143" s="208"/>
      <c r="BQ143" s="208"/>
      <c r="BR143" s="208"/>
      <c r="BS143" s="208"/>
      <c r="BT143" s="208"/>
      <c r="BU143" s="208"/>
      <c r="BV143" s="208"/>
      <c r="BW143" s="208"/>
      <c r="BX143" s="208"/>
      <c r="BY143" s="208"/>
      <c r="BZ143" s="208"/>
      <c r="CA143" s="208"/>
      <c r="CB143" s="208"/>
      <c r="CC143" s="208"/>
      <c r="CD143" s="208"/>
      <c r="CE143" s="208"/>
      <c r="CF143" s="208"/>
      <c r="CG143" s="208"/>
      <c r="CH143" s="208"/>
      <c r="CI143" s="208"/>
      <c r="CJ143" s="208"/>
      <c r="CK143" s="208"/>
      <c r="CL143" s="208"/>
      <c r="CM143" s="208"/>
      <c r="CN143" s="208"/>
      <c r="CO143" s="208"/>
      <c r="CP143" s="208"/>
      <c r="CQ143" s="208"/>
      <c r="CR143" s="208"/>
      <c r="CS143" s="208"/>
      <c r="CT143" s="208"/>
      <c r="CU143" s="208"/>
      <c r="CV143" s="208"/>
      <c r="CW143" s="208"/>
      <c r="CX143" s="208">
        <v>-82</v>
      </c>
      <c r="CY143" s="208">
        <f>-166-CX143</f>
        <v>-84</v>
      </c>
      <c r="CZ143" s="208">
        <f>-250-CY143-CX143</f>
        <v>-84</v>
      </c>
      <c r="DA143" s="208">
        <f>-341-CZ143-CY143-CX143</f>
        <v>-91</v>
      </c>
      <c r="DB143" s="735">
        <f t="shared" si="182"/>
        <v>-341</v>
      </c>
      <c r="DC143" s="208">
        <v>-91</v>
      </c>
      <c r="DD143" s="208">
        <f>-182-DC143</f>
        <v>-91</v>
      </c>
      <c r="DE143" s="208">
        <f>-273-DD143-DC143</f>
        <v>-91</v>
      </c>
      <c r="DF143" s="208">
        <f>-371-DE143-DD143-DC143</f>
        <v>-98</v>
      </c>
      <c r="DG143" s="735">
        <f t="shared" si="183"/>
        <v>-371</v>
      </c>
      <c r="DH143" s="208">
        <v>-97</v>
      </c>
      <c r="DI143" s="208">
        <f>-195-DH143</f>
        <v>-98</v>
      </c>
      <c r="DJ143" s="208">
        <f>-292-DI143-DH143</f>
        <v>-97</v>
      </c>
      <c r="DK143" s="208">
        <v>-98</v>
      </c>
      <c r="DL143" s="735">
        <f t="shared" si="184"/>
        <v>-390</v>
      </c>
      <c r="DM143" s="208">
        <v>-98</v>
      </c>
      <c r="DN143" s="208">
        <v>-99</v>
      </c>
      <c r="DO143" s="208">
        <v>-99</v>
      </c>
      <c r="DP143" s="208">
        <v>-99</v>
      </c>
      <c r="DQ143" s="735">
        <f t="shared" si="185"/>
        <v>-395</v>
      </c>
      <c r="DR143" s="208">
        <v>-99</v>
      </c>
      <c r="DS143" s="208">
        <v>-100</v>
      </c>
      <c r="DT143" s="208">
        <v>-100</v>
      </c>
      <c r="DU143" s="208">
        <v>-100</v>
      </c>
      <c r="DV143" s="735">
        <f t="shared" si="186"/>
        <v>-399</v>
      </c>
      <c r="DW143" s="208">
        <v>-100</v>
      </c>
      <c r="DX143" s="208">
        <v>-100</v>
      </c>
      <c r="DY143" s="208">
        <v>-100</v>
      </c>
      <c r="DZ143" s="208">
        <v>-98</v>
      </c>
      <c r="EA143" s="735">
        <f t="shared" si="187"/>
        <v>-398</v>
      </c>
      <c r="EB143" s="208">
        <v>-99</v>
      </c>
      <c r="EC143" s="208">
        <v>-99</v>
      </c>
      <c r="ED143" s="208">
        <v>-99</v>
      </c>
      <c r="EE143" s="208">
        <v>-99</v>
      </c>
      <c r="EF143" s="735">
        <f t="shared" si="188"/>
        <v>-396</v>
      </c>
      <c r="EG143" s="208">
        <v>-98</v>
      </c>
      <c r="EH143" s="208">
        <v>-246</v>
      </c>
      <c r="EI143" s="208">
        <v>-245</v>
      </c>
      <c r="EJ143" s="208">
        <v>-245</v>
      </c>
      <c r="EK143" s="735">
        <f t="shared" si="189"/>
        <v>-834</v>
      </c>
      <c r="EL143" s="208">
        <v>-244</v>
      </c>
      <c r="EM143" s="208">
        <v>-244</v>
      </c>
      <c r="EN143" s="208">
        <v>-243</v>
      </c>
      <c r="EO143" s="208">
        <v>-243</v>
      </c>
      <c r="EP143" s="735">
        <f t="shared" si="190"/>
        <v>-974</v>
      </c>
      <c r="EQ143" s="208">
        <v>-243</v>
      </c>
      <c r="ER143" s="208"/>
      <c r="ES143" s="208"/>
      <c r="ET143" s="208"/>
      <c r="EU143" s="735">
        <f t="shared" si="191"/>
        <v>-243</v>
      </c>
      <c r="EV143" s="208"/>
      <c r="EW143" s="208"/>
      <c r="EX143" s="208"/>
      <c r="EY143" s="208"/>
      <c r="EZ143" s="735">
        <f t="shared" si="192"/>
        <v>0</v>
      </c>
      <c r="FA143" s="208"/>
      <c r="FB143" s="208"/>
      <c r="FC143" s="208"/>
      <c r="FD143" s="208"/>
      <c r="FE143" s="735">
        <f t="shared" si="193"/>
        <v>0</v>
      </c>
      <c r="FF143" s="208"/>
      <c r="FG143" s="208"/>
      <c r="FH143" s="208"/>
      <c r="FI143" s="208"/>
      <c r="FJ143" s="735">
        <f t="shared" si="194"/>
        <v>0</v>
      </c>
      <c r="FK143" s="208"/>
      <c r="FL143" s="208"/>
      <c r="FM143" s="208"/>
      <c r="FN143" s="208"/>
      <c r="FO143" s="735">
        <f t="shared" si="195"/>
        <v>0</v>
      </c>
      <c r="FP143" s="735"/>
      <c r="FQ143" s="152"/>
    </row>
    <row r="144" spans="1:173">
      <c r="A144" s="171" t="s">
        <v>481</v>
      </c>
      <c r="B144" s="734"/>
      <c r="C144" s="734"/>
      <c r="D144" s="734"/>
      <c r="E144" s="734"/>
      <c r="F144" s="734"/>
      <c r="G144" s="734"/>
      <c r="H144" s="734"/>
      <c r="I144" s="734"/>
      <c r="J144" s="734"/>
      <c r="K144" s="706"/>
      <c r="L144" s="209"/>
      <c r="M144" s="209"/>
      <c r="N144" s="209"/>
      <c r="O144" s="209">
        <v>0.5</v>
      </c>
      <c r="P144" s="735">
        <f>SUM(L144:O144)</f>
        <v>0.5</v>
      </c>
      <c r="Q144" s="209">
        <v>200</v>
      </c>
      <c r="R144" s="209">
        <v>0</v>
      </c>
      <c r="S144" s="209">
        <v>0</v>
      </c>
      <c r="T144" s="209">
        <v>0</v>
      </c>
      <c r="U144" s="735">
        <f>SUM(Q144:T144)</f>
        <v>200</v>
      </c>
      <c r="V144" s="209">
        <v>0</v>
      </c>
      <c r="W144" s="209">
        <v>0</v>
      </c>
      <c r="X144" s="209">
        <v>0</v>
      </c>
      <c r="Y144" s="209">
        <v>0</v>
      </c>
      <c r="Z144" s="735">
        <f>SUM(V144:Y144)</f>
        <v>0</v>
      </c>
      <c r="AA144" s="209">
        <v>0</v>
      </c>
      <c r="AB144" s="209">
        <v>0</v>
      </c>
      <c r="AC144" s="209">
        <v>0</v>
      </c>
      <c r="AD144" s="209">
        <v>0</v>
      </c>
      <c r="AE144" s="735">
        <f>SUM(AA144:AD144)</f>
        <v>0</v>
      </c>
      <c r="AF144" s="209">
        <v>0</v>
      </c>
      <c r="AG144" s="209">
        <v>0</v>
      </c>
      <c r="AH144" s="209">
        <v>0</v>
      </c>
      <c r="AI144" s="209">
        <v>0</v>
      </c>
      <c r="AJ144" s="735">
        <f>SUM(AF144:AI144)</f>
        <v>0</v>
      </c>
      <c r="AK144" s="209">
        <v>0</v>
      </c>
      <c r="AL144" s="209">
        <v>0</v>
      </c>
      <c r="AM144" s="209">
        <v>0</v>
      </c>
      <c r="AN144" s="209">
        <v>0</v>
      </c>
      <c r="AO144" s="735">
        <f>SUM(AK144:AN144)</f>
        <v>0</v>
      </c>
      <c r="AP144" s="209">
        <v>0.49099999999999999</v>
      </c>
      <c r="AQ144" s="209">
        <f>0.491-AP144</f>
        <v>0</v>
      </c>
      <c r="AR144" s="208">
        <f>0.491-SUM(AP144:AQ144)</f>
        <v>0</v>
      </c>
      <c r="AS144" s="208">
        <f>0.491-SUM(AP144:AR144)</f>
        <v>0</v>
      </c>
      <c r="AT144" s="735">
        <f>SUM(AP144:AS144)</f>
        <v>0.49099999999999999</v>
      </c>
      <c r="AU144" s="208">
        <v>7.33</v>
      </c>
      <c r="AV144" s="208">
        <f>14.362-AU144</f>
        <v>7.032</v>
      </c>
      <c r="AW144" s="208">
        <f>22.559-SUM(AU144:AV144)</f>
        <v>8.197000000000001</v>
      </c>
      <c r="AX144" s="208">
        <f>0.188-SUM(AU144:AW144)</f>
        <v>-22.371000000000002</v>
      </c>
      <c r="AY144" s="735">
        <f>SUM(AU144:AX144)</f>
        <v>0.18799999999999883</v>
      </c>
      <c r="AZ144" s="208">
        <v>0</v>
      </c>
      <c r="BA144" s="208">
        <v>0</v>
      </c>
      <c r="BB144" s="208">
        <v>0</v>
      </c>
      <c r="BC144" s="208">
        <v>0.22</v>
      </c>
      <c r="BD144" s="735">
        <f>SUM(AZ144:BC144)</f>
        <v>0.22</v>
      </c>
      <c r="BE144" s="208">
        <v>0</v>
      </c>
      <c r="BF144" s="208">
        <v>0</v>
      </c>
      <c r="BG144" s="208">
        <v>0</v>
      </c>
      <c r="BH144" s="208">
        <f>0.815-BG144-BF144-BE144</f>
        <v>0.81499999999999995</v>
      </c>
      <c r="BI144" s="735">
        <f>SUM(BE144:BH144)</f>
        <v>0.81499999999999995</v>
      </c>
      <c r="BJ144" s="208">
        <f>39.66-78.075-0.222</f>
        <v>-38.637000000000008</v>
      </c>
      <c r="BK144" s="208">
        <f>-78.075+47.092-0.103-BJ144</f>
        <v>7.5510000000000019</v>
      </c>
      <c r="BL144" s="208">
        <v>0</v>
      </c>
      <c r="BM144" s="208">
        <f>-78.075+138.029+1.105-BL144-BK144-BJ144</f>
        <v>92.144999999999996</v>
      </c>
      <c r="BN144" s="735">
        <f>SUM(BJ144:BM144)</f>
        <v>61.05899999999999</v>
      </c>
      <c r="BO144" s="208">
        <v>-0.28199999999999997</v>
      </c>
      <c r="BP144" s="208">
        <f>-0.574-BO144</f>
        <v>-0.29199999999999998</v>
      </c>
      <c r="BQ144" s="208">
        <f>+-0.875-BP144-BO144</f>
        <v>-0.30099999999999999</v>
      </c>
      <c r="BR144" s="208">
        <f>15.316-0.571-BQ144-BP144-BO144</f>
        <v>15.620000000000001</v>
      </c>
      <c r="BS144" s="735">
        <f>SUM(BO144:BR144)</f>
        <v>14.745000000000001</v>
      </c>
      <c r="BT144" s="208">
        <f>13.644-0.352</f>
        <v>13.292</v>
      </c>
      <c r="BU144" s="208">
        <f>-0.731+25.021-BT144</f>
        <v>10.997999999999999</v>
      </c>
      <c r="BV144" s="208">
        <f>-1.188+52.703-BU144-BT144</f>
        <v>27.225000000000001</v>
      </c>
      <c r="BW144" s="208">
        <f>52.793-1.608-BV144-BU144-BT144</f>
        <v>-0.32999999999999829</v>
      </c>
      <c r="BX144" s="735">
        <f>SUM(BT144:BW144)</f>
        <v>51.185000000000002</v>
      </c>
      <c r="BY144" s="208">
        <f>-0.515+8.675</f>
        <v>8.16</v>
      </c>
      <c r="BZ144" s="208">
        <f>-1.011+18.154-BY144</f>
        <v>8.9830000000000005</v>
      </c>
      <c r="CA144" s="208">
        <f>-1.522+25.646-BZ144-BY144</f>
        <v>6.9810000000000016</v>
      </c>
      <c r="CB144" s="208">
        <f>-46.866+68.71-2.049-CA144-BZ144-BY144</f>
        <v>-4.3290000000000077</v>
      </c>
      <c r="CC144" s="735">
        <f>SUM(BY144:CB144)</f>
        <v>19.794999999999995</v>
      </c>
      <c r="CD144" s="208">
        <f>-0.576+10.12-46.267-2.5</f>
        <v>-39.223000000000006</v>
      </c>
      <c r="CE144" s="208">
        <f>-1.169+17.36-2.5-89.61-CD144</f>
        <v>-36.695999999999991</v>
      </c>
      <c r="CF144" s="208">
        <f>-133.007-CE144-CD144-4.28+23.743</f>
        <v>-37.625</v>
      </c>
      <c r="CG144" s="208">
        <f>-5-2.239+25.801-181.336+59.1-CF144-CE144-CD144</f>
        <v>9.8699999999999903</v>
      </c>
      <c r="CH144" s="735">
        <f>SUM(CD144:CG144)</f>
        <v>-103.67400000000001</v>
      </c>
      <c r="CI144" s="208">
        <f>-0.709+4.086-46.731</f>
        <v>-43.353999999999999</v>
      </c>
      <c r="CJ144" s="208">
        <f>-94.163-CI144+6.843-1.423</f>
        <v>-45.388999999999996</v>
      </c>
      <c r="CK144" s="208">
        <f>-2.16+11.744-140.235-CJ144-CI144</f>
        <v>-41.908000000000015</v>
      </c>
      <c r="CL144" s="208">
        <f>-186.452+18.456-2.917-2.5-CK144-CJ144-CI144</f>
        <v>-42.762</v>
      </c>
      <c r="CM144" s="735">
        <f>SUM(CI144:CL144)</f>
        <v>-173.41300000000001</v>
      </c>
      <c r="CN144" s="208">
        <f>-46+6</f>
        <v>-40</v>
      </c>
      <c r="CO144" s="208">
        <f>-99-CN144-2+6</f>
        <v>-55</v>
      </c>
      <c r="CP144" s="208">
        <f>-152+-3+5-CO144-CN144</f>
        <v>-55</v>
      </c>
      <c r="CQ144" s="208">
        <f>-213+10-3-3-CP144-CO144-CN144</f>
        <v>-59</v>
      </c>
      <c r="CR144" s="735">
        <f>SUM(CN144:CQ144)</f>
        <v>-209</v>
      </c>
      <c r="CS144" s="208">
        <f>-62+9</f>
        <v>-53</v>
      </c>
      <c r="CT144" s="208">
        <f>26-124-2-1-CS144</f>
        <v>-48</v>
      </c>
      <c r="CU144" s="208">
        <f>-185-4-3-1-CT144-CS144</f>
        <v>-92</v>
      </c>
      <c r="CV144" s="208">
        <f>-261-8-7-CU144-CT144-CS144</f>
        <v>-83</v>
      </c>
      <c r="CW144" s="735">
        <f>SUM(CS144:CV144)</f>
        <v>-276</v>
      </c>
      <c r="CX144" s="208">
        <f>-190-1</f>
        <v>-191</v>
      </c>
      <c r="CY144" s="208">
        <f>+-190-2-CX144</f>
        <v>-1</v>
      </c>
      <c r="CZ144" s="208">
        <f>-577-3-CY144-CX144</f>
        <v>-388</v>
      </c>
      <c r="DA144" s="208">
        <f>-612-9-CZ144-CY144-CX144</f>
        <v>-41</v>
      </c>
      <c r="DB144" s="735">
        <f t="shared" si="182"/>
        <v>-621</v>
      </c>
      <c r="DC144" s="208">
        <f>-449+66</f>
        <v>-383</v>
      </c>
      <c r="DD144" s="208">
        <f>69-515-1-DC144</f>
        <v>-64</v>
      </c>
      <c r="DE144" s="208">
        <f>135-982-2-DD144-DC144</f>
        <v>-402</v>
      </c>
      <c r="DF144" s="208">
        <f>137-1032-5-DE144-DD144-DC144</f>
        <v>-51</v>
      </c>
      <c r="DG144" s="735">
        <f t="shared" si="183"/>
        <v>-900</v>
      </c>
      <c r="DH144" s="208">
        <v>-211</v>
      </c>
      <c r="DI144" s="208">
        <f>-261-DH144</f>
        <v>-50</v>
      </c>
      <c r="DJ144" s="208">
        <f>-463-DI144-DH144-17</f>
        <v>-219</v>
      </c>
      <c r="DK144" s="208">
        <f>2-87</f>
        <v>-85</v>
      </c>
      <c r="DL144" s="735">
        <f t="shared" si="184"/>
        <v>-565</v>
      </c>
      <c r="DM144" s="208">
        <f>-3-222</f>
        <v>-225</v>
      </c>
      <c r="DN144" s="208">
        <f>-196-8</f>
        <v>-204</v>
      </c>
      <c r="DO144" s="208">
        <v>-298</v>
      </c>
      <c r="DP144" s="208">
        <f>4-225-17-2</f>
        <v>-240</v>
      </c>
      <c r="DQ144" s="735">
        <f t="shared" si="185"/>
        <v>-967</v>
      </c>
      <c r="DR144" s="208">
        <f>-2-477-19</f>
        <v>-498</v>
      </c>
      <c r="DS144" s="208">
        <f>-365-21</f>
        <v>-386</v>
      </c>
      <c r="DT144" s="208">
        <f>-440-22</f>
        <v>-462</v>
      </c>
      <c r="DU144" s="208">
        <f>4-622-21-5</f>
        <v>-644</v>
      </c>
      <c r="DV144" s="735">
        <f t="shared" si="186"/>
        <v>-1990</v>
      </c>
      <c r="DW144" s="208">
        <f>-532-22</f>
        <v>-554</v>
      </c>
      <c r="DX144" s="208">
        <f>-305-14+1</f>
        <v>-318</v>
      </c>
      <c r="DY144" s="208">
        <f>-294-18+1</f>
        <v>-311</v>
      </c>
      <c r="DZ144" s="208">
        <f>-344-3-4</f>
        <v>-351</v>
      </c>
      <c r="EA144" s="735">
        <f t="shared" si="187"/>
        <v>-1534</v>
      </c>
      <c r="EB144" s="208">
        <f>246-507-20</f>
        <v>-281</v>
      </c>
      <c r="EC144" s="208">
        <f>1-672-11</f>
        <v>-682</v>
      </c>
      <c r="ED144" s="208">
        <f>156-764-13-1</f>
        <v>-622</v>
      </c>
      <c r="EE144" s="208">
        <f>-841-29</f>
        <v>-870</v>
      </c>
      <c r="EF144" s="735">
        <f t="shared" si="188"/>
        <v>-2455</v>
      </c>
      <c r="EG144" s="208">
        <f>285-1752-40</f>
        <v>-1507</v>
      </c>
      <c r="EH144" s="208">
        <f>-1637-29</f>
        <v>-1666</v>
      </c>
      <c r="EI144" s="208">
        <f>204-29-1680</f>
        <v>-1505</v>
      </c>
      <c r="EJ144" s="208">
        <f>-1861-33</f>
        <v>-1894</v>
      </c>
      <c r="EK144" s="735">
        <f t="shared" si="189"/>
        <v>-6572</v>
      </c>
      <c r="EL144" s="208">
        <f>370-52-1532</f>
        <v>-1214</v>
      </c>
      <c r="EM144" s="208">
        <f>-1848-21</f>
        <v>-1869</v>
      </c>
      <c r="EN144" s="208">
        <f>274-2429-24</f>
        <v>-2179</v>
      </c>
      <c r="EO144" s="208">
        <f>-2139-9-4</f>
        <v>-2152</v>
      </c>
      <c r="EP144" s="735">
        <f t="shared" si="190"/>
        <v>-7414</v>
      </c>
      <c r="EQ144" s="208">
        <f>515-2129-33-81</f>
        <v>-1728</v>
      </c>
      <c r="ER144" s="208">
        <f>+-ER57*ER46</f>
        <v>-6044.5371764705887</v>
      </c>
      <c r="ES144" s="208">
        <f>+-ES57*ES46</f>
        <v>-6017.6227435294122</v>
      </c>
      <c r="ET144" s="208">
        <f>+-ET57*ET46</f>
        <v>-5990.7576395764718</v>
      </c>
      <c r="EU144" s="735">
        <f t="shared" si="191"/>
        <v>-19780.917559576475</v>
      </c>
      <c r="EV144" s="208">
        <f>+-EV57*EV46</f>
        <v>-5960.2663511915298</v>
      </c>
      <c r="EW144" s="208">
        <f>+-EW57*EW46</f>
        <v>-5929.8263252741835</v>
      </c>
      <c r="EX144" s="208">
        <f>+-EX57*EX46</f>
        <v>-5895.7620870737846</v>
      </c>
      <c r="EY144" s="208">
        <f>+-EY57*EY46</f>
        <v>-5861.7511229329075</v>
      </c>
      <c r="EZ144" s="735">
        <f t="shared" si="192"/>
        <v>-23647.605886472404</v>
      </c>
      <c r="FA144" s="208">
        <f>+-FA57*FA46</f>
        <v>-5827.7944689209771</v>
      </c>
      <c r="FB144" s="208">
        <f>+-FB57*FB46</f>
        <v>-9270.2290909260937</v>
      </c>
      <c r="FC144" s="208">
        <f>+-FC57*FC46</f>
        <v>-9216.0773433328504</v>
      </c>
      <c r="FD144" s="208">
        <f>+-FD57*FD46</f>
        <v>-9162.0176666700954</v>
      </c>
      <c r="FE144" s="735">
        <f t="shared" si="193"/>
        <v>-33476.118569850019</v>
      </c>
      <c r="FF144" s="208">
        <f>+-FF57*FF46</f>
        <v>-9102.1695023564371</v>
      </c>
      <c r="FG144" s="208">
        <f>+-FG57*FG46</f>
        <v>-9042.4170335800372</v>
      </c>
      <c r="FH144" s="208">
        <f>+-FH57*FH46</f>
        <v>-8982.7621271928147</v>
      </c>
      <c r="FI144" s="208">
        <f>+-FI57*FI46</f>
        <v>-8923.2066873837302</v>
      </c>
      <c r="FJ144" s="735">
        <f t="shared" si="194"/>
        <v>-36050.555350513023</v>
      </c>
      <c r="FK144" s="208">
        <f>+-FK57*FK46</f>
        <v>-8857.8703034843456</v>
      </c>
      <c r="FL144" s="208">
        <f>+-FL57*FL46</f>
        <v>-13188.955964331048</v>
      </c>
      <c r="FM144" s="208">
        <f>+-FM57*FM46</f>
        <v>-13091.264589500021</v>
      </c>
      <c r="FN144" s="208">
        <f>+-FN57*FN46</f>
        <v>-12993.734422466492</v>
      </c>
      <c r="FO144" s="735">
        <f t="shared" si="195"/>
        <v>-48131.825279781908</v>
      </c>
      <c r="FP144" s="735"/>
      <c r="FQ144" s="152"/>
    </row>
    <row r="145" spans="1:173">
      <c r="B145" s="734"/>
      <c r="C145" s="734"/>
      <c r="D145" s="734"/>
      <c r="E145" s="734"/>
      <c r="F145" s="734"/>
      <c r="G145" s="734"/>
      <c r="H145" s="734"/>
      <c r="I145" s="734"/>
      <c r="J145" s="734"/>
      <c r="K145" s="152"/>
      <c r="L145" s="209"/>
      <c r="M145" s="209"/>
      <c r="N145" s="209"/>
      <c r="O145" s="209"/>
      <c r="P145" s="208"/>
      <c r="Q145" s="209"/>
      <c r="R145" s="209"/>
      <c r="S145" s="209"/>
      <c r="T145" s="209"/>
      <c r="U145" s="208"/>
      <c r="V145" s="209"/>
      <c r="W145" s="209"/>
      <c r="X145" s="209"/>
      <c r="Y145" s="209"/>
      <c r="Z145" s="208"/>
      <c r="AA145" s="209"/>
      <c r="AB145" s="209"/>
      <c r="AC145" s="209"/>
      <c r="AD145" s="209"/>
      <c r="AE145" s="208"/>
      <c r="AF145" s="209"/>
      <c r="AG145" s="209"/>
      <c r="AH145" s="209"/>
      <c r="AI145" s="209"/>
      <c r="AJ145" s="208"/>
      <c r="AK145" s="209"/>
      <c r="AL145" s="209"/>
      <c r="AM145" s="208"/>
      <c r="AN145" s="208"/>
      <c r="AO145" s="208"/>
      <c r="AP145" s="208"/>
      <c r="AQ145" s="208"/>
      <c r="AR145" s="208"/>
      <c r="AS145" s="208"/>
      <c r="AT145" s="208"/>
      <c r="AU145" s="208"/>
      <c r="AV145" s="208"/>
      <c r="AW145" s="208"/>
      <c r="AX145" s="208"/>
      <c r="AY145" s="208"/>
      <c r="AZ145" s="208"/>
      <c r="BA145" s="208"/>
      <c r="BB145" s="208"/>
      <c r="BC145" s="208"/>
      <c r="BD145" s="208"/>
      <c r="BE145" s="208"/>
      <c r="BF145" s="208"/>
      <c r="BG145" s="208"/>
      <c r="BH145" s="208"/>
      <c r="BI145" s="208"/>
      <c r="BJ145" s="208"/>
      <c r="BK145" s="208"/>
      <c r="BL145" s="208"/>
      <c r="BM145" s="208"/>
      <c r="BN145" s="208"/>
      <c r="BO145" s="208"/>
      <c r="BP145" s="208"/>
      <c r="BQ145" s="208"/>
      <c r="BR145" s="208"/>
      <c r="BS145" s="208"/>
      <c r="BT145" s="208"/>
      <c r="BU145" s="208"/>
      <c r="BV145" s="208"/>
      <c r="BW145" s="208"/>
      <c r="BX145" s="208"/>
      <c r="BY145" s="208"/>
      <c r="BZ145" s="208"/>
      <c r="CA145" s="208"/>
      <c r="CB145" s="208"/>
      <c r="CC145" s="208"/>
      <c r="CD145" s="208"/>
      <c r="CE145" s="208"/>
      <c r="CF145" s="208"/>
      <c r="CG145" s="208"/>
      <c r="CH145" s="208"/>
      <c r="CI145" s="208"/>
      <c r="CJ145" s="208"/>
      <c r="CK145" s="208"/>
      <c r="CL145" s="208"/>
      <c r="CM145" s="208"/>
      <c r="CN145" s="208"/>
      <c r="CO145" s="208"/>
      <c r="CP145" s="208"/>
      <c r="CQ145" s="208"/>
      <c r="CR145" s="208"/>
      <c r="CS145" s="208"/>
      <c r="CT145" s="208"/>
      <c r="CU145" s="208"/>
      <c r="CV145" s="208"/>
      <c r="CW145" s="208"/>
      <c r="CX145" s="208"/>
      <c r="CY145" s="208"/>
      <c r="CZ145" s="208"/>
      <c r="DA145" s="208"/>
      <c r="DB145" s="208"/>
      <c r="DC145" s="208"/>
      <c r="DD145" s="208"/>
      <c r="DE145" s="208"/>
      <c r="DF145" s="208"/>
      <c r="DG145" s="208"/>
      <c r="DH145" s="208"/>
      <c r="DI145" s="208"/>
      <c r="DJ145" s="208"/>
      <c r="DK145" s="208"/>
      <c r="DL145" s="208"/>
      <c r="DM145" s="208"/>
      <c r="DN145" s="208"/>
      <c r="DO145" s="208"/>
      <c r="DP145" s="208"/>
      <c r="DQ145" s="208"/>
      <c r="DR145" s="208"/>
      <c r="DS145" s="208"/>
      <c r="DT145" s="208"/>
      <c r="DU145" s="208"/>
      <c r="DV145" s="208"/>
      <c r="DW145" s="208"/>
      <c r="DX145" s="208"/>
      <c r="DY145" s="208"/>
      <c r="DZ145" s="208"/>
      <c r="EA145" s="208"/>
      <c r="EB145" s="208"/>
      <c r="EC145" s="208"/>
      <c r="ED145" s="208"/>
      <c r="EE145" s="208"/>
      <c r="EF145" s="208"/>
      <c r="EG145" s="208"/>
      <c r="EH145" s="208"/>
      <c r="EI145" s="208"/>
      <c r="EJ145" s="208"/>
      <c r="EK145" s="208"/>
      <c r="EL145" s="208"/>
      <c r="EM145" s="208"/>
      <c r="EN145" s="208"/>
      <c r="EO145" s="208"/>
      <c r="EP145" s="208"/>
      <c r="EQ145" s="208"/>
      <c r="ER145" s="208"/>
      <c r="ES145" s="208"/>
      <c r="ET145" s="208"/>
      <c r="EU145" s="208"/>
      <c r="EV145" s="208"/>
      <c r="EW145" s="208"/>
      <c r="EX145" s="208"/>
      <c r="EY145" s="208"/>
      <c r="EZ145" s="208"/>
      <c r="FA145" s="208"/>
      <c r="FB145" s="208"/>
      <c r="FC145" s="208"/>
      <c r="FD145" s="208"/>
      <c r="FE145" s="208"/>
      <c r="FF145" s="208"/>
      <c r="FG145" s="208"/>
      <c r="FH145" s="208"/>
      <c r="FI145" s="208"/>
      <c r="FJ145" s="208"/>
      <c r="FK145" s="208"/>
      <c r="FL145" s="208"/>
      <c r="FM145" s="208"/>
      <c r="FN145" s="208"/>
      <c r="FO145" s="208"/>
      <c r="FP145" s="208"/>
    </row>
    <row r="146" spans="1:173">
      <c r="A146" s="171" t="s">
        <v>482</v>
      </c>
      <c r="B146" s="737"/>
      <c r="C146" s="737"/>
      <c r="D146" s="737"/>
      <c r="E146" s="737"/>
      <c r="F146" s="737"/>
      <c r="G146" s="737"/>
      <c r="H146" s="737"/>
      <c r="I146" s="737"/>
      <c r="J146" s="737"/>
      <c r="K146" s="738"/>
      <c r="L146" s="739">
        <f>SUM(L139:L145)</f>
        <v>0.68900000000000006</v>
      </c>
      <c r="M146" s="739">
        <f>SUM(M139:M145)</f>
        <v>0.42199999999999971</v>
      </c>
      <c r="N146" s="739">
        <f>SUM(N139:N145)</f>
        <v>3.2129999999999992</v>
      </c>
      <c r="O146" s="739">
        <f>SUM(O139:O145)</f>
        <v>2.6969999999999992</v>
      </c>
      <c r="P146" s="739">
        <f>SUM(L146:O146)</f>
        <v>7.0209999999999981</v>
      </c>
      <c r="Q146" s="739">
        <f>SUM(Q139:Q145)</f>
        <v>205.065</v>
      </c>
      <c r="R146" s="739">
        <f>SUM(R139:R145)</f>
        <v>2.9470000000000001</v>
      </c>
      <c r="S146" s="739">
        <f>SUM(S139:S145)</f>
        <v>394.53100000000001</v>
      </c>
      <c r="T146" s="739">
        <f>SUM(T139:T145)</f>
        <v>3.0919999999999939</v>
      </c>
      <c r="U146" s="739">
        <f>SUM(Q146:T146)</f>
        <v>605.63499999999999</v>
      </c>
      <c r="V146" s="739">
        <f>SUM(V139:V145)</f>
        <v>16.247999999999998</v>
      </c>
      <c r="W146" s="739">
        <f>SUM(W139:W145)</f>
        <v>19.990000000000002</v>
      </c>
      <c r="X146" s="739">
        <f>SUM(X139:X145)</f>
        <v>15.006999999999998</v>
      </c>
      <c r="Y146" s="739">
        <f>SUM(Y139:Y145)</f>
        <v>47.846000000000011</v>
      </c>
      <c r="Z146" s="739">
        <f>SUM(V146:Y146)</f>
        <v>99.091000000000008</v>
      </c>
      <c r="AA146" s="739">
        <f>SUM(AA139:AA145)</f>
        <v>14.111000000000001</v>
      </c>
      <c r="AB146" s="739">
        <f>SUM(AB139:AB145)</f>
        <v>9.8460000000000001</v>
      </c>
      <c r="AC146" s="739">
        <f>SUM(AC139:AC145)</f>
        <v>2.7130000000000023</v>
      </c>
      <c r="AD146" s="739">
        <f>SUM(AD139:AD145)</f>
        <v>-0.38400000000000611</v>
      </c>
      <c r="AE146" s="739">
        <f>SUM(AA146:AD146)</f>
        <v>26.285999999999994</v>
      </c>
      <c r="AF146" s="739">
        <f>SUM(AF139:AF145)</f>
        <v>6.4320000000000004</v>
      </c>
      <c r="AG146" s="739">
        <f>SUM(AG139:AG145)</f>
        <v>10.648</v>
      </c>
      <c r="AH146" s="739">
        <f>SUM(AH139:AH145)</f>
        <v>-291.82500000000005</v>
      </c>
      <c r="AI146" s="739">
        <f>SUM(AI139:AI145)</f>
        <v>4.4540000000000113</v>
      </c>
      <c r="AJ146" s="739">
        <f>SUM(AF146:AI146)</f>
        <v>-270.29100000000005</v>
      </c>
      <c r="AK146" s="739">
        <f>SUM(AK139:AK145)</f>
        <v>13.697999999999999</v>
      </c>
      <c r="AL146" s="739">
        <f>SUM(AL139:AL145)</f>
        <v>3.2559999999999998</v>
      </c>
      <c r="AM146" s="739">
        <f>SUM(AM139:AM145)</f>
        <v>-14.285999999999998</v>
      </c>
      <c r="AN146" s="739">
        <f>SUM(AN139:AN145)</f>
        <v>11.175000000000004</v>
      </c>
      <c r="AO146" s="739">
        <f>SUM(AK146:AN146)</f>
        <v>13.843000000000004</v>
      </c>
      <c r="AP146" s="739">
        <f>SUM(AP139:AP145)</f>
        <v>-12.475999999999999</v>
      </c>
      <c r="AQ146" s="739">
        <f>SUM(AQ139:AQ145)</f>
        <v>-30.503</v>
      </c>
      <c r="AR146" s="739">
        <f>SUM(AR139:AR145)</f>
        <v>8.8340000000000103</v>
      </c>
      <c r="AS146" s="739">
        <f>SUM(AS139:AS145)</f>
        <v>-27.231999999999999</v>
      </c>
      <c r="AT146" s="739">
        <f>SUM(AP146:AS146)</f>
        <v>-61.376999999999988</v>
      </c>
      <c r="AU146" s="739">
        <f>SUM(AU139:AU145)</f>
        <v>43.984999999999999</v>
      </c>
      <c r="AV146" s="739">
        <f>SUM(AV139:AV145)</f>
        <v>-102.17100000000001</v>
      </c>
      <c r="AW146" s="739">
        <f>SUM(AW139:AW145)</f>
        <v>60.373999999999995</v>
      </c>
      <c r="AX146" s="739">
        <f>SUM(AX139:AX145)</f>
        <v>-55.818000000000005</v>
      </c>
      <c r="AY146" s="739">
        <f>SUM(AU146:AX146)</f>
        <v>-53.630000000000017</v>
      </c>
      <c r="AZ146" s="739">
        <f>SUM(AZ139:AZ145)</f>
        <v>-80.88900000000001</v>
      </c>
      <c r="BA146" s="739">
        <f>SUM(BA139:BA145)</f>
        <v>-37.428999999999974</v>
      </c>
      <c r="BB146" s="739">
        <f>SUM(BB139:BB145)</f>
        <v>-51.719000000000051</v>
      </c>
      <c r="BC146" s="739">
        <f>SUM(BC139:BC145)</f>
        <v>-156.28599999999992</v>
      </c>
      <c r="BD146" s="739">
        <f>SUM(AZ146:BC146)</f>
        <v>-326.32299999999998</v>
      </c>
      <c r="BE146" s="739">
        <f>SUM(BE139:BE145)</f>
        <v>-93.438999999999993</v>
      </c>
      <c r="BF146" s="739">
        <f>SUM(BF139:BF145)</f>
        <v>9.5240000000000009</v>
      </c>
      <c r="BG146" s="739">
        <f>SUM(BG139:BG145)</f>
        <v>-272.99099999999999</v>
      </c>
      <c r="BH146" s="739">
        <f>SUM(BH139:BH145)</f>
        <v>7.6319999999999926</v>
      </c>
      <c r="BI146" s="739">
        <f>SUM(BE146:BH146)</f>
        <v>-349.27399999999994</v>
      </c>
      <c r="BJ146" s="739">
        <f>SUM(BJ139:BJ145)</f>
        <v>-38.637000000000008</v>
      </c>
      <c r="BK146" s="739">
        <f>SUM(BK139:BK145)</f>
        <v>7.5510000000000019</v>
      </c>
      <c r="BL146" s="739">
        <f>SUM(BL139:BL145)</f>
        <v>0</v>
      </c>
      <c r="BM146" s="739">
        <f>SUM(BM139:BM145)</f>
        <v>92.144999999999996</v>
      </c>
      <c r="BN146" s="739">
        <f>SUM(BJ146:BM146)</f>
        <v>61.05899999999999</v>
      </c>
      <c r="BO146" s="739">
        <f>SUM(BO139:BO145)</f>
        <v>62.78</v>
      </c>
      <c r="BP146" s="739">
        <f>SUM(BP139:BP145)</f>
        <v>14.498000000000006</v>
      </c>
      <c r="BQ146" s="739">
        <f>SUM(BQ139:BQ145)</f>
        <v>25.977999999999998</v>
      </c>
      <c r="BR146" s="739">
        <f>SUM(BR139:BR145)</f>
        <v>88.765000000000001</v>
      </c>
      <c r="BS146" s="739">
        <f>SUM(BO146:BR146)</f>
        <v>192.02100000000002</v>
      </c>
      <c r="BT146" s="739">
        <f>SUM(BT139:BT145)</f>
        <v>98.578000000000003</v>
      </c>
      <c r="BU146" s="739">
        <f>SUM(BU139:BU145)</f>
        <v>40.17799999999999</v>
      </c>
      <c r="BV146" s="739">
        <f>SUM(BV139:BV145)</f>
        <v>78.930000000000007</v>
      </c>
      <c r="BW146" s="739">
        <f>SUM(BW139:BW145)</f>
        <v>19.036999999999992</v>
      </c>
      <c r="BX146" s="739">
        <f>SUM(BT146:BW146)</f>
        <v>236.72300000000001</v>
      </c>
      <c r="BY146" s="739">
        <f>SUM(BY139:BY145)</f>
        <v>45.521000000000001</v>
      </c>
      <c r="BZ146" s="739">
        <f>SUM(BZ139:BZ145)</f>
        <v>14.3</v>
      </c>
      <c r="CA146" s="739">
        <f>SUM(CA139:CA145)</f>
        <v>27.084000000000003</v>
      </c>
      <c r="CB146" s="739">
        <f>SUM(CB139:CB145)</f>
        <v>-102.17500000000001</v>
      </c>
      <c r="CC146" s="739">
        <f>SUM(BY146:CB146)</f>
        <v>-15.27000000000001</v>
      </c>
      <c r="CD146" s="739">
        <f>SUM(CD139:CD145)</f>
        <v>-116.227</v>
      </c>
      <c r="CE146" s="739">
        <f>SUM(CE139:CE145)</f>
        <v>-778.38900000000001</v>
      </c>
      <c r="CF146" s="739">
        <f>SUM(CF139:CF145)</f>
        <v>-4.179000000000002</v>
      </c>
      <c r="CG146" s="739">
        <f>SUM(CG139:CG145)</f>
        <v>1288.3870000000002</v>
      </c>
      <c r="CH146" s="739">
        <f>SUM(CD146:CG146)</f>
        <v>389.59200000000021</v>
      </c>
      <c r="CI146" s="739">
        <f>SUM(CI139:CI145)</f>
        <v>-463.12200000000001</v>
      </c>
      <c r="CJ146" s="739">
        <f>SUM(CJ139:CJ145)</f>
        <v>-27.400999999999996</v>
      </c>
      <c r="CK146" s="739">
        <f>SUM(CK139:CK145)</f>
        <v>-320.43700000000001</v>
      </c>
      <c r="CL146" s="739">
        <f>SUM(CL139:CL145)</f>
        <v>-22.581000000000017</v>
      </c>
      <c r="CM146" s="739">
        <f>SUM(CI146:CL146)</f>
        <v>-833.54100000000005</v>
      </c>
      <c r="CN146" s="739">
        <f>SUM(CN139:CN145)</f>
        <v>-44</v>
      </c>
      <c r="CO146" s="739">
        <f>SUM(CO139:CO145)</f>
        <v>-439</v>
      </c>
      <c r="CP146" s="739">
        <f>SUM(CP139:CP145)</f>
        <v>-20</v>
      </c>
      <c r="CQ146" s="739">
        <f>SUM(CQ139:CQ145)</f>
        <v>-173</v>
      </c>
      <c r="CR146" s="739">
        <f>SUM(CN146:CQ146)</f>
        <v>-676</v>
      </c>
      <c r="CS146" s="739">
        <f>SUM(CS139:CS145)</f>
        <v>-534</v>
      </c>
      <c r="CT146" s="739">
        <f>SUM(CT139:CT145)</f>
        <v>-36</v>
      </c>
      <c r="CU146" s="739">
        <f>SUM(CU139:CU145)</f>
        <v>1383</v>
      </c>
      <c r="CV146" s="739">
        <f>SUM(CV139:CV145)</f>
        <v>-522</v>
      </c>
      <c r="CW146" s="739">
        <f>SUM(CS146:CV146)</f>
        <v>291</v>
      </c>
      <c r="CX146" s="739">
        <f>SUM(CX139:CX145)</f>
        <v>-813</v>
      </c>
      <c r="CY146" s="739">
        <f>SUM(CY139:CY145)</f>
        <v>-968</v>
      </c>
      <c r="CZ146" s="739">
        <f>SUM(CZ139:CZ145)</f>
        <v>-629</v>
      </c>
      <c r="DA146" s="739">
        <f>SUM(DA139:DA145)</f>
        <v>-134</v>
      </c>
      <c r="DB146" s="739">
        <f>SUM(CX146:DA146)</f>
        <v>-2544</v>
      </c>
      <c r="DC146" s="739">
        <f>SUM(DC139:DC145)</f>
        <v>-1131</v>
      </c>
      <c r="DD146" s="739">
        <f>SUM(DD139:DD145)</f>
        <v>-155</v>
      </c>
      <c r="DE146" s="739">
        <f>SUM(DE139:DE145)</f>
        <v>-703</v>
      </c>
      <c r="DF146" s="739">
        <f>SUM(DF139:DF145)</f>
        <v>-877</v>
      </c>
      <c r="DG146" s="739">
        <f>SUM(DC146:DF146)</f>
        <v>-2866</v>
      </c>
      <c r="DH146" s="739">
        <f>SUM(DH139:DH145)</f>
        <v>-225</v>
      </c>
      <c r="DI146" s="739">
        <f>SUM(DI139:DI145)</f>
        <v>-65</v>
      </c>
      <c r="DJ146" s="739">
        <f>SUM(DJ139:DJ145)</f>
        <v>-316</v>
      </c>
      <c r="DK146" s="739">
        <f>SUM(DK139:DK145)</f>
        <v>-183</v>
      </c>
      <c r="DL146" s="739">
        <f>SUM(DH146:DK146)</f>
        <v>-789</v>
      </c>
      <c r="DM146" s="739">
        <f>SUM(DM139:DM145)</f>
        <v>4744</v>
      </c>
      <c r="DN146" s="739">
        <f>SUM(DN139:DN145)</f>
        <v>-297</v>
      </c>
      <c r="DO146" s="739">
        <f>SUM(DO139:DO145)</f>
        <v>-301</v>
      </c>
      <c r="DP146" s="739">
        <f>SUM(DP139:DP145)</f>
        <v>-342</v>
      </c>
      <c r="DQ146" s="739">
        <f>SUM(DM146:DP146)</f>
        <v>3804</v>
      </c>
      <c r="DR146" s="739">
        <f>SUM(DR139:DR145)</f>
        <v>-471</v>
      </c>
      <c r="DS146" s="739">
        <f>SUM(DS139:DS145)</f>
        <v>4501</v>
      </c>
      <c r="DT146" s="739">
        <f>SUM(DT139:DT145)</f>
        <v>-1421</v>
      </c>
      <c r="DU146" s="739">
        <f>SUM(DU139:DU145)</f>
        <v>-744</v>
      </c>
      <c r="DV146" s="739">
        <f>SUM(DR146:DU146)</f>
        <v>1865</v>
      </c>
      <c r="DW146" s="739">
        <f>SUM(DW139:DW145)</f>
        <v>-2446</v>
      </c>
      <c r="DX146" s="739">
        <f>SUM(DX139:DX145)</f>
        <v>-3762</v>
      </c>
      <c r="DY146" s="739">
        <f>SUM(DY139:DY145)</f>
        <v>-3753</v>
      </c>
      <c r="DZ146" s="739">
        <f>SUM(DZ139:DZ145)</f>
        <v>-1656</v>
      </c>
      <c r="EA146" s="739">
        <f>SUM(DW146:DZ146)</f>
        <v>-11617</v>
      </c>
      <c r="EB146" s="739">
        <f>SUM(EB139:EB145)</f>
        <v>-380</v>
      </c>
      <c r="EC146" s="739">
        <f>SUM(EC139:EC145)</f>
        <v>-5098</v>
      </c>
      <c r="ED146" s="739">
        <f>SUM(ED139:ED145)</f>
        <v>-4527</v>
      </c>
      <c r="EE146" s="739">
        <f>SUM(EE139:EE145)</f>
        <v>-3629</v>
      </c>
      <c r="EF146" s="739">
        <f>SUM(EB146:EE146)</f>
        <v>-13634</v>
      </c>
      <c r="EG146" s="739">
        <f>SUM(EG139:EG145)</f>
        <v>-9345</v>
      </c>
      <c r="EH146" s="739">
        <f>SUM(EH139:EH145)</f>
        <v>-10320</v>
      </c>
      <c r="EI146" s="739">
        <f>SUM(EI139:EI145)</f>
        <v>-12748</v>
      </c>
      <c r="EJ146" s="739">
        <f>SUM(EJ139:EJ145)</f>
        <v>-9949</v>
      </c>
      <c r="EK146" s="739">
        <f>SUM(EG146:EJ146)</f>
        <v>-42362</v>
      </c>
      <c r="EL146" s="739">
        <f>SUM(EL139:EL145)</f>
        <v>-15553</v>
      </c>
      <c r="EM146" s="739">
        <f>SUM(EM139:EM145)</f>
        <v>-11834</v>
      </c>
      <c r="EN146" s="739">
        <f>SUM(EN139:EN145)</f>
        <v>-14878</v>
      </c>
      <c r="EO146" s="739">
        <f>SUM(EO139:EO145)</f>
        <v>-6210</v>
      </c>
      <c r="EP146" s="739">
        <f>SUM(EL146:EO146)</f>
        <v>-48475</v>
      </c>
      <c r="EQ146" s="739">
        <f>SUM(EQ139:EQ145)</f>
        <v>-21283</v>
      </c>
      <c r="ER146" s="739">
        <f>SUM(ER139:ER145)</f>
        <v>-26044.537176470589</v>
      </c>
      <c r="ES146" s="739">
        <f>SUM(ES139:ES145)</f>
        <v>-26017.622743529413</v>
      </c>
      <c r="ET146" s="739">
        <f>SUM(ET139:ET145)</f>
        <v>-25990.75763957647</v>
      </c>
      <c r="EU146" s="739">
        <f>SUM(EQ146:ET146)</f>
        <v>-99335.917559576483</v>
      </c>
      <c r="EV146" s="739">
        <f>SUM(EV139:EV145)</f>
        <v>-28460.266351191531</v>
      </c>
      <c r="EW146" s="739">
        <f>SUM(EW139:EW145)</f>
        <v>-28429.826325274182</v>
      </c>
      <c r="EX146" s="739">
        <f>SUM(EX139:EX145)</f>
        <v>-30895.762087073785</v>
      </c>
      <c r="EY146" s="739">
        <f>SUM(EY139:EY145)</f>
        <v>-30861.751122932907</v>
      </c>
      <c r="EZ146" s="739">
        <f>SUM(EV146:EY146)</f>
        <v>-118647.6058864724</v>
      </c>
      <c r="FA146" s="739">
        <f>SUM(FA139:FA145)</f>
        <v>-30827.794468920976</v>
      </c>
      <c r="FB146" s="739">
        <f>SUM(FB139:FB145)</f>
        <v>-34270.229090926092</v>
      </c>
      <c r="FC146" s="739">
        <f>SUM(FC139:FC145)</f>
        <v>-34216.07734333285</v>
      </c>
      <c r="FD146" s="739">
        <f>SUM(FD139:FD145)</f>
        <v>-34162.017666670094</v>
      </c>
      <c r="FE146" s="739">
        <f>SUM(FA146:FD146)</f>
        <v>-133476.11856985002</v>
      </c>
      <c r="FF146" s="739">
        <f>SUM(FF139:FF145)</f>
        <v>-36602.169502356439</v>
      </c>
      <c r="FG146" s="739">
        <f>SUM(FG139:FG145)</f>
        <v>-36542.417033580037</v>
      </c>
      <c r="FH146" s="739">
        <f>SUM(FH139:FH145)</f>
        <v>-36482.762127192815</v>
      </c>
      <c r="FI146" s="739">
        <f>SUM(FI139:FI145)</f>
        <v>-36423.206687383732</v>
      </c>
      <c r="FJ146" s="739">
        <f>SUM(FF146:FI146)</f>
        <v>-146050.55535051302</v>
      </c>
      <c r="FK146" s="739">
        <f>SUM(FK139:FK145)</f>
        <v>-38857.870303484349</v>
      </c>
      <c r="FL146" s="739">
        <f>SUM(FL139:FL145)</f>
        <v>-43188.955964331049</v>
      </c>
      <c r="FM146" s="739">
        <f>SUM(FM139:FM145)</f>
        <v>-43091.264589500017</v>
      </c>
      <c r="FN146" s="739">
        <f>SUM(FN139:FN145)</f>
        <v>-42993.734422466492</v>
      </c>
      <c r="FO146" s="739">
        <f>SUM(FK146:FN146)</f>
        <v>-168131.82527978192</v>
      </c>
      <c r="FP146" s="739"/>
      <c r="FQ146" s="152"/>
    </row>
    <row r="147" spans="1:173">
      <c r="B147" s="734"/>
      <c r="C147" s="734"/>
      <c r="D147" s="734"/>
      <c r="E147" s="734"/>
      <c r="F147" s="734"/>
      <c r="G147" s="734"/>
      <c r="H147" s="734"/>
      <c r="I147" s="734"/>
      <c r="J147" s="734"/>
      <c r="K147" s="205"/>
      <c r="L147" s="209"/>
      <c r="M147" s="209"/>
      <c r="N147" s="209"/>
      <c r="O147" s="209"/>
      <c r="P147" s="209"/>
      <c r="Q147" s="209"/>
      <c r="R147" s="209"/>
      <c r="S147" s="209"/>
      <c r="T147" s="209"/>
      <c r="U147" s="209"/>
      <c r="V147" s="209"/>
      <c r="W147" s="209"/>
      <c r="X147" s="209"/>
      <c r="Y147" s="209"/>
      <c r="Z147" s="209"/>
      <c r="AA147" s="209"/>
      <c r="AB147" s="209"/>
      <c r="AC147" s="209"/>
      <c r="AD147" s="209"/>
      <c r="AE147" s="209"/>
      <c r="AF147" s="209"/>
      <c r="AG147" s="209"/>
      <c r="AH147" s="209"/>
      <c r="AI147" s="209"/>
      <c r="AJ147" s="209"/>
      <c r="AK147" s="209"/>
      <c r="AL147" s="209"/>
      <c r="AM147" s="209"/>
      <c r="AN147" s="209"/>
      <c r="AO147" s="209"/>
      <c r="AP147" s="209"/>
      <c r="AQ147" s="209"/>
      <c r="AR147" s="208"/>
      <c r="AS147" s="209"/>
      <c r="AT147" s="209"/>
      <c r="AU147" s="209"/>
      <c r="AV147" s="209"/>
      <c r="AW147" s="209"/>
      <c r="AX147" s="209"/>
      <c r="AY147" s="209"/>
      <c r="AZ147" s="209"/>
      <c r="BA147" s="209"/>
      <c r="BB147" s="209"/>
      <c r="BC147" s="209"/>
      <c r="BD147" s="209"/>
      <c r="BE147" s="209"/>
      <c r="BF147" s="209"/>
      <c r="BG147" s="209"/>
      <c r="BH147" s="209"/>
      <c r="BI147" s="209"/>
      <c r="BJ147" s="209"/>
      <c r="BK147" s="209"/>
      <c r="BL147" s="209"/>
      <c r="BM147" s="209"/>
      <c r="BN147" s="209"/>
      <c r="BO147" s="209"/>
      <c r="BP147" s="209"/>
      <c r="BQ147" s="209"/>
      <c r="BR147" s="209"/>
      <c r="BS147" s="209"/>
      <c r="BT147" s="209"/>
      <c r="BU147" s="209"/>
      <c r="BV147" s="209"/>
      <c r="BW147" s="209"/>
      <c r="BX147" s="209"/>
      <c r="BY147" s="209"/>
      <c r="BZ147" s="209"/>
      <c r="CA147" s="209"/>
      <c r="CB147" s="209"/>
      <c r="CC147" s="209"/>
      <c r="CD147" s="209"/>
      <c r="CE147" s="209"/>
      <c r="CF147" s="209"/>
      <c r="CG147" s="209"/>
      <c r="CH147" s="209"/>
      <c r="CI147" s="209"/>
      <c r="CJ147" s="209"/>
      <c r="CK147" s="209"/>
      <c r="CL147" s="209"/>
      <c r="CM147" s="209"/>
      <c r="CN147" s="209"/>
      <c r="CO147" s="209"/>
      <c r="CP147" s="209"/>
      <c r="CQ147" s="209"/>
      <c r="CR147" s="209"/>
      <c r="CS147" s="209"/>
      <c r="CT147" s="209"/>
      <c r="CU147" s="209"/>
      <c r="CV147" s="209"/>
      <c r="CW147" s="209"/>
      <c r="CX147" s="209"/>
      <c r="CY147" s="208"/>
      <c r="CZ147" s="209"/>
      <c r="DA147" s="209"/>
      <c r="DB147" s="209"/>
      <c r="DC147" s="209"/>
      <c r="DD147" s="208"/>
      <c r="DE147" s="209"/>
      <c r="DF147" s="208"/>
      <c r="DG147" s="209"/>
      <c r="DH147" s="209"/>
      <c r="DI147" s="209"/>
      <c r="DJ147" s="209"/>
      <c r="DK147" s="209"/>
      <c r="DL147" s="209"/>
      <c r="DM147" s="209"/>
      <c r="DN147" s="209"/>
      <c r="DO147" s="209"/>
      <c r="DP147" s="209"/>
      <c r="DQ147" s="209"/>
      <c r="DR147" s="209"/>
      <c r="DS147" s="209"/>
      <c r="DT147" s="209"/>
      <c r="DU147" s="209"/>
      <c r="DV147" s="209"/>
      <c r="DW147" s="209"/>
      <c r="DX147" s="209"/>
      <c r="DY147" s="209"/>
      <c r="DZ147" s="209"/>
      <c r="EA147" s="209"/>
      <c r="EB147" s="209"/>
      <c r="EC147" s="209"/>
      <c r="ED147" s="209"/>
      <c r="EE147" s="209"/>
      <c r="EF147" s="209"/>
      <c r="EG147" s="209"/>
      <c r="EH147" s="209"/>
      <c r="EI147" s="209"/>
      <c r="EJ147" s="209"/>
      <c r="EK147" s="209"/>
      <c r="EL147" s="209"/>
      <c r="EM147" s="209"/>
      <c r="EN147" s="209"/>
      <c r="EO147" s="209"/>
      <c r="EP147" s="209"/>
      <c r="EQ147" s="209"/>
      <c r="ER147" s="209"/>
      <c r="ES147" s="209"/>
      <c r="ET147" s="209"/>
      <c r="EU147" s="209"/>
      <c r="EV147" s="209"/>
      <c r="EW147" s="209"/>
      <c r="EX147" s="209"/>
      <c r="EY147" s="209"/>
      <c r="EZ147" s="209"/>
      <c r="FA147" s="209"/>
      <c r="FB147" s="209"/>
      <c r="FC147" s="209"/>
      <c r="FD147" s="209"/>
      <c r="FE147" s="209"/>
      <c r="FF147" s="209"/>
      <c r="FG147" s="209"/>
      <c r="FH147" s="209"/>
      <c r="FI147" s="209"/>
      <c r="FJ147" s="209"/>
      <c r="FK147" s="209"/>
      <c r="FL147" s="209"/>
      <c r="FM147" s="209"/>
      <c r="FN147" s="209"/>
      <c r="FO147" s="209"/>
      <c r="FP147" s="209"/>
      <c r="FQ147" s="184"/>
    </row>
    <row r="148" spans="1:173" hidden="1">
      <c r="B148" s="734"/>
      <c r="C148" s="734"/>
      <c r="D148" s="734"/>
      <c r="E148" s="734"/>
      <c r="F148" s="734"/>
      <c r="G148" s="734"/>
      <c r="H148" s="734"/>
      <c r="I148" s="734"/>
      <c r="J148" s="734"/>
      <c r="K148" s="205"/>
      <c r="L148" s="209"/>
      <c r="M148" s="209"/>
      <c r="N148" s="209"/>
      <c r="O148" s="209"/>
      <c r="P148" s="209"/>
      <c r="Q148" s="209"/>
      <c r="R148" s="209"/>
      <c r="S148" s="209"/>
      <c r="T148" s="209"/>
      <c r="U148" s="209"/>
      <c r="V148" s="209"/>
      <c r="W148" s="209"/>
      <c r="X148" s="209"/>
      <c r="Y148" s="209"/>
      <c r="Z148" s="209"/>
      <c r="AA148" s="209"/>
      <c r="AB148" s="209"/>
      <c r="AC148" s="209"/>
      <c r="AD148" s="209"/>
      <c r="AE148" s="209"/>
      <c r="AF148" s="209"/>
      <c r="AG148" s="209"/>
      <c r="AH148" s="209"/>
      <c r="AI148" s="209"/>
      <c r="AJ148" s="209"/>
      <c r="AK148" s="209"/>
      <c r="AL148" s="209"/>
      <c r="AM148" s="209"/>
      <c r="AN148" s="209"/>
      <c r="AO148" s="209"/>
      <c r="AP148" s="209"/>
      <c r="AQ148" s="209"/>
      <c r="AR148" s="209"/>
      <c r="AS148" s="209"/>
      <c r="AT148" s="209"/>
      <c r="AU148" s="209"/>
      <c r="AV148" s="209"/>
      <c r="AW148" s="209"/>
      <c r="AX148" s="209"/>
      <c r="AY148" s="209"/>
      <c r="AZ148" s="209"/>
      <c r="BA148" s="209"/>
      <c r="BB148" s="209"/>
      <c r="BC148" s="209"/>
      <c r="BD148" s="209"/>
      <c r="BE148" s="209"/>
      <c r="BF148" s="209"/>
      <c r="BG148" s="209"/>
      <c r="BH148" s="209"/>
      <c r="BI148" s="209"/>
      <c r="BJ148" s="209"/>
      <c r="BK148" s="209"/>
      <c r="BL148" s="209"/>
      <c r="BM148" s="209"/>
      <c r="BN148" s="209"/>
      <c r="BO148" s="209"/>
      <c r="BP148" s="209"/>
      <c r="BQ148" s="209"/>
      <c r="BR148" s="209"/>
      <c r="BS148" s="209"/>
      <c r="BT148" s="209"/>
      <c r="BU148" s="209"/>
      <c r="BV148" s="209"/>
      <c r="BW148" s="209"/>
      <c r="BX148" s="209"/>
      <c r="BY148" s="209"/>
      <c r="BZ148" s="209"/>
      <c r="CA148" s="209"/>
      <c r="CB148" s="209"/>
      <c r="CC148" s="209"/>
      <c r="CD148" s="209"/>
      <c r="CE148" s="209"/>
      <c r="CF148" s="209"/>
      <c r="CG148" s="209"/>
      <c r="CH148" s="209"/>
      <c r="CI148" s="209"/>
      <c r="CJ148" s="209"/>
      <c r="CK148" s="209"/>
      <c r="CL148" s="209"/>
      <c r="CM148" s="209"/>
      <c r="CN148" s="209"/>
      <c r="CO148" s="209"/>
      <c r="CP148" s="209"/>
      <c r="CQ148" s="209"/>
      <c r="CR148" s="209"/>
      <c r="CS148" s="209"/>
      <c r="CT148" s="209"/>
      <c r="CU148" s="209"/>
      <c r="CV148" s="209"/>
      <c r="CW148" s="209"/>
      <c r="CX148" s="209"/>
      <c r="CY148" s="209"/>
      <c r="CZ148" s="209"/>
      <c r="DA148" s="209"/>
      <c r="DB148" s="209"/>
      <c r="DC148" s="209"/>
      <c r="DD148" s="209"/>
      <c r="DE148" s="209"/>
      <c r="DF148" s="209"/>
      <c r="DG148" s="209"/>
      <c r="DH148" s="209"/>
      <c r="DI148" s="209"/>
      <c r="DJ148" s="209"/>
      <c r="DK148" s="209"/>
      <c r="DL148" s="209"/>
      <c r="DM148" s="209"/>
      <c r="DN148" s="209"/>
      <c r="DO148" s="209"/>
      <c r="DP148" s="209"/>
      <c r="DQ148" s="209"/>
      <c r="DR148" s="209"/>
      <c r="DS148" s="209"/>
      <c r="DT148" s="209"/>
      <c r="DU148" s="209"/>
      <c r="DV148" s="209"/>
      <c r="DW148" s="209"/>
      <c r="DX148" s="209"/>
      <c r="DY148" s="209"/>
      <c r="DZ148" s="209"/>
      <c r="EA148" s="209"/>
      <c r="EB148" s="209"/>
      <c r="EC148" s="209"/>
      <c r="ED148" s="209"/>
      <c r="EE148" s="209"/>
      <c r="EF148" s="209"/>
      <c r="EG148" s="209"/>
      <c r="EH148" s="209"/>
      <c r="EI148" s="209"/>
      <c r="EJ148" s="209"/>
      <c r="EK148" s="209"/>
      <c r="EL148" s="209"/>
      <c r="EM148" s="209"/>
      <c r="EN148" s="209"/>
      <c r="EO148" s="209"/>
      <c r="EP148" s="209"/>
      <c r="EQ148" s="209"/>
      <c r="ER148" s="209"/>
      <c r="ES148" s="209"/>
      <c r="ET148" s="209"/>
      <c r="EU148" s="209"/>
      <c r="EV148" s="209"/>
      <c r="EW148" s="209"/>
      <c r="EX148" s="209"/>
      <c r="EY148" s="209"/>
      <c r="EZ148" s="209"/>
      <c r="FA148" s="209"/>
      <c r="FB148" s="209"/>
      <c r="FC148" s="209"/>
      <c r="FD148" s="209"/>
      <c r="FE148" s="209"/>
      <c r="FF148" s="209"/>
      <c r="FG148" s="209"/>
      <c r="FH148" s="209"/>
      <c r="FI148" s="209"/>
      <c r="FJ148" s="209"/>
      <c r="FK148" s="209"/>
      <c r="FL148" s="209"/>
      <c r="FM148" s="209"/>
      <c r="FN148" s="209"/>
      <c r="FO148" s="209"/>
      <c r="FP148" s="209"/>
    </row>
    <row r="149" spans="1:173" hidden="1">
      <c r="B149" s="734"/>
      <c r="C149" s="734"/>
      <c r="D149" s="734"/>
      <c r="E149" s="734"/>
      <c r="F149" s="734"/>
      <c r="G149" s="734"/>
      <c r="H149" s="734"/>
      <c r="I149" s="734"/>
      <c r="J149" s="734"/>
      <c r="K149" s="205"/>
      <c r="L149" s="209"/>
      <c r="M149" s="209"/>
      <c r="N149" s="209"/>
      <c r="O149" s="209"/>
      <c r="P149" s="209"/>
      <c r="Q149" s="209"/>
      <c r="R149" s="209"/>
      <c r="S149" s="209"/>
      <c r="T149" s="209"/>
      <c r="U149" s="209"/>
      <c r="V149" s="209"/>
      <c r="W149" s="209"/>
      <c r="X149" s="209"/>
      <c r="Y149" s="209"/>
      <c r="Z149" s="209"/>
      <c r="AA149" s="209"/>
      <c r="AB149" s="209"/>
      <c r="AC149" s="209"/>
      <c r="AD149" s="209"/>
      <c r="AE149" s="209"/>
      <c r="AF149" s="209"/>
      <c r="AG149" s="209"/>
      <c r="AH149" s="209"/>
      <c r="AI149" s="209"/>
      <c r="AJ149" s="209"/>
      <c r="AK149" s="209"/>
      <c r="AL149" s="209"/>
      <c r="AM149" s="209"/>
      <c r="AN149" s="209"/>
      <c r="AO149" s="209"/>
      <c r="AP149" s="209"/>
      <c r="AQ149" s="209"/>
      <c r="AR149" s="209"/>
      <c r="AS149" s="209"/>
      <c r="AT149" s="209"/>
      <c r="AU149" s="209"/>
      <c r="AV149" s="209"/>
      <c r="AW149" s="209"/>
      <c r="AX149" s="209"/>
      <c r="AY149" s="209"/>
      <c r="AZ149" s="209"/>
      <c r="BA149" s="209"/>
      <c r="BB149" s="209"/>
      <c r="BC149" s="209"/>
      <c r="BD149" s="209"/>
      <c r="BE149" s="209"/>
      <c r="BF149" s="209"/>
      <c r="BG149" s="209"/>
      <c r="BH149" s="209"/>
      <c r="BI149" s="209"/>
      <c r="BJ149" s="209"/>
      <c r="BK149" s="209"/>
      <c r="BL149" s="209"/>
      <c r="BM149" s="209"/>
      <c r="BN149" s="209"/>
      <c r="BO149" s="209"/>
      <c r="BP149" s="209"/>
      <c r="BQ149" s="209"/>
      <c r="BR149" s="209"/>
      <c r="BS149" s="209"/>
      <c r="BT149" s="209"/>
      <c r="BU149" s="209"/>
      <c r="BV149" s="209"/>
      <c r="BW149" s="209"/>
      <c r="BX149" s="209"/>
      <c r="BY149" s="209"/>
      <c r="BZ149" s="209"/>
      <c r="CA149" s="209"/>
      <c r="CB149" s="209"/>
      <c r="CC149" s="209"/>
      <c r="CD149" s="209"/>
      <c r="CE149" s="209"/>
      <c r="CF149" s="209"/>
      <c r="CG149" s="209"/>
      <c r="CH149" s="209"/>
      <c r="CI149" s="209"/>
      <c r="CJ149" s="209"/>
      <c r="CK149" s="209"/>
      <c r="CL149" s="209"/>
      <c r="CM149" s="209"/>
      <c r="CN149" s="209"/>
      <c r="CO149" s="209"/>
      <c r="CP149" s="209"/>
      <c r="CQ149" s="209"/>
      <c r="CR149" s="209"/>
      <c r="CS149" s="209"/>
      <c r="CT149" s="209"/>
      <c r="CU149" s="209"/>
      <c r="CV149" s="209"/>
      <c r="CW149" s="209"/>
      <c r="CX149" s="209"/>
      <c r="CY149" s="209"/>
      <c r="CZ149" s="209"/>
      <c r="DA149" s="209"/>
      <c r="DB149" s="209"/>
      <c r="DC149" s="209"/>
      <c r="DD149" s="209"/>
      <c r="DE149" s="209"/>
      <c r="DF149" s="209"/>
      <c r="DG149" s="209"/>
      <c r="DH149" s="209"/>
      <c r="DI149" s="209"/>
      <c r="DJ149" s="209"/>
      <c r="DK149" s="209"/>
      <c r="DL149" s="209"/>
      <c r="DM149" s="209"/>
      <c r="DN149" s="209"/>
      <c r="DO149" s="209"/>
      <c r="DP149" s="209"/>
      <c r="DQ149" s="209"/>
      <c r="DR149" s="209"/>
      <c r="DS149" s="209"/>
      <c r="DT149" s="209"/>
      <c r="DU149" s="209"/>
      <c r="DV149" s="209"/>
      <c r="DW149" s="209"/>
      <c r="DX149" s="209"/>
      <c r="DY149" s="209"/>
      <c r="DZ149" s="209"/>
      <c r="EA149" s="209"/>
      <c r="EB149" s="209"/>
      <c r="EC149" s="209"/>
      <c r="ED149" s="209"/>
      <c r="EE149" s="209"/>
      <c r="EF149" s="209"/>
      <c r="EG149" s="209"/>
      <c r="EH149" s="209"/>
      <c r="EI149" s="209"/>
      <c r="EJ149" s="209"/>
      <c r="EK149" s="209"/>
      <c r="EL149" s="209"/>
      <c r="EM149" s="209"/>
      <c r="EN149" s="209"/>
      <c r="EO149" s="209"/>
      <c r="EP149" s="209"/>
      <c r="EQ149" s="209"/>
      <c r="ER149" s="209"/>
      <c r="ES149" s="209"/>
      <c r="ET149" s="209"/>
      <c r="EU149" s="209"/>
      <c r="EV149" s="209"/>
      <c r="EW149" s="209"/>
      <c r="EX149" s="209"/>
      <c r="EY149" s="209"/>
      <c r="EZ149" s="209"/>
      <c r="FA149" s="209"/>
      <c r="FB149" s="209"/>
      <c r="FC149" s="209"/>
      <c r="FD149" s="209"/>
      <c r="FE149" s="209"/>
      <c r="FF149" s="209"/>
      <c r="FG149" s="209"/>
      <c r="FH149" s="209"/>
      <c r="FI149" s="209"/>
      <c r="FJ149" s="209"/>
      <c r="FK149" s="209"/>
      <c r="FL149" s="209"/>
      <c r="FM149" s="209"/>
      <c r="FN149" s="209"/>
      <c r="FO149" s="209"/>
      <c r="FP149" s="209"/>
    </row>
    <row r="150" spans="1:173">
      <c r="A150" s="171" t="s">
        <v>483</v>
      </c>
      <c r="B150" s="737"/>
      <c r="C150" s="737"/>
      <c r="D150" s="737"/>
      <c r="E150" s="737"/>
      <c r="F150" s="737"/>
      <c r="G150" s="737"/>
      <c r="H150" s="737"/>
      <c r="I150" s="737"/>
      <c r="J150" s="737"/>
      <c r="K150" s="738"/>
      <c r="L150" s="739">
        <f>L146+L134+L129</f>
        <v>1.5660000000000038</v>
      </c>
      <c r="M150" s="739">
        <f>M146+M134+M129</f>
        <v>-4.6760000000000002</v>
      </c>
      <c r="N150" s="739">
        <f>N146+N134+N129</f>
        <v>10.908999999999995</v>
      </c>
      <c r="O150" s="739">
        <f>O146+O134+O129</f>
        <v>6.3560000000000096</v>
      </c>
      <c r="P150" s="739">
        <f>SUM(L150:O150)</f>
        <v>14.155000000000008</v>
      </c>
      <c r="Q150" s="739">
        <f>Q146+Q134+Q129</f>
        <v>204.648</v>
      </c>
      <c r="R150" s="739">
        <f>R146+R134+R129</f>
        <v>20.520000000000017</v>
      </c>
      <c r="S150" s="739">
        <f>S146+S134+S129</f>
        <v>405.93</v>
      </c>
      <c r="T150" s="739">
        <f>T146+T134+T129</f>
        <v>-19.814000000000064</v>
      </c>
      <c r="U150" s="739">
        <f>SUM(Q150:T150)</f>
        <v>611.28399999999988</v>
      </c>
      <c r="V150" s="739">
        <f>V146+V134+V129</f>
        <v>-46.975000000000009</v>
      </c>
      <c r="W150" s="739">
        <f>W146+W134+W129</f>
        <v>53.77800000000002</v>
      </c>
      <c r="X150" s="739">
        <f>X146+X134+X129</f>
        <v>-282.60500000000002</v>
      </c>
      <c r="Y150" s="739">
        <f>Y146+Y134+Y129</f>
        <v>-63.659300000000002</v>
      </c>
      <c r="Z150" s="739">
        <f>SUM(V150:Y150)</f>
        <v>-339.46130000000005</v>
      </c>
      <c r="AA150" s="739">
        <f>AA146+AA134+AA129</f>
        <v>-25.849000000000075</v>
      </c>
      <c r="AB150" s="739">
        <f>AB146+AB134+AB129</f>
        <v>-60.334999999999951</v>
      </c>
      <c r="AC150" s="739">
        <f>AC146+AC134+AC129</f>
        <v>75.718999999999937</v>
      </c>
      <c r="AD150" s="739">
        <f>AD146+AD134+AD129</f>
        <v>24.459000000000032</v>
      </c>
      <c r="AE150" s="739">
        <f>SUM(AA150:AD150)</f>
        <v>13.993999999999943</v>
      </c>
      <c r="AF150" s="739">
        <f>AF146+AF134+AF129</f>
        <v>-68.197999999999979</v>
      </c>
      <c r="AG150" s="739">
        <f>AG146+AG134+AG129</f>
        <v>-4.499000000000013</v>
      </c>
      <c r="AH150" s="739">
        <f>AH146+AH134+AH129</f>
        <v>-42.483999999999945</v>
      </c>
      <c r="AI150" s="739">
        <f>AI146+AI134+AI129</f>
        <v>-17.391000000000037</v>
      </c>
      <c r="AJ150" s="739">
        <f>SUM(AF150:AI150)</f>
        <v>-132.57199999999997</v>
      </c>
      <c r="AK150" s="739">
        <f>AK146+AK134+AK129</f>
        <v>-17.747000000000085</v>
      </c>
      <c r="AL150" s="739">
        <f>AL146+AL134+AL129</f>
        <v>-16.096000000000029</v>
      </c>
      <c r="AM150" s="739">
        <f>AM146+AM134+AM129</f>
        <v>-23.89199999999996</v>
      </c>
      <c r="AN150" s="739">
        <f>AN146+AN134+AN129</f>
        <v>51.825000000000017</v>
      </c>
      <c r="AO150" s="739">
        <f>SUM(AK150:AN150)</f>
        <v>-5.9100000000000605</v>
      </c>
      <c r="AP150" s="739">
        <f>AP146+AP134+AP129</f>
        <v>72.49199999999999</v>
      </c>
      <c r="AQ150" s="739">
        <f>AQ146+AQ134+AQ129</f>
        <v>-38.833999999999989</v>
      </c>
      <c r="AR150" s="739">
        <f>AR146+AR134+AR129</f>
        <v>122.13799999999992</v>
      </c>
      <c r="AS150" s="739">
        <f>AS146+AS134+AS129</f>
        <v>187.44800000000006</v>
      </c>
      <c r="AT150" s="739">
        <f>SUM(AP150:AS150)</f>
        <v>343.24400000000003</v>
      </c>
      <c r="AU150" s="739">
        <f>AU146+AU134+AU129</f>
        <v>-63.992999999999988</v>
      </c>
      <c r="AV150" s="739">
        <f>AV146+AV134+AV129</f>
        <v>-99.339999999999975</v>
      </c>
      <c r="AW150" s="739">
        <f>AW146+AW134+AW129</f>
        <v>353.32299999999998</v>
      </c>
      <c r="AX150" s="739">
        <f>AX146+AX134+AX129</f>
        <v>-197.33199999999988</v>
      </c>
      <c r="AY150" s="739">
        <f>SUM(AU150:AX150)</f>
        <v>-7.3419999999998709</v>
      </c>
      <c r="AZ150" s="739">
        <f>AZ146+AZ134+AZ129</f>
        <v>134.53699999999995</v>
      </c>
      <c r="BA150" s="739">
        <f>BA146+BA134+BA129</f>
        <v>235.79400000000004</v>
      </c>
      <c r="BB150" s="739">
        <f>BB146+BB134+BB129</f>
        <v>141.95699999999985</v>
      </c>
      <c r="BC150" s="739">
        <f>BC146+BC134+BC129</f>
        <v>-329.73299999999983</v>
      </c>
      <c r="BD150" s="739">
        <f>SUM(AZ150:BC150)</f>
        <v>182.55500000000006</v>
      </c>
      <c r="BE150" s="739">
        <f>BE146+BE134+BE129</f>
        <v>76.33899999999997</v>
      </c>
      <c r="BF150" s="739">
        <f>BF146+BF134+BF129</f>
        <v>-84.164999999999907</v>
      </c>
      <c r="BG150" s="739">
        <f>BG146+BG134+BG129</f>
        <v>-307.19000000000017</v>
      </c>
      <c r="BH150" s="739">
        <f>BH146+BH134+BH129</f>
        <v>-43.565000000000047</v>
      </c>
      <c r="BI150" s="739">
        <f>SUM(BE150:BH150)</f>
        <v>-358.58100000000013</v>
      </c>
      <c r="BJ150" s="739">
        <f>BJ146+BJ134+BJ129</f>
        <v>94.585999999999984</v>
      </c>
      <c r="BK150" s="739">
        <f>BK146+BK134+BK129</f>
        <v>11.510999999999953</v>
      </c>
      <c r="BL150" s="739">
        <f>BL146+BL134+BL129</f>
        <v>167.97399999999999</v>
      </c>
      <c r="BM150" s="739">
        <f>BM146+BM134+BM129</f>
        <v>-244.5380000000001</v>
      </c>
      <c r="BN150" s="739">
        <f>SUM(BJ150:BM150)</f>
        <v>29.532999999999817</v>
      </c>
      <c r="BO150" s="739">
        <f>BO146+BO134+BO129</f>
        <v>4.0999999999939973E-2</v>
      </c>
      <c r="BP150" s="739">
        <f>BP146+BP134+BP129</f>
        <v>-70.259000000000086</v>
      </c>
      <c r="BQ150" s="739">
        <f>BQ146+BQ134+BQ129</f>
        <v>-0.72000000000002728</v>
      </c>
      <c r="BR150" s="739">
        <f>BR146+BR134+BR129</f>
        <v>289.07800000000009</v>
      </c>
      <c r="BS150" s="739">
        <f>SUM(BO150:BR150)</f>
        <v>218.13999999999993</v>
      </c>
      <c r="BT150" s="739">
        <f>BT146+BT134+BT129</f>
        <v>18.271999999999991</v>
      </c>
      <c r="BU150" s="739">
        <f>BU146+BU134+BU129</f>
        <v>-151.01899999999998</v>
      </c>
      <c r="BV150" s="739">
        <f>BV146+BV134+BV129</f>
        <v>34.202000000000055</v>
      </c>
      <c r="BW150" s="739">
        <f>BW146+BW134+BW129</f>
        <v>101.05999999999977</v>
      </c>
      <c r="BX150" s="739">
        <f>SUM(BT150:BW150)</f>
        <v>2.5149999999998442</v>
      </c>
      <c r="BY150" s="739">
        <f>BY146+BY134+BY129</f>
        <v>-298.74099999999993</v>
      </c>
      <c r="BZ150" s="739">
        <f>BZ146+BZ134+BZ129</f>
        <v>130.48299999999989</v>
      </c>
      <c r="CA150" s="739">
        <f>CA146+CA134+CA129</f>
        <v>25.769999999999868</v>
      </c>
      <c r="CB150" s="739">
        <f>CB146+CB134+CB129</f>
        <v>207.39800000000002</v>
      </c>
      <c r="CC150" s="739">
        <f>SUM(BY150:CB150)</f>
        <v>64.909999999999854</v>
      </c>
      <c r="CD150" s="739">
        <f>CD146+CD134+CD129</f>
        <v>-171.36300000000006</v>
      </c>
      <c r="CE150" s="739">
        <f>CE146+CE134+CE129</f>
        <v>29.898000000000025</v>
      </c>
      <c r="CF150" s="739">
        <f>CF146+CF134+CF129</f>
        <v>-29.236999999999938</v>
      </c>
      <c r="CG150" s="739">
        <f>CG146+CG134+CG129</f>
        <v>589.50300000000038</v>
      </c>
      <c r="CH150" s="739">
        <f>SUM(CD150:CG150)</f>
        <v>418.80100000000039</v>
      </c>
      <c r="CI150" s="739">
        <f>CI146+CI134+CI129</f>
        <v>-642.4219999999998</v>
      </c>
      <c r="CJ150" s="739">
        <f>CJ146+CJ134+CJ129</f>
        <v>5.926999999999893</v>
      </c>
      <c r="CK150" s="739">
        <f>CK146+CK134+CK129</f>
        <v>-120.40900000000016</v>
      </c>
      <c r="CL150" s="739">
        <f>CL146+CL134+CL129</f>
        <v>101.97100000000006</v>
      </c>
      <c r="CM150" s="739">
        <f>SUM(CI150:CL150)</f>
        <v>-654.93299999999999</v>
      </c>
      <c r="CN150" s="739">
        <f>CN146+CN134+CN129</f>
        <v>-33</v>
      </c>
      <c r="CO150" s="739">
        <f>CO146+CO134+CO129</f>
        <v>-29</v>
      </c>
      <c r="CP150" s="739">
        <f>CP146+CP134+CP129</f>
        <v>36</v>
      </c>
      <c r="CQ150" s="739">
        <f>CQ146+CQ134+CQ129</f>
        <v>125</v>
      </c>
      <c r="CR150" s="739">
        <f>SUM(CN150:CQ150)</f>
        <v>99</v>
      </c>
      <c r="CS150" s="739">
        <f>CS146+CS134+CS129</f>
        <v>-49</v>
      </c>
      <c r="CT150" s="739">
        <f>CT146+CT134+CT129</f>
        <v>-121</v>
      </c>
      <c r="CU150" s="739">
        <f>CU146+CU134+CU129</f>
        <v>1514</v>
      </c>
      <c r="CV150" s="739">
        <f>CV146+CV134+CV129</f>
        <v>-174</v>
      </c>
      <c r="CW150" s="739">
        <f>SUM(CS150:CV150)</f>
        <v>1170</v>
      </c>
      <c r="CX150" s="739">
        <f t="shared" ref="CX150:DF150" si="202">CX146+CX134+CX129</f>
        <v>223</v>
      </c>
      <c r="CY150" s="739">
        <f t="shared" si="202"/>
        <v>-2</v>
      </c>
      <c r="CZ150" s="739">
        <f t="shared" si="202"/>
        <v>816</v>
      </c>
      <c r="DA150" s="739">
        <f t="shared" si="202"/>
        <v>1199</v>
      </c>
      <c r="DB150" s="739">
        <f t="shared" si="202"/>
        <v>2236</v>
      </c>
      <c r="DC150" s="739">
        <f t="shared" si="202"/>
        <v>-3237</v>
      </c>
      <c r="DD150" s="739">
        <f t="shared" si="202"/>
        <v>-47</v>
      </c>
      <c r="DE150" s="739">
        <f t="shared" si="202"/>
        <v>3</v>
      </c>
      <c r="DF150" s="739">
        <f t="shared" si="202"/>
        <v>62</v>
      </c>
      <c r="DG150" s="739">
        <f>SUM(DC150:DF150)</f>
        <v>-3219</v>
      </c>
      <c r="DH150" s="739">
        <f>DH146+DH134+DH129</f>
        <v>1990</v>
      </c>
      <c r="DI150" s="739">
        <f>DI146+DI134+DI129</f>
        <v>4416</v>
      </c>
      <c r="DJ150" s="739">
        <f>DJ146+DJ134+DJ129</f>
        <v>2580</v>
      </c>
      <c r="DK150" s="739">
        <f>DK146+DK134+DK129</f>
        <v>1128.346</v>
      </c>
      <c r="DL150" s="739">
        <f>SUM(DH150:DK150)</f>
        <v>10114.346</v>
      </c>
      <c r="DM150" s="739">
        <f>DM146+DM134+DM129</f>
        <v>4598</v>
      </c>
      <c r="DN150" s="739">
        <f>DN146+DN134+DN129</f>
        <v>-12220</v>
      </c>
      <c r="DO150" s="739">
        <f>DO146+DO134+DO129</f>
        <v>-1023</v>
      </c>
      <c r="DP150" s="739">
        <f>DP146+DP134+DP129</f>
        <v>-1404</v>
      </c>
      <c r="DQ150" s="739">
        <f>SUM(DM150:DP150)</f>
        <v>-10049</v>
      </c>
      <c r="DR150" s="739">
        <f>DR146+DR134+DR129</f>
        <v>131</v>
      </c>
      <c r="DS150" s="739">
        <f>DS146+DS134+DS129</f>
        <v>4650</v>
      </c>
      <c r="DT150" s="739">
        <f>DT146+DT134+DT129</f>
        <v>-4340</v>
      </c>
      <c r="DU150" s="739">
        <f>DU146+DU134+DU129</f>
        <v>702</v>
      </c>
      <c r="DV150" s="739">
        <f>SUM(DR150:DU150)</f>
        <v>1143</v>
      </c>
      <c r="DW150" s="739">
        <f>DW146+DW134+DW129</f>
        <v>1897</v>
      </c>
      <c r="DX150" s="739">
        <f>DX146+DX134+DX129</f>
        <v>-874</v>
      </c>
      <c r="DY150" s="739">
        <f>DY146+DY134+DY129</f>
        <v>-213</v>
      </c>
      <c r="DZ150" s="739">
        <f>DZ146+DZ134+DZ129</f>
        <v>589</v>
      </c>
      <c r="EA150" s="739">
        <f>SUM(DW150:DZ150)</f>
        <v>1399</v>
      </c>
      <c r="EB150" s="739">
        <f>EB146+EB134+EB129</f>
        <v>1690</v>
      </c>
      <c r="EC150" s="739">
        <f>EC146+EC134+EC129</f>
        <v>803</v>
      </c>
      <c r="ED150" s="739">
        <f>ED146+ED134+ED129</f>
        <v>-363</v>
      </c>
      <c r="EE150" s="739">
        <f>EE146+EE134+EE129</f>
        <v>1761</v>
      </c>
      <c r="EF150" s="739">
        <f>SUM(EB150:EE150)</f>
        <v>3891</v>
      </c>
      <c r="EG150" s="739">
        <f>EG146+EG134+EG129</f>
        <v>307</v>
      </c>
      <c r="EH150" s="739">
        <f>EH146+EH134+EH129</f>
        <v>984</v>
      </c>
      <c r="EI150" s="739">
        <f>EI146+EI134+EI129</f>
        <v>536</v>
      </c>
      <c r="EJ150" s="739">
        <f>EJ146+EJ134+EJ129</f>
        <v>-519</v>
      </c>
      <c r="EK150" s="739">
        <f>SUM(EG150:EJ150)</f>
        <v>1308</v>
      </c>
      <c r="EL150" s="739">
        <f>EL146+EL134+EL129</f>
        <v>6645</v>
      </c>
      <c r="EM150" s="739">
        <f>EM146+EM134+EM129</f>
        <v>-3595</v>
      </c>
      <c r="EN150" s="739">
        <f>EN146+EN134+EN129</f>
        <v>-153</v>
      </c>
      <c r="EO150" s="739">
        <f>EO146+EO134+EO129</f>
        <v>-881</v>
      </c>
      <c r="EP150" s="739">
        <f>SUM(EL150:EO150)</f>
        <v>2016</v>
      </c>
      <c r="EQ150" s="739">
        <f>EQ146+EQ134+EQ129</f>
        <v>2632</v>
      </c>
      <c r="ER150" s="739">
        <f>ER146+ER134+ER129</f>
        <v>-1829.0722620921224</v>
      </c>
      <c r="ES150" s="739">
        <f>ES146+ES134+ES129</f>
        <v>12130.51008380951</v>
      </c>
      <c r="ET150" s="739">
        <f>ET146+ET134+ET129</f>
        <v>25343.874624377764</v>
      </c>
      <c r="EU150" s="739">
        <f>SUM(EQ150:ET150)</f>
        <v>38277.312446095151</v>
      </c>
      <c r="EV150" s="739">
        <f>EV146+EV134+EV129</f>
        <v>32454.123283026347</v>
      </c>
      <c r="EW150" s="739">
        <f>EW146+EW134+EW129</f>
        <v>31786.254496655987</v>
      </c>
      <c r="EX150" s="739">
        <f>EX146+EX134+EX129</f>
        <v>36473.846131493643</v>
      </c>
      <c r="EY150" s="739">
        <f>EY146+EY134+EY129</f>
        <v>50630.87673267728</v>
      </c>
      <c r="EZ150" s="739">
        <f>SUM(EV150:EY150)</f>
        <v>151345.10064385325</v>
      </c>
      <c r="FA150" s="739">
        <f>FA146+FA134+FA129</f>
        <v>51682.726917233733</v>
      </c>
      <c r="FB150" s="739">
        <f>FB146+FB134+FB129</f>
        <v>52994.218623080931</v>
      </c>
      <c r="FC150" s="739">
        <f>FC146+FC134+FC129</f>
        <v>55093.235638625549</v>
      </c>
      <c r="FD150" s="739">
        <f>FD146+FD134+FD129</f>
        <v>66657.578261883085</v>
      </c>
      <c r="FE150" s="739">
        <f>SUM(FA150:FD150)</f>
        <v>226427.75944082328</v>
      </c>
      <c r="FF150" s="739">
        <f>FF146+FF134+FF129</f>
        <v>63208.050281506366</v>
      </c>
      <c r="FG150" s="739">
        <f>FG146+FG134+FG129</f>
        <v>66650.133007156604</v>
      </c>
      <c r="FH150" s="739">
        <f>FH146+FH134+FH129</f>
        <v>67405.545094633766</v>
      </c>
      <c r="FI150" s="739">
        <f>FI146+FI134+FI129</f>
        <v>75068.38373960022</v>
      </c>
      <c r="FJ150" s="739">
        <f>SUM(FF150:FI150)</f>
        <v>272332.11212289694</v>
      </c>
      <c r="FK150" s="739">
        <f>FK146+FK134+FK129</f>
        <v>67075.240415488632</v>
      </c>
      <c r="FL150" s="739">
        <f>FL146+FL134+FL129</f>
        <v>67276.978885979712</v>
      </c>
      <c r="FM150" s="739">
        <f>FM146+FM134+FM129</f>
        <v>70279.223539001439</v>
      </c>
      <c r="FN150" s="739">
        <f>FN146+FN134+FN129</f>
        <v>83453.248320959508</v>
      </c>
      <c r="FO150" s="739">
        <f>SUM(FK150:FN150)</f>
        <v>288084.69116142928</v>
      </c>
      <c r="FP150" s="739"/>
    </row>
    <row r="151" spans="1:173">
      <c r="B151" s="734"/>
      <c r="C151" s="734"/>
      <c r="D151" s="734"/>
      <c r="E151" s="734"/>
      <c r="F151" s="734"/>
      <c r="G151" s="734"/>
      <c r="H151" s="734"/>
      <c r="I151" s="734"/>
      <c r="J151" s="734"/>
      <c r="K151" s="205"/>
      <c r="L151" s="209"/>
      <c r="M151" s="209"/>
      <c r="N151" s="209"/>
      <c r="O151" s="209"/>
      <c r="P151" s="209"/>
      <c r="Q151" s="209"/>
      <c r="R151" s="209"/>
      <c r="S151" s="209"/>
      <c r="T151" s="209"/>
      <c r="U151" s="209"/>
      <c r="V151" s="209"/>
      <c r="W151" s="209"/>
      <c r="X151" s="209"/>
      <c r="Y151" s="209"/>
      <c r="Z151" s="209"/>
      <c r="AA151" s="209"/>
      <c r="AB151" s="209"/>
      <c r="AC151" s="209"/>
      <c r="AD151" s="209"/>
      <c r="AE151" s="209"/>
      <c r="AF151" s="209"/>
      <c r="AG151" s="209"/>
      <c r="AH151" s="209"/>
      <c r="AI151" s="209"/>
      <c r="AJ151" s="209"/>
      <c r="AK151" s="209"/>
      <c r="AL151" s="209"/>
      <c r="AM151" s="209"/>
      <c r="AN151" s="209"/>
      <c r="AO151" s="209"/>
      <c r="AP151" s="209"/>
      <c r="AQ151" s="209"/>
      <c r="AR151" s="209"/>
      <c r="AS151" s="209"/>
      <c r="AT151" s="209"/>
      <c r="AU151" s="209"/>
      <c r="AV151" s="209"/>
      <c r="AW151" s="209"/>
      <c r="AX151" s="209"/>
      <c r="AY151" s="209"/>
      <c r="AZ151" s="209"/>
      <c r="BA151" s="209"/>
      <c r="BB151" s="209"/>
      <c r="BC151" s="209"/>
      <c r="BD151" s="209"/>
      <c r="BE151" s="209"/>
      <c r="BF151" s="209"/>
      <c r="BG151" s="209"/>
      <c r="BH151" s="209"/>
      <c r="BI151" s="209"/>
      <c r="BJ151" s="209"/>
      <c r="BK151" s="209"/>
      <c r="BL151" s="209"/>
      <c r="BM151" s="209"/>
      <c r="BN151" s="209"/>
      <c r="BO151" s="209"/>
      <c r="BP151" s="209"/>
      <c r="BQ151" s="209"/>
      <c r="BR151" s="209"/>
      <c r="BS151" s="209"/>
      <c r="BT151" s="209"/>
      <c r="BU151" s="209"/>
      <c r="BV151" s="209"/>
      <c r="BW151" s="209"/>
      <c r="BX151" s="209"/>
      <c r="BY151" s="209"/>
      <c r="BZ151" s="209"/>
      <c r="CA151" s="209"/>
      <c r="CB151" s="209"/>
      <c r="CC151" s="209"/>
      <c r="CD151" s="209"/>
      <c r="CE151" s="209"/>
      <c r="CF151" s="209"/>
      <c r="CG151" s="209"/>
      <c r="CH151" s="209"/>
      <c r="CI151" s="209"/>
      <c r="CJ151" s="209"/>
      <c r="CK151" s="209"/>
      <c r="CL151" s="209"/>
      <c r="CM151" s="209"/>
      <c r="CN151" s="209"/>
      <c r="CO151" s="209"/>
      <c r="CP151" s="209"/>
      <c r="CQ151" s="209"/>
      <c r="CR151" s="209"/>
      <c r="CS151" s="209"/>
      <c r="CT151" s="209"/>
      <c r="CU151" s="209"/>
      <c r="CV151" s="209"/>
      <c r="CW151" s="209"/>
      <c r="CX151" s="209"/>
      <c r="CY151" s="208"/>
      <c r="CZ151" s="209"/>
      <c r="DA151" s="209"/>
      <c r="DB151" s="209"/>
      <c r="DC151" s="209"/>
      <c r="DD151" s="208"/>
      <c r="DE151" s="209"/>
      <c r="DF151" s="209"/>
      <c r="DG151" s="209"/>
      <c r="DH151" s="209"/>
      <c r="DI151" s="209"/>
      <c r="DJ151" s="209"/>
      <c r="DK151" s="209"/>
      <c r="DL151" s="209"/>
      <c r="DM151" s="209"/>
      <c r="DN151" s="209"/>
      <c r="DO151" s="209"/>
      <c r="DP151" s="209"/>
      <c r="DQ151" s="209"/>
      <c r="DR151" s="209"/>
      <c r="DS151" s="209"/>
      <c r="DT151" s="209"/>
      <c r="DU151" s="209"/>
      <c r="DV151" s="209"/>
      <c r="DW151" s="209"/>
      <c r="DX151" s="209"/>
      <c r="DY151" s="209"/>
      <c r="DZ151" s="209"/>
      <c r="EA151" s="209"/>
      <c r="EB151" s="209"/>
      <c r="EC151" s="209"/>
      <c r="ED151" s="209"/>
      <c r="EE151" s="209"/>
      <c r="EF151" s="209"/>
      <c r="EG151" s="209"/>
      <c r="EH151" s="209"/>
      <c r="EI151" s="209"/>
      <c r="EJ151" s="209"/>
      <c r="EK151" s="209"/>
      <c r="EL151" s="209"/>
      <c r="EM151" s="209"/>
      <c r="EN151" s="209"/>
      <c r="EO151" s="209"/>
      <c r="EP151" s="209"/>
      <c r="EQ151" s="209"/>
      <c r="ER151" s="209"/>
      <c r="ES151" s="209"/>
      <c r="ET151" s="209"/>
      <c r="EU151" s="209"/>
      <c r="EV151" s="209"/>
      <c r="EW151" s="209"/>
      <c r="EX151" s="209"/>
      <c r="EY151" s="209"/>
      <c r="EZ151" s="209"/>
      <c r="FA151" s="209"/>
      <c r="FB151" s="209"/>
      <c r="FC151" s="209"/>
      <c r="FD151" s="209"/>
      <c r="FE151" s="209"/>
      <c r="FF151" s="209"/>
      <c r="FG151" s="209"/>
      <c r="FH151" s="209"/>
      <c r="FI151" s="209"/>
      <c r="FJ151" s="209"/>
      <c r="FK151" s="209"/>
      <c r="FL151" s="209"/>
      <c r="FM151" s="209"/>
      <c r="FN151" s="209"/>
      <c r="FO151" s="209"/>
      <c r="FP151" s="209"/>
    </row>
    <row r="152" spans="1:173">
      <c r="A152" s="171" t="s">
        <v>484</v>
      </c>
      <c r="B152" s="734"/>
      <c r="C152" s="734"/>
      <c r="D152" s="734"/>
      <c r="E152" s="734"/>
      <c r="F152" s="734"/>
      <c r="G152" s="734"/>
      <c r="H152" s="734"/>
      <c r="I152" s="734"/>
      <c r="J152" s="734"/>
      <c r="K152" s="706"/>
      <c r="L152" s="209">
        <v>50.256999999999998</v>
      </c>
      <c r="M152" s="209">
        <f>L62</f>
        <v>51.823</v>
      </c>
      <c r="N152" s="209">
        <f>M62</f>
        <v>46.756999999999998</v>
      </c>
      <c r="O152" s="209">
        <f>N62</f>
        <v>55.2</v>
      </c>
      <c r="P152" s="735">
        <f>K152</f>
        <v>0</v>
      </c>
      <c r="Q152" s="209">
        <f>O62</f>
        <v>61.56</v>
      </c>
      <c r="R152" s="209">
        <f>Q62</f>
        <v>269.8</v>
      </c>
      <c r="S152" s="209">
        <f>R62</f>
        <v>289.20499999999998</v>
      </c>
      <c r="T152" s="209">
        <f>S62</f>
        <v>694.88300000000004</v>
      </c>
      <c r="U152" s="735">
        <f>P152</f>
        <v>0</v>
      </c>
      <c r="V152" s="209">
        <f>T62</f>
        <v>674.27499999999998</v>
      </c>
      <c r="W152" s="209">
        <f>V62</f>
        <v>627.30100000000004</v>
      </c>
      <c r="X152" s="209">
        <f>W62</f>
        <v>681.07799999999997</v>
      </c>
      <c r="Y152" s="209">
        <f>X62</f>
        <v>398.49099999999999</v>
      </c>
      <c r="Z152" s="735">
        <f>U152</f>
        <v>0</v>
      </c>
      <c r="AA152" s="209">
        <f>Y62</f>
        <v>333</v>
      </c>
      <c r="AB152" s="209">
        <f>AA62</f>
        <v>307.15100000000001</v>
      </c>
      <c r="AC152" s="209">
        <f>AB62</f>
        <v>246.816</v>
      </c>
      <c r="AD152" s="209">
        <f>AC62</f>
        <v>322.53500000000003</v>
      </c>
      <c r="AE152" s="735">
        <f>Z152</f>
        <v>0</v>
      </c>
      <c r="AF152" s="209">
        <f>AD62</f>
        <v>346.99400000000003</v>
      </c>
      <c r="AG152" s="209">
        <f>AF62</f>
        <v>278.79599999999999</v>
      </c>
      <c r="AH152" s="209">
        <f>AG62</f>
        <v>274.29700000000003</v>
      </c>
      <c r="AI152" s="209">
        <f>AH62</f>
        <v>231.81299999999999</v>
      </c>
      <c r="AJ152" s="735">
        <f>AE152</f>
        <v>0</v>
      </c>
      <c r="AK152" s="209">
        <f>AI62</f>
        <v>214.422</v>
      </c>
      <c r="AL152" s="209">
        <f>AK62</f>
        <v>196.67500000000001</v>
      </c>
      <c r="AM152" s="209">
        <f>AL62</f>
        <v>180.57900000000001</v>
      </c>
      <c r="AN152" s="209">
        <f>AM62</f>
        <v>156.68700000000001</v>
      </c>
      <c r="AO152" s="735">
        <f>AJ152</f>
        <v>0</v>
      </c>
      <c r="AP152" s="209">
        <f>AN62</f>
        <v>208.512</v>
      </c>
      <c r="AQ152" s="209">
        <f>AP62</f>
        <v>281.00400000000002</v>
      </c>
      <c r="AR152" s="209">
        <f>AQ62</f>
        <v>242.17</v>
      </c>
      <c r="AS152" s="209">
        <f>AR62</f>
        <v>364.30799999999999</v>
      </c>
      <c r="AT152" s="735">
        <f>AO152</f>
        <v>0</v>
      </c>
      <c r="AU152" s="209">
        <f>AS62</f>
        <v>551.75599999999997</v>
      </c>
      <c r="AV152" s="209">
        <f>AU62</f>
        <v>487.76299999999998</v>
      </c>
      <c r="AW152" s="209">
        <f>AV62</f>
        <v>388.423</v>
      </c>
      <c r="AX152" s="209">
        <f>AW62</f>
        <v>741.74599999999998</v>
      </c>
      <c r="AY152" s="735">
        <f>AT152</f>
        <v>0</v>
      </c>
      <c r="AZ152" s="209">
        <f>AX62</f>
        <v>544.41399999999999</v>
      </c>
      <c r="BA152" s="209">
        <f>AZ62</f>
        <v>678.95100000000002</v>
      </c>
      <c r="BB152" s="209">
        <f>BA62</f>
        <v>914.745</v>
      </c>
      <c r="BC152" s="209">
        <f>BB62</f>
        <v>1056.702</v>
      </c>
      <c r="BD152" s="735">
        <f>AY152</f>
        <v>0</v>
      </c>
      <c r="BE152" s="209">
        <f>BC62</f>
        <v>726.96900000000005</v>
      </c>
      <c r="BF152" s="209">
        <f>BE62</f>
        <v>803.30799999999999</v>
      </c>
      <c r="BG152" s="209">
        <f>BF62</f>
        <v>719.14300000000003</v>
      </c>
      <c r="BH152" s="209">
        <f>BG62</f>
        <v>461.25299999999999</v>
      </c>
      <c r="BI152" s="735">
        <f>BD152</f>
        <v>0</v>
      </c>
      <c r="BJ152" s="209">
        <f>BH62</f>
        <v>417.68799999999999</v>
      </c>
      <c r="BK152" s="209">
        <f>BJ62</f>
        <v>512.274</v>
      </c>
      <c r="BL152" s="209">
        <f>BK62</f>
        <v>523.78499999999997</v>
      </c>
      <c r="BM152" s="209">
        <f>BL62</f>
        <v>691.7589999999999</v>
      </c>
      <c r="BN152" s="735">
        <f>BI152</f>
        <v>0</v>
      </c>
      <c r="BO152" s="209">
        <f>BM62</f>
        <v>447.221</v>
      </c>
      <c r="BP152" s="209">
        <f>BO62</f>
        <v>447.262</v>
      </c>
      <c r="BQ152" s="209">
        <f>BP62</f>
        <v>377.00299999999999</v>
      </c>
      <c r="BR152" s="209">
        <f>BQ62</f>
        <v>451.17399999999998</v>
      </c>
      <c r="BS152" s="735">
        <f>BN152</f>
        <v>0</v>
      </c>
      <c r="BT152" s="209">
        <f>BR62</f>
        <v>665.36099999999999</v>
      </c>
      <c r="BU152" s="209">
        <f>BT62</f>
        <v>683.63300000000004</v>
      </c>
      <c r="BV152" s="209">
        <f>BU62</f>
        <v>532.61400000000003</v>
      </c>
      <c r="BW152" s="209">
        <f>BV62</f>
        <v>566.81600000000003</v>
      </c>
      <c r="BX152" s="735">
        <f>BS152</f>
        <v>0</v>
      </c>
      <c r="BY152" s="209">
        <f>BW62</f>
        <v>667.8760000000002</v>
      </c>
      <c r="BZ152" s="209">
        <f>BY62</f>
        <v>369.13499999999999</v>
      </c>
      <c r="CA152" s="209">
        <f>BZ62</f>
        <v>499.61799999999999</v>
      </c>
      <c r="CB152" s="209">
        <f>CA62</f>
        <v>525.38800000000003</v>
      </c>
      <c r="CC152" s="735">
        <f>SUM(BY152:CB152)</f>
        <v>2062.0170000000003</v>
      </c>
      <c r="CD152" s="209">
        <f>CB62</f>
        <v>732.78599999999994</v>
      </c>
      <c r="CE152" s="209">
        <f>CD62</f>
        <v>561.423</v>
      </c>
      <c r="CF152" s="209">
        <f>CE62</f>
        <v>591.32100000000003</v>
      </c>
      <c r="CG152" s="209">
        <f>CF62</f>
        <v>562.08399999999995</v>
      </c>
      <c r="CH152" s="735">
        <f>CD152</f>
        <v>732.78599999999994</v>
      </c>
      <c r="CI152" s="209">
        <f>CG62</f>
        <v>1151.587</v>
      </c>
      <c r="CJ152" s="209">
        <f>CI62</f>
        <v>509.16500000000002</v>
      </c>
      <c r="CK152" s="209">
        <f>CJ62</f>
        <v>515.09199999999998</v>
      </c>
      <c r="CL152" s="209">
        <f>CK62</f>
        <v>394.68299999999982</v>
      </c>
      <c r="CM152" s="735">
        <f>CI152</f>
        <v>1151.587</v>
      </c>
      <c r="CN152" s="209">
        <f>CL62</f>
        <v>496.65399999999988</v>
      </c>
      <c r="CO152" s="209">
        <f>CN62</f>
        <v>463.65399999999988</v>
      </c>
      <c r="CP152" s="209">
        <f>CO62</f>
        <v>434.65399999999988</v>
      </c>
      <c r="CQ152" s="209">
        <f>CP62</f>
        <v>470.65399999999988</v>
      </c>
      <c r="CR152" s="735">
        <f>CN152</f>
        <v>496.65399999999988</v>
      </c>
      <c r="CS152" s="209">
        <f>CQ62</f>
        <v>595.65399999999988</v>
      </c>
      <c r="CT152" s="209">
        <f>CS62</f>
        <v>546.65399999999988</v>
      </c>
      <c r="CU152" s="209">
        <f>CT62</f>
        <v>425.65399999999988</v>
      </c>
      <c r="CV152" s="209">
        <f>CU62</f>
        <v>1939.654</v>
      </c>
      <c r="CW152" s="735">
        <f>CS152</f>
        <v>595.65399999999988</v>
      </c>
      <c r="CX152" s="209">
        <f>CV62</f>
        <v>1765.654</v>
      </c>
      <c r="CY152" s="209">
        <f>CX62</f>
        <v>1988.654</v>
      </c>
      <c r="CZ152" s="209">
        <f>CY62</f>
        <v>1986.654</v>
      </c>
      <c r="DA152" s="209">
        <f>CZ62</f>
        <v>2802.654</v>
      </c>
      <c r="DB152" s="735">
        <f>CX152</f>
        <v>1765.654</v>
      </c>
      <c r="DC152" s="209">
        <f>DA62</f>
        <v>4001.654</v>
      </c>
      <c r="DD152" s="209">
        <f>DC62</f>
        <v>764.654</v>
      </c>
      <c r="DE152" s="209">
        <f>DD62</f>
        <v>717.654</v>
      </c>
      <c r="DF152" s="209">
        <f>DE62</f>
        <v>720.654</v>
      </c>
      <c r="DG152" s="735">
        <f>DC152</f>
        <v>4001.654</v>
      </c>
      <c r="DH152" s="209">
        <f>DF62</f>
        <v>782.654</v>
      </c>
      <c r="DI152" s="209">
        <f>DH62</f>
        <v>2772.654</v>
      </c>
      <c r="DJ152" s="209">
        <f>DI62</f>
        <v>7188.6540000000005</v>
      </c>
      <c r="DK152" s="209">
        <f>DJ62</f>
        <v>9768.6540000000005</v>
      </c>
      <c r="DL152" s="735">
        <f>DH152</f>
        <v>782.654</v>
      </c>
      <c r="DM152" s="209">
        <f>DK62</f>
        <v>10897</v>
      </c>
      <c r="DN152" s="209">
        <f>DM62</f>
        <v>15495</v>
      </c>
      <c r="DO152" s="209">
        <f>DN62</f>
        <v>3275</v>
      </c>
      <c r="DP152" s="209">
        <f>DO62</f>
        <v>2252</v>
      </c>
      <c r="DQ152" s="735">
        <f>DM152</f>
        <v>10897</v>
      </c>
      <c r="DR152" s="209">
        <f>DP62</f>
        <v>848</v>
      </c>
      <c r="DS152" s="209">
        <f>DR62</f>
        <v>979</v>
      </c>
      <c r="DT152" s="209">
        <f>DS62</f>
        <v>5629</v>
      </c>
      <c r="DU152" s="209">
        <f>DT62</f>
        <v>1289</v>
      </c>
      <c r="DV152" s="735">
        <f>DR152</f>
        <v>848</v>
      </c>
      <c r="DW152" s="209">
        <f>DU62</f>
        <v>1991</v>
      </c>
      <c r="DX152" s="209">
        <f>DW62</f>
        <v>3888</v>
      </c>
      <c r="DY152" s="209">
        <f>DX62</f>
        <v>3014</v>
      </c>
      <c r="DZ152" s="209">
        <f>DY62</f>
        <v>2801</v>
      </c>
      <c r="EA152" s="735">
        <f>DW152</f>
        <v>1991</v>
      </c>
      <c r="EB152" s="209">
        <f>DZ62</f>
        <v>3390</v>
      </c>
      <c r="EC152" s="209">
        <f>EB62</f>
        <v>5080</v>
      </c>
      <c r="ED152" s="209">
        <f>EC62</f>
        <v>5883</v>
      </c>
      <c r="EE152" s="209">
        <f>ED62</f>
        <v>5520</v>
      </c>
      <c r="EF152" s="735">
        <f>EB152</f>
        <v>3390</v>
      </c>
      <c r="EG152" s="209">
        <f>EF62</f>
        <v>7281</v>
      </c>
      <c r="EH152" s="209">
        <f>EG62</f>
        <v>7588</v>
      </c>
      <c r="EI152" s="209">
        <f>EH62</f>
        <v>8572</v>
      </c>
      <c r="EJ152" s="209">
        <f>EI62</f>
        <v>9108</v>
      </c>
      <c r="EK152" s="735">
        <f>EG152</f>
        <v>7281</v>
      </c>
      <c r="EL152" s="209">
        <f>EJ62</f>
        <v>8589</v>
      </c>
      <c r="EM152" s="209">
        <f>EL62</f>
        <v>15234</v>
      </c>
      <c r="EN152" s="209">
        <f>EM62</f>
        <v>11639</v>
      </c>
      <c r="EO152" s="209">
        <f>EN62</f>
        <v>11486</v>
      </c>
      <c r="EP152" s="735">
        <f>EL152</f>
        <v>8589</v>
      </c>
      <c r="EQ152" s="209">
        <f>EO62</f>
        <v>10605</v>
      </c>
      <c r="ER152" s="209">
        <f>EQ62</f>
        <v>13237</v>
      </c>
      <c r="ES152" s="209">
        <f>ER62</f>
        <v>11407.927737907878</v>
      </c>
      <c r="ET152" s="209">
        <f>ES62</f>
        <v>23538.437821717387</v>
      </c>
      <c r="EU152" s="735">
        <f>EQ152</f>
        <v>10605</v>
      </c>
      <c r="EV152" s="209">
        <f>ET62</f>
        <v>48882.312446095151</v>
      </c>
      <c r="EW152" s="209">
        <f>EV62</f>
        <v>81336.435729121498</v>
      </c>
      <c r="EX152" s="209">
        <f>EW62</f>
        <v>113122.69022577748</v>
      </c>
      <c r="EY152" s="209">
        <f>EX62</f>
        <v>149596.53635727114</v>
      </c>
      <c r="EZ152" s="735">
        <f>EV152</f>
        <v>48882.312446095151</v>
      </c>
      <c r="FA152" s="209">
        <f>EY62</f>
        <v>200227.41308994842</v>
      </c>
      <c r="FB152" s="209">
        <f>FA62</f>
        <v>251910.14000718214</v>
      </c>
      <c r="FC152" s="209">
        <f>FB62</f>
        <v>304904.35863026307</v>
      </c>
      <c r="FD152" s="209">
        <f>FC62</f>
        <v>359997.59426888864</v>
      </c>
      <c r="FE152" s="735">
        <f>FA152</f>
        <v>200227.41308994842</v>
      </c>
      <c r="FF152" s="209">
        <f>FD62</f>
        <v>426655.1725307717</v>
      </c>
      <c r="FG152" s="209">
        <f>FF62</f>
        <v>489863.22281227808</v>
      </c>
      <c r="FH152" s="209">
        <f>FG62</f>
        <v>556513.35581943463</v>
      </c>
      <c r="FI152" s="209">
        <f>FH62</f>
        <v>623918.90091406833</v>
      </c>
      <c r="FJ152" s="735">
        <f>FF152</f>
        <v>426655.1725307717</v>
      </c>
      <c r="FK152" s="209">
        <f>FI62</f>
        <v>698987.28465366852</v>
      </c>
      <c r="FL152" s="209">
        <f>FK62</f>
        <v>766062.52506915713</v>
      </c>
      <c r="FM152" s="209">
        <f>FL62</f>
        <v>833339.50395513687</v>
      </c>
      <c r="FN152" s="209">
        <f>FM62</f>
        <v>903618.72749413829</v>
      </c>
      <c r="FO152" s="735">
        <f>FK152</f>
        <v>698987.28465366852</v>
      </c>
      <c r="FP152" s="735"/>
    </row>
    <row r="153" spans="1:173">
      <c r="A153" s="171" t="s">
        <v>485</v>
      </c>
      <c r="B153" s="734"/>
      <c r="C153" s="734"/>
      <c r="D153" s="734"/>
      <c r="E153" s="734"/>
      <c r="F153" s="734"/>
      <c r="G153" s="734"/>
      <c r="H153" s="734"/>
      <c r="I153" s="734"/>
      <c r="J153" s="734"/>
      <c r="K153" s="706"/>
      <c r="L153" s="209">
        <f t="shared" ref="L153:AA153" si="203">M152</f>
        <v>51.823</v>
      </c>
      <c r="M153" s="209">
        <f t="shared" si="203"/>
        <v>46.756999999999998</v>
      </c>
      <c r="N153" s="209">
        <f t="shared" si="203"/>
        <v>55.2</v>
      </c>
      <c r="O153" s="209">
        <f>Q152</f>
        <v>61.56</v>
      </c>
      <c r="P153" s="735">
        <f>P152+P150</f>
        <v>14.155000000000008</v>
      </c>
      <c r="Q153" s="209">
        <f t="shared" si="203"/>
        <v>269.8</v>
      </c>
      <c r="R153" s="209">
        <f t="shared" si="203"/>
        <v>289.20499999999998</v>
      </c>
      <c r="S153" s="209">
        <f>T152</f>
        <v>694.88300000000004</v>
      </c>
      <c r="T153" s="209">
        <f>V152</f>
        <v>674.27499999999998</v>
      </c>
      <c r="U153" s="735">
        <f>U152+U150</f>
        <v>611.28399999999988</v>
      </c>
      <c r="V153" s="209">
        <f t="shared" si="203"/>
        <v>627.30100000000004</v>
      </c>
      <c r="W153" s="209">
        <f t="shared" si="203"/>
        <v>681.07799999999997</v>
      </c>
      <c r="X153" s="209">
        <f t="shared" si="203"/>
        <v>398.49099999999999</v>
      </c>
      <c r="Y153" s="209">
        <f>AA152</f>
        <v>333</v>
      </c>
      <c r="Z153" s="735">
        <f>Z152+Z150</f>
        <v>-339.46130000000005</v>
      </c>
      <c r="AA153" s="209">
        <f t="shared" si="203"/>
        <v>307.15100000000001</v>
      </c>
      <c r="AB153" s="209">
        <f>AB62</f>
        <v>246.816</v>
      </c>
      <c r="AC153" s="209">
        <f>AC62</f>
        <v>322.53500000000003</v>
      </c>
      <c r="AD153" s="209">
        <f>AD62</f>
        <v>346.99400000000003</v>
      </c>
      <c r="AE153" s="735">
        <f>AE152+AE150</f>
        <v>13.993999999999943</v>
      </c>
      <c r="AF153" s="209">
        <f>AF62</f>
        <v>278.79599999999999</v>
      </c>
      <c r="AG153" s="209">
        <f>AG62</f>
        <v>274.29700000000003</v>
      </c>
      <c r="AH153" s="209">
        <f>AH62</f>
        <v>231.81299999999999</v>
      </c>
      <c r="AI153" s="209">
        <f>AI62</f>
        <v>214.422</v>
      </c>
      <c r="AJ153" s="735">
        <f>AJ152+AJ150</f>
        <v>-132.57199999999997</v>
      </c>
      <c r="AK153" s="209">
        <f>AK62</f>
        <v>196.67500000000001</v>
      </c>
      <c r="AL153" s="209">
        <f>AL62</f>
        <v>180.57900000000001</v>
      </c>
      <c r="AM153" s="209">
        <f>AM62</f>
        <v>156.68700000000001</v>
      </c>
      <c r="AN153" s="209">
        <f>AN62</f>
        <v>208.512</v>
      </c>
      <c r="AO153" s="735">
        <f>AO152+AO150</f>
        <v>-5.9100000000000605</v>
      </c>
      <c r="AP153" s="209">
        <f>AP62</f>
        <v>281.00400000000002</v>
      </c>
      <c r="AQ153" s="209">
        <f>AQ62</f>
        <v>242.17</v>
      </c>
      <c r="AR153" s="209">
        <f>AR62</f>
        <v>364.30799999999999</v>
      </c>
      <c r="AS153" s="209">
        <f>AS62</f>
        <v>551.75599999999997</v>
      </c>
      <c r="AT153" s="735">
        <f>AT152+AT150</f>
        <v>343.24400000000003</v>
      </c>
      <c r="AU153" s="209">
        <f>AU62</f>
        <v>487.76299999999998</v>
      </c>
      <c r="AV153" s="209">
        <f>AV62</f>
        <v>388.423</v>
      </c>
      <c r="AW153" s="209">
        <f>AW62</f>
        <v>741.74599999999998</v>
      </c>
      <c r="AX153" s="209">
        <f>AX62</f>
        <v>544.41399999999999</v>
      </c>
      <c r="AY153" s="735">
        <f>AY152+AY150</f>
        <v>-7.3419999999998709</v>
      </c>
      <c r="AZ153" s="209">
        <f>AZ62</f>
        <v>678.95100000000002</v>
      </c>
      <c r="BA153" s="209">
        <f>BA62</f>
        <v>914.745</v>
      </c>
      <c r="BB153" s="209">
        <f>BB62</f>
        <v>1056.702</v>
      </c>
      <c r="BC153" s="209">
        <f>BC62</f>
        <v>726.96900000000005</v>
      </c>
      <c r="BD153" s="735">
        <f>BD152+BD150</f>
        <v>182.55500000000006</v>
      </c>
      <c r="BE153" s="209">
        <f>BE62</f>
        <v>803.30799999999999</v>
      </c>
      <c r="BF153" s="209">
        <f>BF62</f>
        <v>719.14300000000003</v>
      </c>
      <c r="BG153" s="209">
        <f>BG62</f>
        <v>461.25299999999999</v>
      </c>
      <c r="BH153" s="209">
        <f>BH62</f>
        <v>417.68799999999999</v>
      </c>
      <c r="BI153" s="735">
        <f>BI152+BI150</f>
        <v>-358.58100000000013</v>
      </c>
      <c r="BJ153" s="209">
        <f>BJ62</f>
        <v>512.274</v>
      </c>
      <c r="BK153" s="209">
        <f>BK62</f>
        <v>523.78499999999997</v>
      </c>
      <c r="BL153" s="209">
        <f>BL62</f>
        <v>691.7589999999999</v>
      </c>
      <c r="BM153" s="209">
        <f>BM62</f>
        <v>447.221</v>
      </c>
      <c r="BN153" s="735">
        <f>BN152+BN150</f>
        <v>29.532999999999817</v>
      </c>
      <c r="BO153" s="209">
        <f>BO62</f>
        <v>447.262</v>
      </c>
      <c r="BP153" s="209">
        <f>BP62</f>
        <v>377.00299999999999</v>
      </c>
      <c r="BQ153" s="209">
        <f>BQ62</f>
        <v>451.17399999999998</v>
      </c>
      <c r="BR153" s="209">
        <f>BR62</f>
        <v>665.36099999999999</v>
      </c>
      <c r="BS153" s="735">
        <f>BS152+BS150</f>
        <v>218.13999999999993</v>
      </c>
      <c r="BT153" s="209">
        <f>BT62</f>
        <v>683.63300000000004</v>
      </c>
      <c r="BU153" s="209">
        <f>BU62</f>
        <v>532.61400000000003</v>
      </c>
      <c r="BV153" s="209">
        <f>BV62</f>
        <v>566.81600000000003</v>
      </c>
      <c r="BW153" s="209">
        <f>BW62</f>
        <v>667.8760000000002</v>
      </c>
      <c r="BX153" s="735">
        <f>BX152+BX150</f>
        <v>2.5149999999998442</v>
      </c>
      <c r="BY153" s="209">
        <f>BY62</f>
        <v>369.13499999999999</v>
      </c>
      <c r="BZ153" s="209">
        <f>BZ62</f>
        <v>499.61799999999999</v>
      </c>
      <c r="CA153" s="209">
        <f>CA62</f>
        <v>525.38800000000003</v>
      </c>
      <c r="CB153" s="209">
        <f>CB62</f>
        <v>732.78599999999994</v>
      </c>
      <c r="CC153" s="735">
        <f>SUM(BY153:CB153)</f>
        <v>2126.9270000000001</v>
      </c>
      <c r="CD153" s="209">
        <f>CD62</f>
        <v>561.423</v>
      </c>
      <c r="CE153" s="209">
        <f>CE62</f>
        <v>591.32100000000003</v>
      </c>
      <c r="CF153" s="209">
        <f>CF62</f>
        <v>562.08399999999995</v>
      </c>
      <c r="CG153" s="209">
        <f>CG62</f>
        <v>1151.587</v>
      </c>
      <c r="CH153" s="735">
        <f>CH152+CH150</f>
        <v>1151.5870000000004</v>
      </c>
      <c r="CI153" s="209">
        <f>CI62</f>
        <v>509.16500000000002</v>
      </c>
      <c r="CJ153" s="209">
        <f>CJ62</f>
        <v>515.09199999999998</v>
      </c>
      <c r="CK153" s="209">
        <f>CK62</f>
        <v>394.68299999999982</v>
      </c>
      <c r="CL153" s="209">
        <f>CL62</f>
        <v>496.65399999999988</v>
      </c>
      <c r="CM153" s="735">
        <f>CM152+CM150</f>
        <v>496.654</v>
      </c>
      <c r="CN153" s="209">
        <f>CN62</f>
        <v>463.65399999999988</v>
      </c>
      <c r="CO153" s="209">
        <f>CO62</f>
        <v>434.65399999999988</v>
      </c>
      <c r="CP153" s="209">
        <f>CP62</f>
        <v>470.65399999999988</v>
      </c>
      <c r="CQ153" s="209">
        <f>CQ62</f>
        <v>595.65399999999988</v>
      </c>
      <c r="CR153" s="735">
        <f>CR152+CR150</f>
        <v>595.65399999999988</v>
      </c>
      <c r="CS153" s="209">
        <f>CS62</f>
        <v>546.65399999999988</v>
      </c>
      <c r="CT153" s="209">
        <f>CT62</f>
        <v>425.65399999999988</v>
      </c>
      <c r="CU153" s="209">
        <f>CU62</f>
        <v>1939.654</v>
      </c>
      <c r="CV153" s="209">
        <f>CV62</f>
        <v>1765.654</v>
      </c>
      <c r="CW153" s="735">
        <f>CW152+CW150</f>
        <v>1765.654</v>
      </c>
      <c r="CX153" s="209">
        <f>CX62</f>
        <v>1988.654</v>
      </c>
      <c r="CY153" s="209">
        <f>CY62</f>
        <v>1986.654</v>
      </c>
      <c r="CZ153" s="209">
        <f>CZ62</f>
        <v>2802.654</v>
      </c>
      <c r="DA153" s="209">
        <f>DA62</f>
        <v>4001.654</v>
      </c>
      <c r="DB153" s="735">
        <f>DB152+DB150</f>
        <v>4001.654</v>
      </c>
      <c r="DC153" s="209">
        <f>DC62</f>
        <v>764.654</v>
      </c>
      <c r="DD153" s="209">
        <f>DD62</f>
        <v>717.654</v>
      </c>
      <c r="DE153" s="209">
        <f>DE62</f>
        <v>720.654</v>
      </c>
      <c r="DF153" s="209">
        <f>DF62</f>
        <v>782.654</v>
      </c>
      <c r="DG153" s="735">
        <f>DG152+DG150</f>
        <v>782.654</v>
      </c>
      <c r="DH153" s="209">
        <f>DH62</f>
        <v>2772.654</v>
      </c>
      <c r="DI153" s="209">
        <f>DI62</f>
        <v>7188.6540000000005</v>
      </c>
      <c r="DJ153" s="209">
        <f>DJ62</f>
        <v>9768.6540000000005</v>
      </c>
      <c r="DK153" s="209">
        <f>DK62</f>
        <v>10897</v>
      </c>
      <c r="DL153" s="735">
        <f>DL152+DL150</f>
        <v>10897</v>
      </c>
      <c r="DM153" s="209">
        <f>DM62</f>
        <v>15495</v>
      </c>
      <c r="DN153" s="209">
        <f>DN62</f>
        <v>3275</v>
      </c>
      <c r="DO153" s="209">
        <f>DO62</f>
        <v>2252</v>
      </c>
      <c r="DP153" s="209">
        <f>DP62</f>
        <v>848</v>
      </c>
      <c r="DQ153" s="735">
        <f>DQ152+DQ150</f>
        <v>848</v>
      </c>
      <c r="DR153" s="209">
        <f>DR62</f>
        <v>979</v>
      </c>
      <c r="DS153" s="209">
        <f>DS62</f>
        <v>5629</v>
      </c>
      <c r="DT153" s="209">
        <f>DT62</f>
        <v>1289</v>
      </c>
      <c r="DU153" s="209">
        <f>DU62</f>
        <v>1991</v>
      </c>
      <c r="DV153" s="735">
        <f>DV152+DV150</f>
        <v>1991</v>
      </c>
      <c r="DW153" s="209">
        <f>DW62</f>
        <v>3888</v>
      </c>
      <c r="DX153" s="209">
        <f>DX62</f>
        <v>3014</v>
      </c>
      <c r="DY153" s="209">
        <f>DY62</f>
        <v>2801</v>
      </c>
      <c r="DZ153" s="209">
        <f>DZ62</f>
        <v>3390</v>
      </c>
      <c r="EA153" s="735">
        <f>EA152+EA150</f>
        <v>3390</v>
      </c>
      <c r="EB153" s="209">
        <f>EB62</f>
        <v>5080</v>
      </c>
      <c r="EC153" s="209">
        <f>EC62</f>
        <v>5883</v>
      </c>
      <c r="ED153" s="209">
        <f>ED62</f>
        <v>5520</v>
      </c>
      <c r="EE153" s="209">
        <f>EE62</f>
        <v>7281</v>
      </c>
      <c r="EF153" s="735">
        <f>EF152+EF150</f>
        <v>7281</v>
      </c>
      <c r="EG153" s="209">
        <f>EG62</f>
        <v>7588</v>
      </c>
      <c r="EH153" s="209">
        <f>EH62</f>
        <v>8572</v>
      </c>
      <c r="EI153" s="209">
        <f>EI62</f>
        <v>9108</v>
      </c>
      <c r="EJ153" s="209">
        <f>+EJ150+EJ152</f>
        <v>8589</v>
      </c>
      <c r="EK153" s="735">
        <f>EK152+EK150</f>
        <v>8589</v>
      </c>
      <c r="EL153" s="209">
        <f>EL62</f>
        <v>15234</v>
      </c>
      <c r="EM153" s="209">
        <f>EM62</f>
        <v>11639</v>
      </c>
      <c r="EN153" s="209">
        <f>EN62</f>
        <v>11486</v>
      </c>
      <c r="EO153" s="209">
        <f>EO62</f>
        <v>10605</v>
      </c>
      <c r="EP153" s="735">
        <f>EP152+EP150</f>
        <v>10605</v>
      </c>
      <c r="EQ153" s="209">
        <f>EQ62</f>
        <v>13237</v>
      </c>
      <c r="ER153" s="209">
        <f>ER62</f>
        <v>11407.927737907878</v>
      </c>
      <c r="ES153" s="209">
        <f>ES62</f>
        <v>23538.437821717387</v>
      </c>
      <c r="ET153" s="209">
        <f>ET62</f>
        <v>48882.312446095151</v>
      </c>
      <c r="EU153" s="735">
        <f>EU152+EU150</f>
        <v>48882.312446095151</v>
      </c>
      <c r="EV153" s="209">
        <f>EV62</f>
        <v>81336.435729121498</v>
      </c>
      <c r="EW153" s="209">
        <f>EW62</f>
        <v>113122.69022577748</v>
      </c>
      <c r="EX153" s="209">
        <f>EX62</f>
        <v>149596.53635727114</v>
      </c>
      <c r="EY153" s="209">
        <f>EY62</f>
        <v>200227.41308994842</v>
      </c>
      <c r="EZ153" s="735">
        <f>EZ152+EZ150</f>
        <v>200227.41308994842</v>
      </c>
      <c r="FA153" s="209">
        <f>FA62</f>
        <v>251910.14000718214</v>
      </c>
      <c r="FB153" s="209">
        <f>FB62</f>
        <v>304904.35863026307</v>
      </c>
      <c r="FC153" s="209">
        <f>FC62</f>
        <v>359997.59426888864</v>
      </c>
      <c r="FD153" s="209">
        <f>FD62</f>
        <v>426655.1725307717</v>
      </c>
      <c r="FE153" s="735">
        <f>FE152+FE150</f>
        <v>426655.1725307717</v>
      </c>
      <c r="FF153" s="209">
        <f>FF62</f>
        <v>489863.22281227808</v>
      </c>
      <c r="FG153" s="209">
        <f>FG62</f>
        <v>556513.35581943463</v>
      </c>
      <c r="FH153" s="209">
        <f>FH62</f>
        <v>623918.90091406833</v>
      </c>
      <c r="FI153" s="209">
        <f>FI62</f>
        <v>698987.28465366852</v>
      </c>
      <c r="FJ153" s="735">
        <f>FJ152+FJ150</f>
        <v>698987.28465366864</v>
      </c>
      <c r="FK153" s="209">
        <f>FK62</f>
        <v>766062.52506915713</v>
      </c>
      <c r="FL153" s="209">
        <f>FL62</f>
        <v>833339.50395513687</v>
      </c>
      <c r="FM153" s="209">
        <f>FM62</f>
        <v>903618.72749413829</v>
      </c>
      <c r="FN153" s="209">
        <f>FN62</f>
        <v>987071.9758150978</v>
      </c>
      <c r="FO153" s="735">
        <f>FO152+FO150</f>
        <v>987071.9758150978</v>
      </c>
      <c r="FP153" s="735"/>
    </row>
    <row r="154" spans="1:173">
      <c r="K154" s="150"/>
      <c r="P154" s="150"/>
      <c r="U154" s="150"/>
      <c r="V154" s="733"/>
      <c r="Z154" s="150"/>
      <c r="AD154" s="148"/>
      <c r="AE154" s="150"/>
      <c r="AF154" s="148"/>
      <c r="AG154" s="148"/>
      <c r="AH154" s="148"/>
      <c r="AI154" s="148"/>
      <c r="AJ154" s="150"/>
      <c r="AK154" s="148"/>
      <c r="AL154" s="148"/>
      <c r="AO154" s="150"/>
      <c r="AT154" s="150"/>
      <c r="AY154" s="150"/>
      <c r="BC154" s="742"/>
      <c r="BD154" s="150"/>
      <c r="BI154" s="150"/>
      <c r="BJ154" s="177"/>
      <c r="BK154" s="177"/>
      <c r="BN154" s="150"/>
      <c r="BO154" s="207"/>
      <c r="BP154" s="207"/>
      <c r="BQ154" s="207"/>
      <c r="BR154" s="207"/>
      <c r="BS154" s="150"/>
      <c r="BT154" s="150"/>
      <c r="BU154" s="150"/>
      <c r="BV154" s="150"/>
      <c r="BX154" s="150"/>
      <c r="BY154" s="152"/>
      <c r="BZ154" s="152"/>
      <c r="CD154" s="150"/>
      <c r="CE154" s="150"/>
      <c r="CF154" s="150"/>
      <c r="CG154" s="150"/>
      <c r="CH154" s="150"/>
      <c r="CM154" s="150"/>
      <c r="CR154" s="150"/>
      <c r="CW154" s="150"/>
      <c r="DB154" s="188"/>
      <c r="DG154" s="150"/>
      <c r="DL154" s="150"/>
      <c r="DQ154" s="150"/>
      <c r="DV154" s="150"/>
      <c r="DX154" s="208"/>
      <c r="DY154" s="208"/>
      <c r="DZ154" s="208"/>
      <c r="EA154" s="150"/>
      <c r="EF154" s="150"/>
      <c r="EK154" s="150"/>
      <c r="EP154" s="150"/>
      <c r="EU154" s="150"/>
      <c r="EZ154" s="150"/>
      <c r="FE154" s="150"/>
      <c r="FJ154" s="150"/>
      <c r="FO154" s="150"/>
      <c r="FP154" s="150"/>
    </row>
    <row r="155" spans="1:173">
      <c r="K155" s="150"/>
      <c r="P155" s="150"/>
      <c r="U155" s="150"/>
      <c r="Z155" s="150"/>
      <c r="AD155" s="148"/>
      <c r="AE155" s="150"/>
      <c r="AF155" s="148"/>
      <c r="AG155" s="148"/>
      <c r="AH155" s="148"/>
      <c r="AJ155" s="150"/>
      <c r="AO155" s="150"/>
      <c r="AT155" s="150"/>
      <c r="AY155" s="150"/>
      <c r="BC155" s="743"/>
      <c r="BD155" s="150"/>
      <c r="BI155" s="150"/>
      <c r="BN155" s="150"/>
      <c r="BP155" s="207"/>
      <c r="BQ155" s="207"/>
      <c r="BS155" s="150"/>
      <c r="BT155" s="150"/>
      <c r="BU155" s="150"/>
      <c r="BV155" s="150"/>
      <c r="BX155" s="150"/>
      <c r="CD155" s="150"/>
      <c r="CE155" s="150"/>
      <c r="CF155" s="150"/>
      <c r="CG155" s="150"/>
      <c r="CH155" s="150"/>
      <c r="CM155" s="150"/>
      <c r="CR155" s="150"/>
      <c r="CW155" s="150"/>
      <c r="DB155" s="150"/>
      <c r="DG155" s="150"/>
      <c r="DL155" s="150"/>
      <c r="DQ155" s="150"/>
      <c r="DV155" s="150"/>
      <c r="EA155" s="150"/>
      <c r="EF155" s="150"/>
      <c r="EK155" s="150"/>
      <c r="EP155" s="150"/>
      <c r="EU155" s="150"/>
      <c r="EZ155" s="150"/>
      <c r="FE155" s="150"/>
      <c r="FJ155" s="150"/>
      <c r="FO155" s="150"/>
      <c r="FP155" s="150"/>
    </row>
    <row r="156" spans="1:173">
      <c r="A156" s="147" t="s">
        <v>244</v>
      </c>
      <c r="B156" s="159"/>
      <c r="C156" s="159"/>
      <c r="D156" s="159"/>
      <c r="E156" s="159"/>
      <c r="F156" s="159"/>
      <c r="G156" s="159"/>
      <c r="H156" s="159"/>
      <c r="I156" s="159"/>
      <c r="J156" s="159"/>
      <c r="K156" s="744"/>
      <c r="L156" s="745">
        <f>+SUM(L129:L132)</f>
        <v>0.87700000000000378</v>
      </c>
      <c r="M156" s="745">
        <f>+SUM(M129:M132)</f>
        <v>-5.097999999999999</v>
      </c>
      <c r="N156" s="745">
        <f>+SUM(N129:N132)</f>
        <v>7.6959999999999962</v>
      </c>
      <c r="O156" s="745">
        <f>+SUM(O129:O132)</f>
        <v>3.6590000000000105</v>
      </c>
      <c r="P156" s="745">
        <f>SUM(L156:O156)</f>
        <v>7.1340000000000119</v>
      </c>
      <c r="Q156" s="745">
        <f>+SUM(Q129:Q132)</f>
        <v>-0.41699999999999626</v>
      </c>
      <c r="R156" s="745">
        <f>+SUM(R129:R132)</f>
        <v>17.573000000000015</v>
      </c>
      <c r="S156" s="745">
        <f>+SUM(S129:S132)</f>
        <v>11.398999999999994</v>
      </c>
      <c r="T156" s="745">
        <f>+SUM(T129:T132)</f>
        <v>1.5939999999999444</v>
      </c>
      <c r="U156" s="745">
        <f>SUM(Q156:T156)</f>
        <v>30.148999999999958</v>
      </c>
      <c r="V156" s="745">
        <f>+SUM(V129:V132)</f>
        <v>3.9369999999999834</v>
      </c>
      <c r="W156" s="745">
        <f>+SUM(W129:W132)</f>
        <v>34.287000000000013</v>
      </c>
      <c r="X156" s="745">
        <f>+SUM(X129:X132)</f>
        <v>-1.8000000000000007</v>
      </c>
      <c r="Y156" s="745">
        <f>+SUM(Y129:Y132)</f>
        <v>29.229700000000001</v>
      </c>
      <c r="Z156" s="745">
        <f>SUM(V156:Y156)</f>
        <v>65.653699999999986</v>
      </c>
      <c r="AA156" s="745">
        <f>+SUM(AA129:AA132)</f>
        <v>27.582999999999934</v>
      </c>
      <c r="AB156" s="745">
        <f>+SUM(AB129:AB132)</f>
        <v>-23.262999999999966</v>
      </c>
      <c r="AC156" s="745">
        <f>+SUM(AC129:AC132)</f>
        <v>83.203999999999979</v>
      </c>
      <c r="AD156" s="745">
        <f>+SUM(AD129:AD132)</f>
        <v>114.38500000000001</v>
      </c>
      <c r="AE156" s="745">
        <f>SUM(AA156:AD156)</f>
        <v>201.90899999999993</v>
      </c>
      <c r="AF156" s="745">
        <f>+SUM(AF129:AF132)</f>
        <v>14.83600000000002</v>
      </c>
      <c r="AG156" s="745">
        <f>+SUM(AG129:AG132)</f>
        <v>-47.457000000000015</v>
      </c>
      <c r="AH156" s="745">
        <f>+SUM(AH129:AH132)</f>
        <v>-31.999999999999979</v>
      </c>
      <c r="AI156" s="745">
        <f>+SUM(AI129:AI132)</f>
        <v>-13.304999999999971</v>
      </c>
      <c r="AJ156" s="745">
        <f>SUM(AF156:AI156)</f>
        <v>-77.925999999999959</v>
      </c>
      <c r="AK156" s="745">
        <f>+SUM(AK129:AK132)</f>
        <v>42.886999999999929</v>
      </c>
      <c r="AL156" s="745">
        <f>+SUM(AL129:AL132)</f>
        <v>-45.519000000000034</v>
      </c>
      <c r="AM156" s="745">
        <f>+SUM(AM129:AM132)</f>
        <v>-13.622999999999973</v>
      </c>
      <c r="AN156" s="745">
        <f>+SUM(AN129:AN132)</f>
        <v>81.193999999999988</v>
      </c>
      <c r="AO156" s="745">
        <f>SUM(AK156:AN156)</f>
        <v>64.938999999999908</v>
      </c>
      <c r="AP156" s="745">
        <f>+SUM(AP129:AP132)</f>
        <v>76.074999999999974</v>
      </c>
      <c r="AQ156" s="745">
        <f>+SUM(AQ129:AQ132)</f>
        <v>18.162000000000006</v>
      </c>
      <c r="AR156" s="745">
        <f>+SUM(AR129:AR132)</f>
        <v>70.632999999999925</v>
      </c>
      <c r="AS156" s="745">
        <f>+SUM(AS129:AS132)</f>
        <v>201.93800000000007</v>
      </c>
      <c r="AT156" s="745">
        <f>SUM(AP156:AS156)</f>
        <v>366.80799999999999</v>
      </c>
      <c r="AU156" s="745">
        <f>+SUM(AU129:AU132)</f>
        <v>28.868999999999993</v>
      </c>
      <c r="AV156" s="745">
        <f>+SUM(AV129:AV132)</f>
        <v>-2.2489999999999526</v>
      </c>
      <c r="AW156" s="745">
        <f>+SUM(AW129:AW132)</f>
        <v>260.53199999999998</v>
      </c>
      <c r="AX156" s="745">
        <f>+SUM(AX129:AX132)</f>
        <v>154.70300000000009</v>
      </c>
      <c r="AY156" s="745">
        <f>SUM(AU156:AX156)</f>
        <v>441.85500000000013</v>
      </c>
      <c r="AZ156" s="745">
        <f>+SUM(AZ129:AZ132)</f>
        <v>268.86199999999997</v>
      </c>
      <c r="BA156" s="745">
        <f>+SUM(BA129:BA132)</f>
        <v>301.03499999999997</v>
      </c>
      <c r="BB156" s="745">
        <f>+SUM(BB129:BB132)</f>
        <v>330.42199999999991</v>
      </c>
      <c r="BC156" s="745">
        <f>+SUM(BC129:BC132)</f>
        <v>182.13200000000001</v>
      </c>
      <c r="BD156" s="745">
        <f>SUM(AZ156:BC156)</f>
        <v>1082.4509999999998</v>
      </c>
      <c r="BE156" s="745">
        <f>+SUM(BE129:BE132)</f>
        <v>-56.928000000000026</v>
      </c>
      <c r="BF156" s="745">
        <f>+SUM(BF129:BF132)</f>
        <v>27.442999999999984</v>
      </c>
      <c r="BG156" s="745">
        <f>+SUM(BG129:BG132)</f>
        <v>-115.30500000000002</v>
      </c>
      <c r="BH156" s="745">
        <f>+SUM(BH129:BH132)</f>
        <v>-62.820000000000057</v>
      </c>
      <c r="BI156" s="745">
        <f>SUM(BE156:BH156)</f>
        <v>-207.61000000000013</v>
      </c>
      <c r="BJ156" s="745">
        <f>+SUM(BJ129:BJ132)</f>
        <v>121.35099999999998</v>
      </c>
      <c r="BK156" s="745">
        <f>+SUM(BK129:BK132)</f>
        <v>117.46099999999996</v>
      </c>
      <c r="BL156" s="745">
        <f>+SUM(BL129:BL132)</f>
        <v>167.97399999999999</v>
      </c>
      <c r="BM156" s="745">
        <f>+SUM(BM129:BM132)</f>
        <v>3.4200000000000514</v>
      </c>
      <c r="BN156" s="745">
        <f>SUM(BJ156:BM156)</f>
        <v>410.20600000000002</v>
      </c>
      <c r="BO156" s="745">
        <f>+SUM(BO129:BO132)</f>
        <v>-22.477000000000061</v>
      </c>
      <c r="BP156" s="745">
        <f>+SUM(BP129:BP132)</f>
        <v>-3.300000000000118</v>
      </c>
      <c r="BQ156" s="745">
        <f>+SUM(BQ129:BQ132)</f>
        <v>190.35400000000004</v>
      </c>
      <c r="BR156" s="745">
        <f>+SUM(BR129:BR132)</f>
        <v>413.33000000000004</v>
      </c>
      <c r="BS156" s="745">
        <f>SUM(BO156:BR156)</f>
        <v>577.90699999999993</v>
      </c>
      <c r="BT156" s="745">
        <f>+SUM(BT129:BT132)</f>
        <v>141.00500000000002</v>
      </c>
      <c r="BU156" s="745">
        <f>+SUM(BU129:BU132)</f>
        <v>58.697999999999986</v>
      </c>
      <c r="BV156" s="745">
        <f>+SUM(BV129:BV132)</f>
        <v>205.38199999999992</v>
      </c>
      <c r="BW156" s="745">
        <f>+SUM(BW129:BW132)</f>
        <v>365.3359999999999</v>
      </c>
      <c r="BX156" s="745">
        <f>SUM(BT156:BW156)</f>
        <v>770.42099999999982</v>
      </c>
      <c r="BY156" s="745">
        <f>+SUM(BY129:BY132)</f>
        <v>-38.130999999999958</v>
      </c>
      <c r="BZ156" s="745">
        <f>+SUM(BZ129:BZ132)</f>
        <v>138.94199999999989</v>
      </c>
      <c r="CA156" s="745">
        <f>+SUM(CA129:CA132)</f>
        <v>136.80099999999999</v>
      </c>
      <c r="CB156" s="745">
        <f>+SUM(CB129:CB132)</f>
        <v>403.25100000000003</v>
      </c>
      <c r="CC156" s="735">
        <f>SUM(BY156:CB156)</f>
        <v>640.86299999999994</v>
      </c>
      <c r="CD156" s="745">
        <f>+SUM(CD129:CD132)</f>
        <v>109.98299999999998</v>
      </c>
      <c r="CE156" s="745">
        <f>+SUM(CE129:CE132)</f>
        <v>11.483000000000061</v>
      </c>
      <c r="CF156" s="745">
        <f>+SUM(CF129:CF132)</f>
        <v>124.15600000000006</v>
      </c>
      <c r="CG156" s="745">
        <f>+SUM(CG129:CG132)</f>
        <v>334.33800000000008</v>
      </c>
      <c r="CH156" s="745">
        <f>SUM(CD156:CG156)</f>
        <v>579.96000000000015</v>
      </c>
      <c r="CI156" s="745">
        <f>+SUM(CI129:CI132)</f>
        <v>121.95400000000016</v>
      </c>
      <c r="CJ156" s="745">
        <f>+SUM(CJ129:CJ132)</f>
        <v>73.755000000000024</v>
      </c>
      <c r="CK156" s="745">
        <f>+SUM(CK129:CK132)</f>
        <v>175.88200000000006</v>
      </c>
      <c r="CL156" s="745">
        <f>+SUM(CL129:CL132)</f>
        <v>411.68400000000014</v>
      </c>
      <c r="CM156" s="745">
        <f>SUM(CI156:CL156)</f>
        <v>783.27500000000032</v>
      </c>
      <c r="CN156" s="208">
        <f>+SUM(CN129:CN132)</f>
        <v>216</v>
      </c>
      <c r="CO156" s="208">
        <f>+SUM(CO129:CO132)</f>
        <v>139</v>
      </c>
      <c r="CP156" s="208">
        <f>+SUM(CP129:CP132)</f>
        <v>238</v>
      </c>
      <c r="CQ156" s="208">
        <f>+SUM(CQ129:CQ132)</f>
        <v>496</v>
      </c>
      <c r="CR156" s="745">
        <f>SUM(CN156:CQ156)</f>
        <v>1089</v>
      </c>
      <c r="CS156" s="208">
        <f>+SUM(CS129:CS132)</f>
        <v>254</v>
      </c>
      <c r="CT156" s="208">
        <f>+SUM(CT129:CT132)</f>
        <v>152</v>
      </c>
      <c r="CU156" s="208">
        <f>+SUM(CU129:CU132)</f>
        <v>420</v>
      </c>
      <c r="CV156" s="208">
        <f>+SUM(CV129:CV132)</f>
        <v>670</v>
      </c>
      <c r="CW156" s="745">
        <f>SUM(CS156:CV156)</f>
        <v>1496</v>
      </c>
      <c r="CX156" s="208">
        <f>+SUM(CX129:CX132)</f>
        <v>228</v>
      </c>
      <c r="CY156" s="208">
        <f>+SUM(CY129:CY132)</f>
        <v>650</v>
      </c>
      <c r="CZ156" s="208">
        <f>+SUM(CZ129:CZ132)</f>
        <v>1090</v>
      </c>
      <c r="DA156" s="208">
        <f>+SUM(DA129:DA132)</f>
        <v>941</v>
      </c>
      <c r="DB156" s="745">
        <f>SUM(CX156:DA156)</f>
        <v>2909</v>
      </c>
      <c r="DC156" s="208">
        <f>+SUM(DC129:DC132)</f>
        <v>1327</v>
      </c>
      <c r="DD156" s="208">
        <f>+SUM(DD129:DD132)</f>
        <v>784</v>
      </c>
      <c r="DE156" s="208">
        <f>+SUM(DE129:DE132)</f>
        <v>337</v>
      </c>
      <c r="DF156" s="208">
        <f>+DF129+DF132</f>
        <v>696</v>
      </c>
      <c r="DG156" s="745">
        <f>SUM(DC156:DF156)</f>
        <v>3144</v>
      </c>
      <c r="DH156" s="208">
        <f>+DH129+DH132</f>
        <v>592</v>
      </c>
      <c r="DI156" s="208">
        <f>+DI129+DI132</f>
        <v>823</v>
      </c>
      <c r="DJ156" s="208">
        <f>+DJ129+DJ132</f>
        <v>1537</v>
      </c>
      <c r="DK156" s="208">
        <f>+DK129+DK132</f>
        <v>1321</v>
      </c>
      <c r="DL156" s="745">
        <f>SUM(DH156:DK156)</f>
        <v>4273</v>
      </c>
      <c r="DM156" s="208">
        <f>+DM129+DM132</f>
        <v>875</v>
      </c>
      <c r="DN156" s="208">
        <f>+DN129+DN132</f>
        <v>1349</v>
      </c>
      <c r="DO156" s="208">
        <f>+DO129+DO132</f>
        <v>806</v>
      </c>
      <c r="DP156" s="208">
        <f>+DP129+DP132</f>
        <v>1784</v>
      </c>
      <c r="DQ156" s="745">
        <f>SUM(DM156:DP156)</f>
        <v>4814</v>
      </c>
      <c r="DR156" s="208">
        <f>+DR129+DR132</f>
        <v>1576</v>
      </c>
      <c r="DS156" s="208">
        <f>+DS129+DS132</f>
        <v>2499</v>
      </c>
      <c r="DT156" s="208">
        <f>+DT129+DT132</f>
        <v>1298</v>
      </c>
      <c r="DU156" s="208">
        <f>+DU129+DU132</f>
        <v>2760</v>
      </c>
      <c r="DV156" s="745">
        <f>SUM(DR156:DU156)</f>
        <v>8133</v>
      </c>
      <c r="DW156" s="208">
        <f>+DW129+DW132</f>
        <v>1370</v>
      </c>
      <c r="DX156" s="208">
        <f>+DX129+DX132</f>
        <v>837</v>
      </c>
      <c r="DY156" s="208">
        <f>+DY129+DY132</f>
        <v>-138</v>
      </c>
      <c r="DZ156" s="208">
        <f>+DZ129+DZ132</f>
        <v>1740</v>
      </c>
      <c r="EA156" s="745">
        <f>SUM(DW156:DZ156)</f>
        <v>3809</v>
      </c>
      <c r="EB156" s="208">
        <f>+EB129+EB132</f>
        <v>2663</v>
      </c>
      <c r="EC156" s="208">
        <f>+EC129+EC132</f>
        <v>6059</v>
      </c>
      <c r="ED156" s="208">
        <f>+ED129+ED132</f>
        <v>7055</v>
      </c>
      <c r="EE156" s="208">
        <f>+EE129+EE132</f>
        <v>11246</v>
      </c>
      <c r="EF156" s="745">
        <f>SUM(EB156:EE156)</f>
        <v>27023</v>
      </c>
      <c r="EG156" s="208">
        <f>+EG129+EG132</f>
        <v>14976</v>
      </c>
      <c r="EH156" s="208">
        <f>+EH129+EH132</f>
        <v>13512</v>
      </c>
      <c r="EI156" s="208">
        <f>+EI129+EI132</f>
        <v>16816</v>
      </c>
      <c r="EJ156" s="208">
        <f>+EJ129+EJ132</f>
        <v>15551</v>
      </c>
      <c r="EK156" s="745">
        <f>SUM(EG156:EJ156)</f>
        <v>60855</v>
      </c>
      <c r="EL156" s="208">
        <f>+EL129+EL132</f>
        <v>26187</v>
      </c>
      <c r="EM156" s="208">
        <f>+EM129+EM132</f>
        <v>13471</v>
      </c>
      <c r="EN156" s="208">
        <f>+EN129+EN132</f>
        <v>22113</v>
      </c>
      <c r="EO156" s="208">
        <f>+EO129+EO132</f>
        <v>34906</v>
      </c>
      <c r="EP156" s="745">
        <f>SUM(EL156:EO156)</f>
        <v>96677</v>
      </c>
      <c r="EQ156" s="208">
        <f>+EQ129+EQ132</f>
        <v>48587</v>
      </c>
      <c r="ER156" s="208">
        <f>+ER129+ER132</f>
        <v>34215.46491437847</v>
      </c>
      <c r="ES156" s="208">
        <f>+ES129+ES132</f>
        <v>48148.132827338923</v>
      </c>
      <c r="ET156" s="208">
        <f>+ET129+ET132</f>
        <v>61334.632263954234</v>
      </c>
      <c r="EU156" s="745">
        <f>SUM(EQ156:ET156)</f>
        <v>192285.23000567162</v>
      </c>
      <c r="EV156" s="208">
        <f>+EV129+EV132</f>
        <v>75914.389634217878</v>
      </c>
      <c r="EW156" s="208">
        <f>+EW129+EW132</f>
        <v>75216.080821930169</v>
      </c>
      <c r="EX156" s="208">
        <f>+EX129+EX132</f>
        <v>82369.608218567431</v>
      </c>
      <c r="EY156" s="208">
        <f>+EY129+EY132</f>
        <v>96492.62785561019</v>
      </c>
      <c r="EZ156" s="745">
        <f>SUM(EV156:EY156)</f>
        <v>329992.7065303257</v>
      </c>
      <c r="FA156" s="208">
        <f>+FA129+FA132</f>
        <v>99510.521386154709</v>
      </c>
      <c r="FB156" s="208">
        <f>+FB129+FB132</f>
        <v>104264.44771400702</v>
      </c>
      <c r="FC156" s="208">
        <f>+FC129+FC132</f>
        <v>106309.3129819584</v>
      </c>
      <c r="FD156" s="208">
        <f>+FD129+FD132</f>
        <v>117819.59592855317</v>
      </c>
      <c r="FE156" s="745">
        <f>SUM(FA156:FD156)</f>
        <v>427903.87801067333</v>
      </c>
      <c r="FF156" s="208">
        <f>+FF129+FF132</f>
        <v>119810.21978386281</v>
      </c>
      <c r="FG156" s="208">
        <f>+FG129+FG132</f>
        <v>123192.55004073663</v>
      </c>
      <c r="FH156" s="208">
        <f>+FH129+FH132</f>
        <v>123888.30722182659</v>
      </c>
      <c r="FI156" s="208">
        <f>+FI129+FI132</f>
        <v>131491.59042698395</v>
      </c>
      <c r="FJ156" s="745">
        <f>SUM(FF156:FI156)</f>
        <v>498382.66747340997</v>
      </c>
      <c r="FK156" s="208">
        <f>+FK129+FK132</f>
        <v>128433.11071897298</v>
      </c>
      <c r="FL156" s="208">
        <f>+FL129+FL132</f>
        <v>132965.93485031076</v>
      </c>
      <c r="FM156" s="208">
        <f>+FM129+FM132</f>
        <v>135870.48812850146</v>
      </c>
      <c r="FN156" s="208">
        <f>+FN129+FN132</f>
        <v>148946.98274342599</v>
      </c>
      <c r="FO156" s="745">
        <f>SUM(FK156:FN156)</f>
        <v>546216.51644121122</v>
      </c>
      <c r="FP156" s="745"/>
      <c r="FQ156" s="169"/>
    </row>
    <row r="157" spans="1:173">
      <c r="A157" s="171" t="s">
        <v>225</v>
      </c>
      <c r="AD157" s="148"/>
      <c r="AE157" s="148"/>
      <c r="AF157" s="148"/>
      <c r="AG157" s="148"/>
      <c r="AH157" s="148"/>
      <c r="BC157" s="743"/>
      <c r="BD157" s="743"/>
      <c r="BP157" s="207"/>
      <c r="BQ157" s="207"/>
      <c r="BT157" s="150"/>
      <c r="BU157" s="150"/>
      <c r="BV157" s="150"/>
      <c r="BX157" s="684">
        <f>BX156/BS156-1</f>
        <v>0.33312280349606405</v>
      </c>
      <c r="CC157" s="684">
        <f>CC156/BX156-1</f>
        <v>-0.1681651979891513</v>
      </c>
      <c r="CD157" s="150"/>
      <c r="CE157" s="150"/>
      <c r="CF157" s="150"/>
      <c r="CG157" s="150"/>
      <c r="CH157" s="684">
        <f>CH156/CC156-1</f>
        <v>-9.5032791719914855E-2</v>
      </c>
      <c r="CJ157" s="204"/>
      <c r="CK157" s="204"/>
      <c r="CL157" s="204"/>
      <c r="CM157" s="684">
        <f>CM156/CH156-1</f>
        <v>0.35056728050210384</v>
      </c>
      <c r="CN157" s="204"/>
      <c r="CO157" s="204"/>
      <c r="CP157" s="204"/>
      <c r="CQ157" s="204"/>
      <c r="CR157" s="684">
        <f>CR156/CM156-1</f>
        <v>0.39031630015001051</v>
      </c>
      <c r="CS157" s="204"/>
      <c r="CT157" s="204"/>
      <c r="CU157" s="204"/>
      <c r="CV157" s="204"/>
      <c r="CW157" s="684">
        <f>CW156/CR156-1</f>
        <v>0.3737373737373737</v>
      </c>
      <c r="CX157" s="204"/>
      <c r="CY157" s="204"/>
      <c r="CZ157" s="204"/>
      <c r="DA157" s="204"/>
      <c r="DB157" s="684">
        <f>DB156/CW156-1</f>
        <v>0.94451871657754016</v>
      </c>
      <c r="DC157" s="204"/>
      <c r="DD157" s="204"/>
      <c r="DE157" s="204"/>
      <c r="DF157" s="204"/>
      <c r="DG157" s="684">
        <f>DG156/DB156-1</f>
        <v>8.0783774492952931E-2</v>
      </c>
      <c r="DH157" s="204"/>
      <c r="DI157" s="204"/>
      <c r="DJ157" s="204"/>
      <c r="DK157" s="204"/>
      <c r="DL157" s="684">
        <f>DL156/DG156-1</f>
        <v>0.35909669211195938</v>
      </c>
      <c r="DM157" s="204"/>
      <c r="DN157" s="204"/>
      <c r="DO157" s="204"/>
      <c r="DP157" s="204"/>
      <c r="DQ157" s="684">
        <f>DQ156/DL156-1</f>
        <v>0.12660893985490285</v>
      </c>
      <c r="DR157" s="204"/>
      <c r="DS157" s="204"/>
      <c r="DT157" s="204"/>
      <c r="DU157" s="204"/>
      <c r="DV157" s="684">
        <f>DV156/DQ156-1</f>
        <v>0.68944744495222277</v>
      </c>
      <c r="DW157" s="204"/>
      <c r="DX157" s="204"/>
      <c r="DY157" s="204"/>
      <c r="DZ157" s="204"/>
      <c r="EA157" s="684">
        <f>EA156/DV156-1</f>
        <v>-0.53166113365301859</v>
      </c>
      <c r="EB157" s="204"/>
      <c r="EC157" s="204"/>
      <c r="ED157" s="204"/>
      <c r="EE157" s="204"/>
      <c r="EF157" s="684">
        <f>EF156/EA156-1</f>
        <v>6.0945129955368866</v>
      </c>
      <c r="EG157" s="204"/>
      <c r="EH157" s="204"/>
      <c r="EI157" s="204"/>
      <c r="EJ157" s="204"/>
      <c r="EK157" s="684">
        <f>EK156/EF156-1</f>
        <v>1.251970543610998</v>
      </c>
      <c r="EL157" s="204"/>
      <c r="EM157" s="204"/>
      <c r="EN157" s="204"/>
      <c r="EO157" s="204"/>
      <c r="EP157" s="684">
        <f>EP156/EK156-1</f>
        <v>0.58864514008709223</v>
      </c>
      <c r="EQ157" s="204"/>
      <c r="ER157" s="204"/>
      <c r="ES157" s="204"/>
      <c r="ET157" s="204"/>
      <c r="EU157" s="684">
        <f>EU156/EP156-1</f>
        <v>0.98894494042710912</v>
      </c>
      <c r="EV157" s="204"/>
      <c r="EW157" s="204"/>
      <c r="EX157" s="204"/>
      <c r="EY157" s="204"/>
      <c r="EZ157" s="684">
        <f>EZ156/EU156-1</f>
        <v>0.71616252855506524</v>
      </c>
      <c r="FA157" s="204"/>
      <c r="FB157" s="204"/>
      <c r="FC157" s="204"/>
      <c r="FD157" s="204"/>
      <c r="FE157" s="684">
        <f>FE156/EZ156-1</f>
        <v>0.29670707728611512</v>
      </c>
      <c r="FF157" s="204"/>
      <c r="FG157" s="204"/>
      <c r="FH157" s="204"/>
      <c r="FI157" s="204"/>
      <c r="FJ157" s="684">
        <f>FJ156/FE156-1</f>
        <v>0.16470705942276753</v>
      </c>
      <c r="FK157" s="204"/>
      <c r="FL157" s="204"/>
      <c r="FM157" s="204"/>
      <c r="FN157" s="204"/>
      <c r="FO157" s="684">
        <f>FO156/FJ156-1</f>
        <v>9.5978155119837316E-2</v>
      </c>
      <c r="FP157" s="684"/>
    </row>
    <row r="158" spans="1:173">
      <c r="A158" s="171" t="s">
        <v>486</v>
      </c>
      <c r="AD158" s="148"/>
      <c r="AE158" s="148"/>
      <c r="AF158" s="148"/>
      <c r="AG158" s="148"/>
      <c r="AH158" s="148"/>
      <c r="BP158" s="207"/>
      <c r="BQ158" s="207"/>
      <c r="BX158" s="684">
        <f>-(BX142+BX144)/BX156</f>
        <v>-6.6437700945327319E-2</v>
      </c>
      <c r="CC158" s="684">
        <f>-(CC142+CC144)/CC156</f>
        <v>0.12515155345214191</v>
      </c>
      <c r="CD158" s="150"/>
      <c r="CE158" s="150"/>
      <c r="CF158" s="150"/>
      <c r="CG158" s="150"/>
      <c r="CH158" s="684">
        <f>-(CH142+CH144)/CH156</f>
        <v>1.7087006000413816</v>
      </c>
      <c r="CM158" s="684">
        <f>-(CM142+CM144)/CM156</f>
        <v>1.2601104337557048</v>
      </c>
      <c r="CR158" s="684">
        <f>-(CR142+CR144)/CR156</f>
        <v>0.73094582185491275</v>
      </c>
      <c r="CW158" s="684">
        <f>-(CW142+CW144)/CW156</f>
        <v>0.678475935828877</v>
      </c>
      <c r="DB158" s="684">
        <f>-(DB142+DB144)/DB156</f>
        <v>0.52595393606050189</v>
      </c>
      <c r="DG158" s="684">
        <f>-(DG142+DG144)/DG156</f>
        <v>0.78848600508905853</v>
      </c>
      <c r="DL158" s="684">
        <f>-(DL142+DL144)/DL156</f>
        <v>0.1322256026211093</v>
      </c>
      <c r="DQ158" s="684">
        <f>-(DQ142+DQ144)/DQ156</f>
        <v>0.20087245533859577</v>
      </c>
      <c r="DV158" s="684">
        <f>-(DV142+DV144)/DV156</f>
        <v>0.24468215910488134</v>
      </c>
      <c r="EA158" s="684">
        <f>-(EA142+EA144)/EA156</f>
        <v>3.0380677343134681</v>
      </c>
      <c r="EF158" s="684">
        <f>-(EF142+EF144)/EF156</f>
        <v>0.44362209969285421</v>
      </c>
      <c r="EK158" s="684">
        <f>-(EK142+EK144)/EK156</f>
        <v>0.66186837564702983</v>
      </c>
      <c r="EP158" s="684">
        <f>-(EP142+EP144)/EP156</f>
        <v>0.49133713292716985</v>
      </c>
      <c r="EU158" s="684">
        <f>-(EU142+EU144)/EU156</f>
        <v>0.5153433654610583</v>
      </c>
      <c r="EZ158" s="684">
        <f>-(EZ142+EZ144)/EZ156</f>
        <v>0.35954614613753266</v>
      </c>
      <c r="FE158" s="684">
        <f>-(FE142+FE144)/FE156</f>
        <v>0.31193014466328506</v>
      </c>
      <c r="FJ158" s="684">
        <f>-(FJ142+FJ144)/FJ156</f>
        <v>0.29304902614476497</v>
      </c>
      <c r="FO158" s="684">
        <f>-(FO142+FO144)/FO156</f>
        <v>0.30781168313111196</v>
      </c>
      <c r="FP158" s="684"/>
    </row>
    <row r="159" spans="1:173">
      <c r="AD159" s="148"/>
      <c r="AE159" s="148"/>
      <c r="AF159" s="148"/>
      <c r="AG159" s="148"/>
      <c r="AH159" s="148"/>
      <c r="BP159" s="207"/>
      <c r="BQ159" s="207"/>
      <c r="CD159" s="150"/>
      <c r="CE159" s="150"/>
      <c r="CF159" s="150"/>
      <c r="CG159" s="150"/>
      <c r="CH159" s="150"/>
      <c r="CR159" s="205"/>
      <c r="CW159" s="205"/>
    </row>
    <row r="160" spans="1:173">
      <c r="B160" s="149"/>
      <c r="C160" s="149"/>
      <c r="D160" s="149"/>
      <c r="E160" s="149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149"/>
      <c r="S160" s="149"/>
      <c r="T160" s="149"/>
      <c r="U160" s="149"/>
      <c r="V160" s="212"/>
      <c r="W160" s="212"/>
      <c r="X160" s="212"/>
      <c r="Y160" s="212"/>
      <c r="Z160" s="212"/>
      <c r="AA160" s="212"/>
      <c r="AB160" s="212"/>
      <c r="AC160" s="212"/>
      <c r="AD160" s="212"/>
      <c r="AE160" s="212"/>
      <c r="AF160" s="212"/>
      <c r="AG160" s="212"/>
      <c r="AH160" s="212"/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  <c r="BI160" s="212"/>
      <c r="BJ160" s="212"/>
      <c r="BK160" s="212"/>
      <c r="BL160" s="212"/>
      <c r="BM160" s="212"/>
      <c r="BN160" s="212"/>
      <c r="BO160" s="212"/>
      <c r="BP160" s="212"/>
      <c r="BQ160" s="212"/>
      <c r="BR160" s="212"/>
      <c r="BS160" s="212"/>
      <c r="BT160" s="212"/>
      <c r="BU160" s="212"/>
      <c r="BV160" s="212"/>
      <c r="BW160" s="212"/>
      <c r="BX160" s="212"/>
      <c r="BY160" s="212"/>
      <c r="BZ160" s="212"/>
      <c r="CA160" s="212"/>
      <c r="CB160" s="212"/>
      <c r="CC160" s="212"/>
      <c r="CD160" s="212"/>
      <c r="CE160" s="212"/>
      <c r="CF160" s="212"/>
      <c r="CG160" s="212"/>
      <c r="CH160" s="212"/>
      <c r="CI160" s="212"/>
      <c r="CJ160" s="212"/>
      <c r="CK160" s="212"/>
      <c r="CL160" s="212"/>
      <c r="CM160" s="212"/>
      <c r="CN160" s="212"/>
      <c r="CO160" s="212"/>
      <c r="CP160" s="212"/>
      <c r="CQ160" s="212"/>
      <c r="CR160" s="205"/>
      <c r="CS160" s="212"/>
      <c r="CT160" s="212"/>
      <c r="CU160" s="212"/>
      <c r="CV160" s="212"/>
      <c r="CW160" s="205"/>
      <c r="CX160" s="212"/>
      <c r="CY160" s="212"/>
      <c r="CZ160" s="212"/>
      <c r="DA160" s="212"/>
      <c r="DC160" s="212"/>
      <c r="DD160" s="212"/>
      <c r="DE160" s="212"/>
      <c r="DF160" s="212"/>
      <c r="DH160" s="212"/>
      <c r="DI160" s="212"/>
      <c r="DJ160" s="212"/>
      <c r="DK160" s="212"/>
      <c r="DM160" s="212"/>
      <c r="DN160" s="212"/>
      <c r="DO160" s="212"/>
      <c r="DP160" s="212"/>
      <c r="DR160" s="212"/>
      <c r="DS160" s="212"/>
      <c r="DT160" s="212"/>
      <c r="DU160" s="212"/>
      <c r="DW160" s="212"/>
      <c r="DX160" s="212"/>
      <c r="DY160" s="212"/>
      <c r="DZ160" s="212"/>
      <c r="EB160" s="212"/>
      <c r="EC160" s="212"/>
      <c r="ED160" s="212"/>
      <c r="EE160" s="212"/>
      <c r="EG160" s="212"/>
      <c r="EH160" s="212"/>
      <c r="EI160" s="212"/>
      <c r="EJ160" s="212"/>
    </row>
    <row r="161" spans="1:173">
      <c r="A161" s="213"/>
      <c r="B161" s="214"/>
      <c r="C161" s="214"/>
      <c r="D161" s="214"/>
      <c r="E161" s="214"/>
      <c r="F161" s="214"/>
      <c r="G161" s="214"/>
      <c r="H161" s="214"/>
      <c r="I161" s="214"/>
      <c r="J161" s="214"/>
      <c r="K161" s="214"/>
      <c r="L161" s="214"/>
      <c r="M161" s="214"/>
      <c r="N161" s="214"/>
      <c r="O161" s="214"/>
      <c r="P161" s="214"/>
      <c r="Q161" s="214"/>
      <c r="R161" s="214"/>
      <c r="S161" s="214"/>
      <c r="T161" s="214"/>
      <c r="U161" s="214"/>
      <c r="V161" s="215"/>
      <c r="W161" s="215"/>
      <c r="X161" s="215"/>
      <c r="Y161" s="215"/>
      <c r="Z161" s="215"/>
      <c r="AA161" s="215"/>
      <c r="AB161" s="215"/>
      <c r="AC161" s="215"/>
      <c r="AD161" s="215"/>
      <c r="AE161" s="215"/>
      <c r="AF161" s="215"/>
      <c r="AG161" s="215"/>
      <c r="AH161" s="215"/>
      <c r="AI161" s="215"/>
      <c r="AJ161" s="215"/>
      <c r="AK161" s="215"/>
      <c r="AL161" s="215"/>
      <c r="AM161" s="215"/>
      <c r="AN161" s="215"/>
      <c r="AO161" s="215"/>
      <c r="AP161" s="215"/>
      <c r="AQ161" s="215"/>
      <c r="AR161" s="215"/>
      <c r="AS161" s="215"/>
      <c r="AT161" s="215"/>
      <c r="AU161" s="215"/>
      <c r="AV161" s="215"/>
      <c r="AW161" s="215"/>
      <c r="AX161" s="215"/>
      <c r="AY161" s="215"/>
      <c r="AZ161" s="215"/>
      <c r="BA161" s="215"/>
      <c r="BB161" s="215"/>
      <c r="BC161" s="215"/>
      <c r="BD161" s="215"/>
      <c r="BE161" s="215"/>
      <c r="BF161" s="215"/>
      <c r="BG161" s="215"/>
      <c r="BH161" s="215"/>
      <c r="BI161" s="215"/>
      <c r="BJ161" s="215"/>
      <c r="BK161" s="215"/>
      <c r="BL161" s="215"/>
      <c r="BM161" s="215"/>
      <c r="BN161" s="215"/>
      <c r="BO161" s="215"/>
      <c r="BP161" s="215"/>
      <c r="BQ161" s="215"/>
      <c r="BR161" s="215"/>
      <c r="BS161" s="215"/>
      <c r="BT161" s="215"/>
      <c r="BU161" s="215"/>
      <c r="BV161" s="215"/>
      <c r="BW161" s="215"/>
      <c r="BX161" s="215"/>
      <c r="BY161" s="215"/>
      <c r="BZ161" s="215"/>
      <c r="CA161" s="215"/>
      <c r="CB161" s="215"/>
      <c r="CC161" s="215"/>
      <c r="CD161" s="215"/>
      <c r="CE161" s="215"/>
      <c r="CF161" s="215"/>
      <c r="CG161" s="215"/>
      <c r="CH161" s="215"/>
      <c r="CI161" s="215"/>
      <c r="CJ161" s="215"/>
      <c r="CK161" s="215"/>
      <c r="CL161" s="215"/>
      <c r="CM161" s="215"/>
      <c r="CN161" s="215"/>
      <c r="CO161" s="215"/>
      <c r="CP161" s="215"/>
      <c r="CQ161" s="215"/>
      <c r="CR161" s="216"/>
      <c r="CS161" s="215"/>
      <c r="CT161" s="215"/>
      <c r="CU161" s="215"/>
      <c r="CV161" s="215"/>
      <c r="CW161" s="216"/>
      <c r="CX161" s="215"/>
      <c r="CY161" s="215"/>
      <c r="CZ161" s="215"/>
      <c r="DA161" s="215"/>
      <c r="DB161" s="217"/>
      <c r="DC161" s="215"/>
      <c r="DD161" s="215"/>
      <c r="DE161" s="215"/>
      <c r="DF161" s="215"/>
      <c r="DG161" s="214"/>
      <c r="DH161" s="215"/>
      <c r="DI161" s="215"/>
      <c r="DJ161" s="215"/>
      <c r="DK161" s="215"/>
      <c r="DL161" s="214"/>
      <c r="DM161" s="215"/>
      <c r="DN161" s="215"/>
      <c r="DO161" s="215"/>
      <c r="DP161" s="215"/>
      <c r="DQ161" s="214"/>
      <c r="DR161" s="215"/>
      <c r="DS161" s="215"/>
      <c r="DT161" s="215"/>
      <c r="DU161" s="215"/>
      <c r="DV161" s="214"/>
      <c r="DW161" s="215"/>
      <c r="DX161" s="215"/>
      <c r="DY161" s="215"/>
      <c r="DZ161" s="215"/>
      <c r="EA161" s="214"/>
      <c r="EB161" s="215"/>
      <c r="EC161" s="215"/>
      <c r="ED161" s="215"/>
      <c r="EE161" s="215"/>
      <c r="EF161" s="214"/>
      <c r="EG161" s="215"/>
      <c r="EH161" s="215"/>
      <c r="EI161" s="215"/>
      <c r="EJ161" s="215"/>
      <c r="EK161" s="214"/>
      <c r="EL161" s="214"/>
      <c r="EM161" s="214"/>
      <c r="EN161" s="214"/>
      <c r="EO161" s="214"/>
      <c r="EP161" s="214"/>
      <c r="EQ161" s="214"/>
      <c r="ER161" s="214"/>
      <c r="ES161" s="214"/>
      <c r="ET161" s="214"/>
      <c r="EU161" s="214"/>
      <c r="EV161" s="214"/>
      <c r="EW161" s="214"/>
      <c r="EX161" s="214"/>
      <c r="EY161" s="214"/>
      <c r="EZ161" s="214"/>
      <c r="FA161" s="214"/>
      <c r="FB161" s="214"/>
      <c r="FC161" s="214"/>
      <c r="FD161" s="214"/>
      <c r="FE161" s="214"/>
      <c r="FF161" s="214"/>
      <c r="FG161" s="214"/>
      <c r="FH161" s="214"/>
      <c r="FI161" s="214"/>
      <c r="FJ161" s="214"/>
      <c r="FK161" s="214"/>
      <c r="FL161" s="214"/>
      <c r="FM161" s="214"/>
      <c r="FN161" s="214"/>
      <c r="FO161" s="214"/>
    </row>
    <row r="162" spans="1:173" hidden="1" outlineLevel="1">
      <c r="A162" s="162" t="s">
        <v>487</v>
      </c>
      <c r="B162" s="155"/>
      <c r="C162" s="155"/>
      <c r="D162" s="155"/>
      <c r="E162" s="155"/>
      <c r="F162" s="155"/>
      <c r="G162" s="155"/>
      <c r="H162" s="155"/>
      <c r="I162" s="155"/>
      <c r="J162" s="155"/>
      <c r="K162" s="155"/>
      <c r="L162" s="155"/>
      <c r="M162" s="155"/>
      <c r="N162" s="155"/>
      <c r="O162" s="155"/>
      <c r="P162" s="155"/>
      <c r="Q162" s="155"/>
      <c r="R162" s="155"/>
      <c r="S162" s="155"/>
      <c r="T162" s="155"/>
      <c r="U162" s="155"/>
      <c r="V162" s="155"/>
      <c r="W162" s="155"/>
      <c r="X162" s="155"/>
      <c r="Y162" s="155"/>
      <c r="Z162" s="155"/>
      <c r="AA162" s="155"/>
      <c r="AB162" s="155"/>
      <c r="AC162" s="155"/>
      <c r="AD162" s="155"/>
      <c r="AE162" s="155"/>
      <c r="AF162" s="155"/>
      <c r="AG162" s="155"/>
      <c r="AH162" s="155"/>
      <c r="AI162" s="155"/>
      <c r="AJ162" s="155"/>
      <c r="AK162" s="155"/>
      <c r="AL162" s="155"/>
      <c r="AM162" s="155"/>
      <c r="AN162" s="155"/>
      <c r="AO162" s="155"/>
      <c r="AP162" s="155"/>
      <c r="AQ162" s="218"/>
      <c r="AR162" s="219"/>
      <c r="AS162" s="220"/>
      <c r="AT162" s="220"/>
      <c r="AU162" s="221"/>
      <c r="AV162" s="221"/>
      <c r="AW162" s="221"/>
      <c r="AX162" s="222"/>
      <c r="AY162" s="221"/>
      <c r="AZ162" s="221"/>
      <c r="BA162" s="221"/>
      <c r="BB162" s="221"/>
      <c r="BC162" s="221"/>
      <c r="BD162" s="221"/>
      <c r="BE162" s="221"/>
      <c r="BF162" s="221"/>
      <c r="BG162" s="221"/>
      <c r="BH162" s="165"/>
      <c r="BI162" s="165"/>
      <c r="BJ162" s="221"/>
      <c r="BK162" s="221"/>
      <c r="BL162" s="221"/>
      <c r="BM162" s="221"/>
      <c r="BN162" s="221"/>
      <c r="BO162" s="221"/>
      <c r="BP162" s="221"/>
      <c r="BQ162" s="223"/>
      <c r="BR162" s="224"/>
      <c r="BS162" s="224"/>
      <c r="BT162" s="224"/>
      <c r="BU162" s="224"/>
      <c r="BV162" s="224"/>
      <c r="BW162" s="224"/>
      <c r="BX162" s="224"/>
      <c r="BY162" s="224"/>
      <c r="BZ162" s="224"/>
      <c r="CA162" s="224"/>
      <c r="CB162" s="224"/>
      <c r="CC162" s="224"/>
      <c r="CD162" s="225"/>
      <c r="CE162" s="225"/>
      <c r="CF162" s="226"/>
      <c r="CG162" s="221"/>
      <c r="CH162" s="221"/>
      <c r="CI162" s="227"/>
      <c r="CJ162" s="226"/>
      <c r="CK162" s="226"/>
      <c r="CL162" s="226"/>
      <c r="CM162" s="226"/>
      <c r="CN162" s="221"/>
      <c r="CO162" s="221"/>
      <c r="CP162" s="221"/>
      <c r="CQ162" s="221"/>
      <c r="CR162" s="221"/>
      <c r="CS162" s="221"/>
      <c r="CT162" s="221"/>
      <c r="CU162" s="221"/>
      <c r="CV162" s="221"/>
      <c r="CW162" s="221"/>
      <c r="CX162" s="221"/>
      <c r="CY162" s="221"/>
      <c r="CZ162" s="221"/>
      <c r="DA162" s="221"/>
      <c r="DB162" s="155"/>
      <c r="DC162" s="165"/>
      <c r="DD162" s="165"/>
      <c r="DE162" s="165"/>
      <c r="DF162" s="165"/>
      <c r="DG162" s="165"/>
      <c r="DH162" s="165"/>
      <c r="DI162" s="165"/>
      <c r="DJ162" s="165"/>
      <c r="DK162" s="165"/>
      <c r="DL162" s="165"/>
      <c r="DM162" s="165"/>
      <c r="DN162" s="165"/>
      <c r="DO162" s="165"/>
      <c r="DP162" s="165"/>
      <c r="DQ162" s="165"/>
      <c r="DR162" s="165"/>
      <c r="DS162" s="165"/>
      <c r="DT162" s="165"/>
      <c r="DU162" s="165"/>
      <c r="DV162" s="165"/>
      <c r="DW162" s="165"/>
      <c r="DX162" s="165"/>
      <c r="DY162" s="165"/>
      <c r="DZ162" s="165"/>
      <c r="EA162" s="165"/>
      <c r="EB162" s="165"/>
      <c r="EC162" s="165"/>
      <c r="ED162" s="165"/>
      <c r="EE162" s="165"/>
      <c r="EF162" s="165"/>
      <c r="EG162" s="165"/>
      <c r="EH162" s="165"/>
      <c r="EI162" s="165"/>
      <c r="EJ162" s="165"/>
      <c r="EK162" s="165"/>
      <c r="EL162" s="165"/>
      <c r="EM162" s="165"/>
      <c r="EN162" s="165"/>
      <c r="EO162" s="165"/>
      <c r="EP162" s="165"/>
      <c r="EQ162" s="165"/>
      <c r="ER162" s="165"/>
      <c r="ES162" s="165"/>
      <c r="ET162" s="165"/>
      <c r="EU162" s="165"/>
      <c r="EV162" s="165"/>
      <c r="EW162" s="165"/>
      <c r="EX162" s="165"/>
      <c r="EY162" s="165"/>
      <c r="EZ162" s="165"/>
      <c r="FA162" s="165"/>
      <c r="FB162" s="165"/>
      <c r="FC162" s="165"/>
      <c r="FD162" s="165"/>
      <c r="FE162" s="165"/>
      <c r="FF162" s="165"/>
      <c r="FG162" s="165"/>
      <c r="FH162" s="165"/>
      <c r="FI162" s="165"/>
      <c r="FJ162" s="165"/>
      <c r="FK162" s="165"/>
      <c r="FL162" s="165"/>
      <c r="FM162" s="165"/>
      <c r="FN162" s="165"/>
      <c r="FO162" s="165"/>
      <c r="FP162" s="166"/>
      <c r="FQ162" s="166"/>
    </row>
    <row r="163" spans="1:173" hidden="1" outlineLevel="1">
      <c r="A163" s="147" t="s">
        <v>488</v>
      </c>
      <c r="B163" s="149"/>
      <c r="C163" s="149"/>
      <c r="D163" s="149"/>
      <c r="E163" s="149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149"/>
      <c r="S163" s="149"/>
      <c r="T163" s="149"/>
      <c r="U163" s="149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28"/>
      <c r="BF163" s="229"/>
      <c r="BG163" s="204"/>
      <c r="BH163" s="204"/>
      <c r="BI163" s="204"/>
      <c r="BJ163" s="174"/>
      <c r="BK163" s="208"/>
      <c r="BL163" s="204"/>
      <c r="BM163" s="174"/>
      <c r="BN163" s="174"/>
      <c r="BO163" s="174"/>
      <c r="BP163" s="152"/>
      <c r="BQ163" s="204"/>
      <c r="BR163" s="174"/>
      <c r="BS163" s="174"/>
      <c r="BT163" s="230"/>
      <c r="BU163" s="231"/>
      <c r="BV163" s="204"/>
      <c r="BW163" s="174"/>
      <c r="BX163" s="174"/>
      <c r="BY163" s="208"/>
      <c r="BZ163" s="208"/>
      <c r="CA163" s="204"/>
      <c r="CB163" s="232"/>
      <c r="CC163" s="204"/>
      <c r="CD163" s="208"/>
      <c r="CE163" s="208"/>
      <c r="CF163" s="208"/>
      <c r="CG163" s="208"/>
      <c r="CH163" s="208"/>
      <c r="CI163" s="233"/>
      <c r="CJ163" s="208"/>
      <c r="CK163" s="208"/>
      <c r="CL163" s="204"/>
      <c r="CM163" s="204"/>
      <c r="CN163" s="208"/>
      <c r="CO163" s="208"/>
      <c r="CP163" s="234"/>
      <c r="CQ163" s="234"/>
      <c r="CR163" s="234"/>
      <c r="CS163" s="152"/>
      <c r="CT163" s="152"/>
      <c r="CU163" s="152"/>
      <c r="CV163" s="204"/>
      <c r="CW163" s="204"/>
      <c r="CX163" s="152"/>
      <c r="CY163" s="152"/>
      <c r="CZ163" s="152"/>
      <c r="DA163" s="204"/>
    </row>
    <row r="164" spans="1:173" hidden="1" outlineLevel="1">
      <c r="A164" s="171" t="s">
        <v>489</v>
      </c>
      <c r="B164" s="186"/>
      <c r="C164" s="186"/>
      <c r="D164" s="186"/>
      <c r="E164" s="186"/>
      <c r="F164" s="186"/>
      <c r="G164" s="186"/>
      <c r="H164" s="186"/>
      <c r="I164" s="186"/>
      <c r="J164" s="186"/>
      <c r="K164" s="186"/>
      <c r="L164" s="186"/>
      <c r="M164" s="186"/>
      <c r="N164" s="186"/>
      <c r="O164" s="186"/>
      <c r="P164" s="186"/>
      <c r="Q164" s="186"/>
      <c r="R164" s="186"/>
      <c r="S164" s="186"/>
      <c r="T164" s="186"/>
      <c r="U164" s="186"/>
      <c r="V164" s="235">
        <v>19.545169974357933</v>
      </c>
      <c r="W164" s="235">
        <v>14.417044185246436</v>
      </c>
      <c r="X164" s="235">
        <v>19.701083717787473</v>
      </c>
      <c r="Y164" s="235">
        <v>25.492000000000001</v>
      </c>
      <c r="Z164" s="235"/>
      <c r="AA164" s="235">
        <v>25.842029794692575</v>
      </c>
      <c r="AB164" s="235">
        <v>21.532090609245017</v>
      </c>
      <c r="AC164" s="235">
        <v>20.473145385357828</v>
      </c>
      <c r="AD164" s="235">
        <v>22.608176292517776</v>
      </c>
      <c r="AE164" s="235"/>
      <c r="AF164" s="235">
        <v>20.088114417710177</v>
      </c>
      <c r="AG164" s="235">
        <v>18.033094660884867</v>
      </c>
      <c r="AH164" s="235">
        <v>19.52</v>
      </c>
      <c r="AI164" s="235">
        <v>23.274999999999999</v>
      </c>
      <c r="AJ164" s="235"/>
      <c r="AK164" s="235">
        <v>22.895</v>
      </c>
      <c r="AL164" s="235">
        <v>18.920000000000002</v>
      </c>
      <c r="AM164" s="235">
        <v>19.240153023813605</v>
      </c>
      <c r="AN164" s="235">
        <v>21.785</v>
      </c>
      <c r="AO164" s="235"/>
      <c r="AP164" s="235">
        <v>19.915041142610917</v>
      </c>
      <c r="AQ164" s="235">
        <v>18.591999999999999</v>
      </c>
      <c r="AR164" s="235">
        <v>20.49</v>
      </c>
      <c r="AS164" s="235">
        <v>22.454999999999998</v>
      </c>
      <c r="AT164" s="235"/>
      <c r="AU164" s="235">
        <v>21.13</v>
      </c>
      <c r="AV164" s="235">
        <v>19.95</v>
      </c>
      <c r="AW164" s="235">
        <v>21.96</v>
      </c>
      <c r="AX164" s="236">
        <v>21.029</v>
      </c>
      <c r="AY164" s="235"/>
      <c r="AZ164" s="235">
        <v>20.605</v>
      </c>
      <c r="BA164" s="235">
        <v>21.504999999999999</v>
      </c>
      <c r="BB164" s="235">
        <v>24.85</v>
      </c>
      <c r="BC164" s="237">
        <v>26.1</v>
      </c>
      <c r="BD164" s="204"/>
      <c r="BE164" s="238"/>
      <c r="BF164" s="238"/>
      <c r="BG164" s="238"/>
      <c r="BH164" s="238"/>
      <c r="BI164" s="239"/>
      <c r="BJ164" s="238"/>
      <c r="BK164" s="238"/>
      <c r="BL164" s="238"/>
      <c r="BM164" s="238"/>
      <c r="BN164" s="239"/>
      <c r="BO164" s="238"/>
      <c r="BP164" s="238"/>
      <c r="BQ164" s="238"/>
      <c r="BR164" s="238"/>
      <c r="BS164" s="239"/>
      <c r="BT164" s="238"/>
      <c r="BU164" s="238"/>
      <c r="BV164" s="238"/>
      <c r="BW164" s="238"/>
      <c r="BX164" s="239"/>
      <c r="BY164" s="238"/>
      <c r="BZ164" s="238"/>
      <c r="CA164" s="238"/>
      <c r="CB164" s="238"/>
      <c r="CC164" s="239"/>
      <c r="CD164" s="238"/>
      <c r="CE164" s="238"/>
      <c r="CF164" s="238"/>
      <c r="CG164" s="238"/>
      <c r="CH164" s="239"/>
      <c r="CI164" s="238"/>
      <c r="CJ164" s="238"/>
      <c r="CK164" s="238"/>
      <c r="CL164" s="238"/>
      <c r="CM164" s="239"/>
      <c r="CN164" s="238"/>
      <c r="CO164" s="238"/>
      <c r="CP164" s="238"/>
      <c r="CQ164" s="238"/>
      <c r="CR164" s="239"/>
      <c r="CS164" s="238"/>
      <c r="CT164" s="238"/>
      <c r="CU164" s="238"/>
      <c r="CV164" s="238"/>
      <c r="CW164" s="239"/>
      <c r="CX164" s="238"/>
      <c r="CY164" s="238"/>
      <c r="CZ164" s="238"/>
      <c r="DA164" s="238"/>
      <c r="DB164" s="240"/>
      <c r="DC164" s="238"/>
      <c r="DD164" s="238"/>
      <c r="DE164" s="238"/>
      <c r="DF164" s="238"/>
      <c r="DH164" s="238"/>
      <c r="DI164" s="238"/>
      <c r="DJ164" s="238"/>
      <c r="DK164" s="238"/>
      <c r="DM164" s="238"/>
      <c r="DN164" s="238"/>
      <c r="DO164" s="238"/>
      <c r="DP164" s="238"/>
      <c r="DR164" s="238"/>
      <c r="DS164" s="238"/>
      <c r="DT164" s="238"/>
      <c r="DU164" s="238"/>
      <c r="DW164" s="238"/>
      <c r="DX164" s="238"/>
      <c r="DY164" s="238"/>
      <c r="DZ164" s="238"/>
      <c r="EB164" s="238"/>
      <c r="EC164" s="238"/>
      <c r="ED164" s="238"/>
      <c r="EE164" s="238"/>
      <c r="EG164" s="238"/>
      <c r="EH164" s="238"/>
      <c r="EI164" s="238"/>
      <c r="EJ164" s="238"/>
    </row>
    <row r="165" spans="1:173" hidden="1" outlineLevel="1">
      <c r="A165" s="171" t="s">
        <v>490</v>
      </c>
      <c r="B165" s="149"/>
      <c r="C165" s="149"/>
      <c r="D165" s="149"/>
      <c r="E165" s="149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  <c r="R165" s="149"/>
      <c r="S165" s="149"/>
      <c r="T165" s="149"/>
      <c r="U165" s="149"/>
      <c r="V165" s="204">
        <f>V166/V164</f>
        <v>0.55999999999999783</v>
      </c>
      <c r="W165" s="204">
        <f t="shared" ref="W165:AX165" si="204">W166/W164</f>
        <v>0.63</v>
      </c>
      <c r="X165" s="204">
        <f t="shared" si="204"/>
        <v>0.66</v>
      </c>
      <c r="Y165" s="204">
        <f t="shared" si="204"/>
        <v>0.66</v>
      </c>
      <c r="Z165" s="204"/>
      <c r="AA165" s="204">
        <f t="shared" si="204"/>
        <v>0.65397339660489495</v>
      </c>
      <c r="AB165" s="204">
        <f t="shared" si="204"/>
        <v>0.65019232243008307</v>
      </c>
      <c r="AC165" s="204">
        <f t="shared" si="204"/>
        <v>0.65451594016342673</v>
      </c>
      <c r="AD165" s="204">
        <f t="shared" si="204"/>
        <v>0.65020724404316488</v>
      </c>
      <c r="AE165" s="204"/>
      <c r="AF165" s="204">
        <f t="shared" si="204"/>
        <v>0.64465980881625007</v>
      </c>
      <c r="AG165" s="204">
        <f t="shared" si="204"/>
        <v>0.63910272844064797</v>
      </c>
      <c r="AH165" s="204">
        <f t="shared" si="204"/>
        <v>0.61885245901639341</v>
      </c>
      <c r="AI165" s="229">
        <f t="shared" si="204"/>
        <v>0.5825993555316864</v>
      </c>
      <c r="AJ165" s="229"/>
      <c r="AK165" s="229">
        <f t="shared" si="204"/>
        <v>0.60384363398121854</v>
      </c>
      <c r="AL165" s="229">
        <f t="shared" si="204"/>
        <v>0.58139534883720922</v>
      </c>
      <c r="AM165" s="229">
        <f t="shared" si="204"/>
        <v>0.4157971087910981</v>
      </c>
      <c r="AN165" s="229">
        <f t="shared" si="204"/>
        <v>0.45903144365389031</v>
      </c>
      <c r="AO165" s="229"/>
      <c r="AP165" s="229">
        <f t="shared" si="204"/>
        <v>0.46196238983987625</v>
      </c>
      <c r="AQ165" s="229">
        <f t="shared" si="204"/>
        <v>0.45718588640275393</v>
      </c>
      <c r="AR165" s="229">
        <f t="shared" si="204"/>
        <v>0.49780380673499269</v>
      </c>
      <c r="AS165" s="229">
        <f t="shared" si="204"/>
        <v>0.51213538187486085</v>
      </c>
      <c r="AT165" s="229"/>
      <c r="AU165" s="229">
        <f t="shared" si="204"/>
        <v>0.52768575485092295</v>
      </c>
      <c r="AV165" s="229">
        <f t="shared" si="204"/>
        <v>0.50626566416040097</v>
      </c>
      <c r="AW165" s="229">
        <f t="shared" si="204"/>
        <v>0.50091074681238612</v>
      </c>
      <c r="AX165" s="241">
        <f t="shared" si="204"/>
        <v>0.51357648960958679</v>
      </c>
      <c r="AY165" s="229"/>
      <c r="AZ165" s="229">
        <f>(AZ166+AZ190)/AZ164</f>
        <v>0.60865988071367449</v>
      </c>
      <c r="BA165" s="229">
        <f>(BA166+BA190)/BA164</f>
        <v>0.6686373091529102</v>
      </c>
      <c r="BB165" s="229">
        <v>0.60499999999999998</v>
      </c>
      <c r="BC165" s="229">
        <f>(BC166+BC190)/BC164</f>
        <v>0.62072796934865904</v>
      </c>
      <c r="BD165" s="229"/>
      <c r="BE165" s="229"/>
      <c r="BF165" s="229"/>
      <c r="BG165" s="229"/>
      <c r="BH165" s="229"/>
      <c r="BI165" s="229"/>
      <c r="BJ165" s="229"/>
      <c r="BK165" s="229"/>
      <c r="BL165" s="229"/>
      <c r="BM165" s="229"/>
      <c r="BN165" s="229"/>
      <c r="BO165" s="229"/>
      <c r="BP165" s="229"/>
      <c r="BQ165" s="229"/>
      <c r="BR165" s="229"/>
      <c r="BS165" s="229"/>
      <c r="BT165" s="229"/>
      <c r="BU165" s="229"/>
      <c r="BV165" s="229"/>
      <c r="BW165" s="229"/>
      <c r="BX165" s="229"/>
      <c r="BY165" s="229"/>
      <c r="BZ165" s="229"/>
      <c r="CA165" s="229"/>
      <c r="CB165" s="229"/>
      <c r="CC165" s="229"/>
      <c r="CD165" s="229"/>
      <c r="CE165" s="229"/>
      <c r="CF165" s="229"/>
      <c r="CG165" s="229"/>
      <c r="CH165" s="229"/>
      <c r="CI165" s="229"/>
      <c r="CJ165" s="229"/>
      <c r="CK165" s="229"/>
      <c r="CL165" s="229"/>
      <c r="CM165" s="229"/>
      <c r="CN165" s="229"/>
      <c r="CO165" s="229"/>
      <c r="CP165" s="229"/>
      <c r="CQ165" s="229"/>
      <c r="CR165" s="239"/>
      <c r="CS165" s="229"/>
      <c r="CT165" s="229"/>
      <c r="CU165" s="229"/>
      <c r="CV165" s="229"/>
      <c r="CW165" s="239"/>
      <c r="CX165" s="229"/>
      <c r="CY165" s="229"/>
      <c r="CZ165" s="229"/>
      <c r="DA165" s="229"/>
      <c r="DC165" s="229"/>
      <c r="DD165" s="229"/>
      <c r="DE165" s="229"/>
      <c r="DF165" s="229"/>
      <c r="DH165" s="229"/>
      <c r="DI165" s="229"/>
      <c r="DJ165" s="229"/>
      <c r="DK165" s="229"/>
      <c r="DM165" s="229"/>
      <c r="DN165" s="229"/>
      <c r="DO165" s="229"/>
      <c r="DP165" s="229"/>
      <c r="DR165" s="229"/>
      <c r="DS165" s="229"/>
      <c r="DT165" s="229"/>
      <c r="DU165" s="229"/>
      <c r="DW165" s="229"/>
      <c r="DX165" s="229"/>
      <c r="DY165" s="229"/>
      <c r="DZ165" s="229"/>
      <c r="EB165" s="229"/>
      <c r="EC165" s="229"/>
      <c r="ED165" s="229"/>
      <c r="EE165" s="229"/>
      <c r="EG165" s="229"/>
      <c r="EH165" s="229"/>
      <c r="EI165" s="229"/>
      <c r="EJ165" s="229"/>
    </row>
    <row r="166" spans="1:173" hidden="1" outlineLevel="1">
      <c r="A166" s="171" t="s">
        <v>491</v>
      </c>
      <c r="B166" s="149"/>
      <c r="C166" s="149"/>
      <c r="D166" s="149"/>
      <c r="E166" s="149"/>
      <c r="F166" s="149"/>
      <c r="G166" s="149"/>
      <c r="H166" s="149"/>
      <c r="I166" s="149"/>
      <c r="J166" s="149"/>
      <c r="K166" s="149"/>
      <c r="L166" s="149"/>
      <c r="M166" s="149"/>
      <c r="N166" s="149"/>
      <c r="O166" s="149"/>
      <c r="P166" s="149"/>
      <c r="Q166" s="149"/>
      <c r="R166" s="149"/>
      <c r="S166" s="149"/>
      <c r="T166" s="149"/>
      <c r="U166" s="149"/>
      <c r="V166" s="242">
        <v>10.945295185640401</v>
      </c>
      <c r="W166" s="242">
        <v>9.0827378367052543</v>
      </c>
      <c r="X166" s="242">
        <v>13.002715253739733</v>
      </c>
      <c r="Y166" s="242">
        <v>16.824720000000003</v>
      </c>
      <c r="Z166" s="242"/>
      <c r="AA166" s="242">
        <v>16.899999999999999</v>
      </c>
      <c r="AB166" s="242">
        <v>14</v>
      </c>
      <c r="AC166" s="242">
        <v>13.4</v>
      </c>
      <c r="AD166" s="242">
        <v>14.7</v>
      </c>
      <c r="AE166" s="242"/>
      <c r="AF166" s="242">
        <v>12.95</v>
      </c>
      <c r="AG166" s="242">
        <v>11.525</v>
      </c>
      <c r="AH166" s="242">
        <v>12.08</v>
      </c>
      <c r="AI166" s="242">
        <v>13.56</v>
      </c>
      <c r="AJ166" s="242"/>
      <c r="AK166" s="242">
        <v>13.824999999999999</v>
      </c>
      <c r="AL166" s="242">
        <v>11</v>
      </c>
      <c r="AM166" s="242">
        <v>8</v>
      </c>
      <c r="AN166" s="242">
        <v>10</v>
      </c>
      <c r="AO166" s="242"/>
      <c r="AP166" s="242">
        <v>9.1999999999999993</v>
      </c>
      <c r="AQ166" s="242">
        <v>8.5</v>
      </c>
      <c r="AR166" s="242">
        <v>10.199999999999999</v>
      </c>
      <c r="AS166" s="242">
        <v>11.5</v>
      </c>
      <c r="AT166" s="242"/>
      <c r="AU166" s="242">
        <v>11.15</v>
      </c>
      <c r="AV166" s="242">
        <v>10.1</v>
      </c>
      <c r="AW166" s="243">
        <v>11</v>
      </c>
      <c r="AX166" s="244">
        <v>10.8</v>
      </c>
      <c r="AY166" s="243"/>
      <c r="AZ166" s="243">
        <v>11.8</v>
      </c>
      <c r="BA166" s="243">
        <v>13.7</v>
      </c>
      <c r="BB166" s="245">
        <f>BB165*BB164-BB190</f>
        <v>14.211774324324324</v>
      </c>
      <c r="BC166" s="243">
        <f>16.201-BC190</f>
        <v>15.280419178082193</v>
      </c>
      <c r="BD166" s="229"/>
      <c r="BE166" s="238"/>
      <c r="BF166" s="238"/>
      <c r="BG166" s="238"/>
      <c r="BH166" s="238"/>
      <c r="BI166" s="239"/>
      <c r="BJ166" s="238"/>
      <c r="BK166" s="238"/>
      <c r="BL166" s="238"/>
      <c r="BM166" s="238"/>
      <c r="BN166" s="239"/>
      <c r="BO166" s="238"/>
      <c r="BP166" s="238"/>
      <c r="BQ166" s="238"/>
      <c r="BR166" s="238"/>
      <c r="BS166" s="239"/>
      <c r="BT166" s="238"/>
      <c r="BU166" s="238"/>
      <c r="BV166" s="238"/>
      <c r="BW166" s="238"/>
      <c r="BX166" s="239"/>
      <c r="BY166" s="238"/>
      <c r="BZ166" s="238"/>
      <c r="CA166" s="238"/>
      <c r="CB166" s="238"/>
      <c r="CC166" s="239"/>
      <c r="CD166" s="238"/>
      <c r="CE166" s="238"/>
      <c r="CF166" s="238"/>
      <c r="CG166" s="238"/>
      <c r="CH166" s="239"/>
      <c r="CI166" s="238"/>
      <c r="CJ166" s="238"/>
      <c r="CK166" s="238"/>
      <c r="CL166" s="238"/>
      <c r="CM166" s="239"/>
      <c r="CN166" s="238"/>
      <c r="CO166" s="238"/>
      <c r="CP166" s="238"/>
      <c r="CQ166" s="238"/>
      <c r="CR166" s="239"/>
      <c r="CS166" s="238"/>
      <c r="CT166" s="238"/>
      <c r="CU166" s="238"/>
      <c r="CV166" s="238"/>
      <c r="CW166" s="239"/>
      <c r="CX166" s="238"/>
      <c r="CY166" s="238"/>
      <c r="CZ166" s="238"/>
      <c r="DA166" s="238"/>
      <c r="DB166" s="240"/>
      <c r="DC166" s="238"/>
      <c r="DD166" s="238"/>
      <c r="DE166" s="238"/>
      <c r="DF166" s="238"/>
      <c r="DH166" s="238"/>
      <c r="DI166" s="238"/>
      <c r="DJ166" s="238"/>
      <c r="DK166" s="238"/>
      <c r="DM166" s="238"/>
      <c r="DN166" s="238"/>
      <c r="DO166" s="238"/>
      <c r="DP166" s="238"/>
      <c r="DR166" s="238"/>
      <c r="DS166" s="238"/>
      <c r="DT166" s="238"/>
      <c r="DU166" s="238"/>
      <c r="DW166" s="238"/>
      <c r="DX166" s="238"/>
      <c r="DY166" s="238"/>
      <c r="DZ166" s="238"/>
      <c r="EB166" s="238"/>
      <c r="EC166" s="238"/>
      <c r="ED166" s="238"/>
      <c r="EE166" s="238"/>
      <c r="EG166" s="238"/>
      <c r="EH166" s="238"/>
      <c r="EI166" s="238"/>
      <c r="EJ166" s="238"/>
    </row>
    <row r="167" spans="1:173" hidden="1" outlineLevel="1">
      <c r="A167" s="171" t="s">
        <v>492</v>
      </c>
      <c r="B167" s="187"/>
      <c r="C167" s="187"/>
      <c r="D167" s="187"/>
      <c r="E167" s="187"/>
      <c r="F167" s="187"/>
      <c r="G167" s="187"/>
      <c r="H167" s="187"/>
      <c r="I167" s="187"/>
      <c r="J167" s="187"/>
      <c r="K167" s="187"/>
      <c r="L167" s="187"/>
      <c r="M167" s="187"/>
      <c r="N167" s="187"/>
      <c r="O167" s="187"/>
      <c r="P167" s="187"/>
      <c r="Q167" s="187"/>
      <c r="R167" s="187"/>
      <c r="S167" s="187"/>
      <c r="T167" s="187"/>
      <c r="U167" s="187"/>
      <c r="V167" s="187">
        <f>V168/V166</f>
        <v>22.012380288846749</v>
      </c>
      <c r="W167" s="187">
        <f t="shared" ref="W167:AX167" si="205">W168/W166</f>
        <v>28.611967522588888</v>
      </c>
      <c r="X167" s="187">
        <f t="shared" si="205"/>
        <v>27.995383494636226</v>
      </c>
      <c r="Y167" s="187">
        <f t="shared" si="205"/>
        <v>29.76620116114859</v>
      </c>
      <c r="Z167" s="187"/>
      <c r="AA167" s="187">
        <f t="shared" si="205"/>
        <v>25.623076923076926</v>
      </c>
      <c r="AB167" s="187">
        <f t="shared" si="205"/>
        <v>19.131785714285716</v>
      </c>
      <c r="AC167" s="187">
        <f t="shared" si="205"/>
        <v>22.462985074626861</v>
      </c>
      <c r="AD167" s="187">
        <f t="shared" si="205"/>
        <v>21.85972789115646</v>
      </c>
      <c r="AE167" s="187"/>
      <c r="AF167" s="187">
        <f t="shared" si="205"/>
        <v>22.096756756756758</v>
      </c>
      <c r="AG167" s="187">
        <f t="shared" si="205"/>
        <v>26.876268980477224</v>
      </c>
      <c r="AH167" s="187">
        <f t="shared" si="205"/>
        <v>22.30825745033113</v>
      </c>
      <c r="AI167" s="187">
        <f t="shared" si="205"/>
        <v>25.340837020648973</v>
      </c>
      <c r="AJ167" s="187"/>
      <c r="AK167" s="187">
        <f t="shared" si="205"/>
        <v>24.734755877034356</v>
      </c>
      <c r="AL167" s="187">
        <f t="shared" si="205"/>
        <v>22.940999999999999</v>
      </c>
      <c r="AM167" s="187">
        <f t="shared" si="205"/>
        <v>32.102874999999997</v>
      </c>
      <c r="AN167" s="187">
        <f t="shared" si="205"/>
        <v>34.432900000000018</v>
      </c>
      <c r="AO167" s="187"/>
      <c r="AP167" s="187">
        <f t="shared" si="205"/>
        <v>39.44576086956522</v>
      </c>
      <c r="AQ167" s="187">
        <f t="shared" si="205"/>
        <v>39.991294117647065</v>
      </c>
      <c r="AR167" s="187">
        <f t="shared" si="205"/>
        <v>38.486666666666672</v>
      </c>
      <c r="AS167" s="187">
        <f t="shared" si="205"/>
        <v>34.528782608695636</v>
      </c>
      <c r="AT167" s="187"/>
      <c r="AU167" s="187">
        <f t="shared" si="205"/>
        <v>36.134150219827468</v>
      </c>
      <c r="AV167" s="187">
        <f t="shared" si="205"/>
        <v>39.960153261901532</v>
      </c>
      <c r="AW167" s="187">
        <f t="shared" si="205"/>
        <v>40.794818181818187</v>
      </c>
      <c r="AX167" s="246">
        <f t="shared" si="205"/>
        <v>44.222500000000004</v>
      </c>
      <c r="AY167" s="187"/>
      <c r="AZ167" s="187">
        <f>AZ168/AZ166</f>
        <v>33.795742810706827</v>
      </c>
      <c r="BA167" s="187">
        <f>BA168/BA166</f>
        <v>32.99095968974531</v>
      </c>
      <c r="BB167" s="187">
        <f>BB168/BB166</f>
        <v>35.939033133436233</v>
      </c>
      <c r="BC167" s="187">
        <f>BC168/BC166</f>
        <v>38.277740014425937</v>
      </c>
      <c r="BD167" s="187"/>
      <c r="BE167" s="247"/>
      <c r="BF167" s="247"/>
      <c r="BG167" s="247"/>
      <c r="BH167" s="247"/>
      <c r="BI167" s="247"/>
      <c r="BJ167" s="247"/>
      <c r="BK167" s="247"/>
      <c r="BL167" s="247"/>
      <c r="BM167" s="247"/>
      <c r="BN167" s="247"/>
      <c r="BO167" s="247"/>
      <c r="BP167" s="247"/>
      <c r="BQ167" s="247"/>
      <c r="BR167" s="247"/>
      <c r="BS167" s="247"/>
      <c r="BT167" s="247"/>
      <c r="BU167" s="247"/>
      <c r="BV167" s="247"/>
      <c r="BW167" s="247"/>
      <c r="BX167" s="247"/>
      <c r="BY167" s="247"/>
      <c r="BZ167" s="247"/>
      <c r="CA167" s="247"/>
      <c r="CB167" s="248"/>
      <c r="CC167" s="247"/>
      <c r="CD167" s="247"/>
      <c r="CE167" s="247"/>
      <c r="CF167" s="247"/>
      <c r="CG167" s="247"/>
      <c r="CH167" s="247"/>
      <c r="CI167" s="247"/>
      <c r="CJ167" s="247"/>
      <c r="CK167" s="247"/>
      <c r="CL167" s="247"/>
      <c r="CM167" s="247"/>
      <c r="CN167" s="247"/>
      <c r="CO167" s="247"/>
      <c r="CP167" s="247"/>
      <c r="CQ167" s="249"/>
      <c r="CR167" s="239"/>
      <c r="CS167" s="249"/>
      <c r="CT167" s="249"/>
      <c r="CU167" s="249"/>
      <c r="CV167" s="249"/>
      <c r="CW167" s="239"/>
      <c r="CX167" s="249"/>
      <c r="CY167" s="249"/>
      <c r="CZ167" s="249"/>
      <c r="DA167" s="249"/>
      <c r="DB167" s="240"/>
      <c r="DC167" s="238"/>
      <c r="DD167" s="238"/>
      <c r="DE167" s="238"/>
      <c r="DF167" s="238"/>
      <c r="DH167" s="238"/>
      <c r="DI167" s="238"/>
      <c r="DJ167" s="238"/>
      <c r="DK167" s="238"/>
      <c r="DM167" s="238"/>
      <c r="DN167" s="238"/>
      <c r="DO167" s="238"/>
      <c r="DP167" s="238"/>
      <c r="DR167" s="238"/>
      <c r="DS167" s="238"/>
      <c r="DT167" s="238"/>
      <c r="DU167" s="238"/>
      <c r="DW167" s="238"/>
      <c r="DX167" s="238"/>
      <c r="DY167" s="238"/>
      <c r="DZ167" s="238"/>
      <c r="EB167" s="238"/>
      <c r="EC167" s="238"/>
      <c r="ED167" s="238"/>
      <c r="EE167" s="238"/>
      <c r="EG167" s="238"/>
      <c r="EH167" s="238"/>
      <c r="EI167" s="238"/>
      <c r="EJ167" s="238"/>
    </row>
    <row r="168" spans="1:173" s="261" customFormat="1" hidden="1" outlineLevel="1">
      <c r="A168" s="250" t="s">
        <v>493</v>
      </c>
      <c r="B168" s="251"/>
      <c r="C168" s="251"/>
      <c r="D168" s="251"/>
      <c r="E168" s="251"/>
      <c r="F168" s="251"/>
      <c r="G168" s="251"/>
      <c r="H168" s="251"/>
      <c r="I168" s="251"/>
      <c r="J168" s="251"/>
      <c r="K168" s="251"/>
      <c r="L168" s="251"/>
      <c r="M168" s="251"/>
      <c r="N168" s="251"/>
      <c r="O168" s="251"/>
      <c r="P168" s="251"/>
      <c r="Q168" s="251"/>
      <c r="R168" s="251"/>
      <c r="S168" s="251"/>
      <c r="T168" s="251"/>
      <c r="U168" s="251"/>
      <c r="V168" s="251">
        <f>V241-V216-V181-V206</f>
        <v>240.93199999999999</v>
      </c>
      <c r="W168" s="251">
        <f t="shared" ref="W168:AG168" si="206">W241-W216-W181-W206</f>
        <v>259.875</v>
      </c>
      <c r="X168" s="251">
        <f t="shared" si="206"/>
        <v>364.01600000000002</v>
      </c>
      <c r="Y168" s="251">
        <f t="shared" si="206"/>
        <v>500.80799999999999</v>
      </c>
      <c r="Z168" s="251"/>
      <c r="AA168" s="251">
        <f t="shared" si="206"/>
        <v>433.03000000000003</v>
      </c>
      <c r="AB168" s="251">
        <f t="shared" si="206"/>
        <v>267.84500000000003</v>
      </c>
      <c r="AC168" s="251">
        <f t="shared" si="206"/>
        <v>301.00399999999996</v>
      </c>
      <c r="AD168" s="251">
        <f t="shared" si="206"/>
        <v>321.33799999999997</v>
      </c>
      <c r="AE168" s="251"/>
      <c r="AF168" s="251">
        <f t="shared" si="206"/>
        <v>286.15300000000002</v>
      </c>
      <c r="AG168" s="251">
        <f t="shared" si="206"/>
        <v>309.74900000000002</v>
      </c>
      <c r="AH168" s="251">
        <f>AH241-AH216-AH181-AH206-AH225</f>
        <v>269.48375000000004</v>
      </c>
      <c r="AI168" s="251">
        <f>AI7-AI216-AI181-AI206-AI225</f>
        <v>343.62175000000008</v>
      </c>
      <c r="AJ168" s="251"/>
      <c r="AK168" s="251">
        <f>668.449-AK181-AL181-AL168</f>
        <v>341.95799999999997</v>
      </c>
      <c r="AL168" s="251">
        <f>291.291-AL181</f>
        <v>252.351</v>
      </c>
      <c r="AM168" s="251">
        <f>301.373-AM181</f>
        <v>256.82299999999998</v>
      </c>
      <c r="AN168" s="251">
        <f>1360.351-SUM(AK181:AN181,AK168:AM168)</f>
        <v>344.32900000000018</v>
      </c>
      <c r="AO168" s="251"/>
      <c r="AP168" s="251">
        <f>409.926-AP181</f>
        <v>362.90100000000001</v>
      </c>
      <c r="AQ168" s="251">
        <f>385.826-AQ181</f>
        <v>339.92600000000004</v>
      </c>
      <c r="AR168" s="251">
        <f>427.564-AR181</f>
        <v>392.56400000000002</v>
      </c>
      <c r="AS168" s="251">
        <f>1654.397-SUM(AP168:AR168)-SUM(AP181:AS181)</f>
        <v>397.08099999999985</v>
      </c>
      <c r="AT168" s="251"/>
      <c r="AU168" s="252">
        <f>452.431-AU181</f>
        <v>402.89577495107631</v>
      </c>
      <c r="AV168" s="252">
        <f>459.077-AV181</f>
        <v>403.59754794520546</v>
      </c>
      <c r="AW168" s="251">
        <f>529.743-AW181</f>
        <v>448.74300000000005</v>
      </c>
      <c r="AX168" s="253">
        <f>1994.334-SUM(AU168:AW168)-SUM(AU181:AX181)</f>
        <v>477.60300000000007</v>
      </c>
      <c r="AY168" s="251"/>
      <c r="AZ168" s="251">
        <f>483.495-AZ181</f>
        <v>398.78976516634054</v>
      </c>
      <c r="BA168" s="251">
        <f>579.034-BA181</f>
        <v>451.97614774951074</v>
      </c>
      <c r="BB168" s="251">
        <f>689.909-BB181</f>
        <v>510.75742832681021</v>
      </c>
      <c r="BC168" s="251">
        <f>2518.281-SUM(AZ168:BB168)-SUM(AZ181:BC181)</f>
        <v>584.89991261007822</v>
      </c>
      <c r="BD168" s="251"/>
      <c r="BE168" s="254"/>
      <c r="BF168" s="254"/>
      <c r="BG168" s="254"/>
      <c r="BH168" s="254"/>
      <c r="BI168" s="254"/>
      <c r="BJ168" s="255"/>
      <c r="BK168" s="255"/>
      <c r="BL168" s="255"/>
      <c r="BM168" s="255"/>
      <c r="BN168" s="255"/>
      <c r="BO168" s="254"/>
      <c r="BP168" s="254"/>
      <c r="BQ168" s="254"/>
      <c r="BR168" s="254"/>
      <c r="BS168" s="254"/>
      <c r="BT168" s="254"/>
      <c r="BU168" s="254"/>
      <c r="BV168" s="254"/>
      <c r="BW168" s="254"/>
      <c r="BX168" s="254"/>
      <c r="BY168" s="254"/>
      <c r="BZ168" s="254"/>
      <c r="CA168" s="254"/>
      <c r="CB168" s="256"/>
      <c r="CC168" s="254"/>
      <c r="CD168" s="254"/>
      <c r="CE168" s="254"/>
      <c r="CF168" s="254"/>
      <c r="CG168" s="254"/>
      <c r="CH168" s="254"/>
      <c r="CI168" s="254"/>
      <c r="CJ168" s="254"/>
      <c r="CK168" s="254"/>
      <c r="CL168" s="254"/>
      <c r="CM168" s="257"/>
      <c r="CN168" s="258"/>
      <c r="CO168" s="258"/>
      <c r="CP168" s="258"/>
      <c r="CQ168" s="258"/>
      <c r="CR168" s="254"/>
      <c r="CS168" s="258"/>
      <c r="CT168" s="258"/>
      <c r="CU168" s="258"/>
      <c r="CV168" s="258"/>
      <c r="CW168" s="258"/>
      <c r="CX168" s="258"/>
      <c r="CY168" s="258"/>
      <c r="CZ168" s="258"/>
      <c r="DA168" s="258"/>
      <c r="DB168" s="259"/>
      <c r="DC168" s="258"/>
      <c r="DD168" s="260"/>
      <c r="DE168" s="260"/>
      <c r="DF168" s="260"/>
      <c r="DH168" s="258"/>
      <c r="DI168" s="260"/>
      <c r="DJ168" s="260"/>
      <c r="DK168" s="260"/>
      <c r="DM168" s="260"/>
      <c r="DN168" s="260"/>
      <c r="DO168" s="260"/>
      <c r="DP168" s="260"/>
      <c r="DR168" s="258"/>
      <c r="DS168" s="260"/>
      <c r="DT168" s="260"/>
      <c r="DU168" s="260"/>
      <c r="DW168" s="258"/>
      <c r="DX168" s="260"/>
      <c r="DY168" s="260"/>
      <c r="DZ168" s="260"/>
      <c r="EB168" s="258"/>
      <c r="EC168" s="260"/>
      <c r="ED168" s="260"/>
      <c r="EE168" s="260"/>
      <c r="EG168" s="258"/>
      <c r="EH168" s="260"/>
      <c r="EI168" s="260"/>
      <c r="EJ168" s="260"/>
    </row>
    <row r="169" spans="1:173" s="271" customFormat="1" hidden="1" outlineLevel="2">
      <c r="A169" s="170" t="s">
        <v>494</v>
      </c>
      <c r="B169" s="262"/>
      <c r="C169" s="262"/>
      <c r="D169" s="262"/>
      <c r="E169" s="262"/>
      <c r="F169" s="262"/>
      <c r="G169" s="262"/>
      <c r="H169" s="262"/>
      <c r="I169" s="262"/>
      <c r="J169" s="262"/>
      <c r="K169" s="262"/>
      <c r="L169" s="262"/>
      <c r="M169" s="262"/>
      <c r="N169" s="262"/>
      <c r="O169" s="262"/>
      <c r="P169" s="262"/>
      <c r="Q169" s="262"/>
      <c r="R169" s="262"/>
      <c r="S169" s="262"/>
      <c r="T169" s="262"/>
      <c r="U169" s="262"/>
      <c r="V169" s="262"/>
      <c r="W169" s="262"/>
      <c r="X169" s="262"/>
      <c r="Y169" s="262"/>
      <c r="Z169" s="262"/>
      <c r="AA169" s="262"/>
      <c r="AB169" s="262"/>
      <c r="AC169" s="262"/>
      <c r="AD169" s="262"/>
      <c r="AE169" s="262"/>
      <c r="AF169" s="262"/>
      <c r="AG169" s="262"/>
      <c r="AH169" s="262"/>
      <c r="AI169" s="262"/>
      <c r="AJ169" s="262"/>
      <c r="AK169" s="262"/>
      <c r="AL169" s="262"/>
      <c r="AM169" s="262"/>
      <c r="AN169" s="262"/>
      <c r="AO169" s="262"/>
      <c r="AP169" s="262"/>
      <c r="AQ169" s="262"/>
      <c r="AR169" s="262"/>
      <c r="AS169" s="262"/>
      <c r="AT169" s="262"/>
      <c r="AU169" s="263"/>
      <c r="AV169" s="263"/>
      <c r="AW169" s="262"/>
      <c r="AX169" s="264"/>
      <c r="AY169" s="262"/>
      <c r="AZ169" s="262"/>
      <c r="BA169" s="262"/>
      <c r="BB169" s="262"/>
      <c r="BC169" s="262"/>
      <c r="BD169" s="262"/>
      <c r="BE169" s="265"/>
      <c r="BF169" s="265"/>
      <c r="BG169" s="265"/>
      <c r="BH169" s="265"/>
      <c r="BI169" s="265"/>
      <c r="BJ169" s="266"/>
      <c r="BK169" s="266"/>
      <c r="BL169" s="266"/>
      <c r="BM169" s="266"/>
      <c r="BN169" s="266"/>
      <c r="BO169" s="267"/>
      <c r="BP169" s="267"/>
      <c r="BQ169" s="267"/>
      <c r="BR169" s="267"/>
      <c r="BS169" s="267"/>
      <c r="BT169" s="267"/>
      <c r="BU169" s="267"/>
      <c r="BV169" s="267"/>
      <c r="BW169" s="267"/>
      <c r="BX169" s="267"/>
      <c r="BY169" s="267"/>
      <c r="BZ169" s="267"/>
      <c r="CA169" s="267"/>
      <c r="CB169" s="268"/>
      <c r="CC169" s="267"/>
      <c r="CD169" s="267"/>
      <c r="CE169" s="267"/>
      <c r="CF169" s="267"/>
      <c r="CG169" s="267"/>
      <c r="CH169" s="267"/>
      <c r="CI169" s="267"/>
      <c r="CJ169" s="267"/>
      <c r="CK169" s="267"/>
      <c r="CL169" s="267"/>
      <c r="CM169" s="267"/>
      <c r="CN169" s="267"/>
      <c r="CO169" s="267"/>
      <c r="CP169" s="267"/>
      <c r="CQ169" s="267"/>
      <c r="CR169" s="267"/>
      <c r="CS169" s="267"/>
      <c r="CT169" s="267"/>
      <c r="CU169" s="267"/>
      <c r="CV169" s="267"/>
      <c r="CW169" s="267"/>
      <c r="CX169" s="267"/>
      <c r="CY169" s="267"/>
      <c r="CZ169" s="267"/>
      <c r="DA169" s="267"/>
      <c r="DB169" s="269"/>
      <c r="DC169" s="267"/>
      <c r="DD169" s="270"/>
      <c r="DE169" s="270"/>
      <c r="DF169" s="270"/>
      <c r="DH169" s="267"/>
      <c r="DI169" s="270"/>
      <c r="DJ169" s="270"/>
      <c r="DK169" s="270"/>
      <c r="DM169" s="270"/>
      <c r="DN169" s="270"/>
      <c r="DO169" s="270"/>
      <c r="DP169" s="270"/>
      <c r="DR169" s="267"/>
      <c r="DS169" s="270"/>
      <c r="DT169" s="270"/>
      <c r="DU169" s="270"/>
      <c r="DW169" s="267"/>
      <c r="DX169" s="270"/>
      <c r="DY169" s="270"/>
      <c r="DZ169" s="270"/>
      <c r="EB169" s="267"/>
      <c r="EC169" s="270"/>
      <c r="ED169" s="270"/>
      <c r="EE169" s="270"/>
      <c r="EG169" s="267"/>
      <c r="EH169" s="270"/>
      <c r="EI169" s="270"/>
      <c r="EJ169" s="270"/>
    </row>
    <row r="170" spans="1:173" s="271" customFormat="1" hidden="1" outlineLevel="2">
      <c r="A170" s="170" t="s">
        <v>495</v>
      </c>
      <c r="B170" s="262"/>
      <c r="C170" s="262"/>
      <c r="D170" s="262"/>
      <c r="E170" s="262"/>
      <c r="F170" s="262"/>
      <c r="G170" s="262"/>
      <c r="H170" s="262"/>
      <c r="I170" s="262"/>
      <c r="J170" s="262"/>
      <c r="K170" s="262"/>
      <c r="L170" s="262"/>
      <c r="M170" s="262"/>
      <c r="N170" s="262"/>
      <c r="O170" s="262"/>
      <c r="P170" s="262"/>
      <c r="Q170" s="262"/>
      <c r="R170" s="262"/>
      <c r="S170" s="262"/>
      <c r="T170" s="262"/>
      <c r="U170" s="262"/>
      <c r="V170" s="262"/>
      <c r="W170" s="262"/>
      <c r="X170" s="262"/>
      <c r="Y170" s="262"/>
      <c r="Z170" s="262"/>
      <c r="AA170" s="262"/>
      <c r="AB170" s="262"/>
      <c r="AC170" s="262"/>
      <c r="AD170" s="262"/>
      <c r="AE170" s="262"/>
      <c r="AF170" s="262"/>
      <c r="AG170" s="262"/>
      <c r="AH170" s="262"/>
      <c r="AI170" s="262"/>
      <c r="AJ170" s="262"/>
      <c r="AK170" s="262"/>
      <c r="AL170" s="262"/>
      <c r="AM170" s="262"/>
      <c r="AN170" s="262"/>
      <c r="AO170" s="262"/>
      <c r="AP170" s="262"/>
      <c r="AQ170" s="262"/>
      <c r="AR170" s="262"/>
      <c r="AS170" s="262"/>
      <c r="AT170" s="262"/>
      <c r="AU170" s="263"/>
      <c r="AV170" s="263"/>
      <c r="AW170" s="262"/>
      <c r="AX170" s="264"/>
      <c r="AY170" s="262"/>
      <c r="AZ170" s="262"/>
      <c r="BA170" s="262"/>
      <c r="BB170" s="262"/>
      <c r="BC170" s="262"/>
      <c r="BD170" s="262"/>
      <c r="BE170" s="265"/>
      <c r="BF170" s="265"/>
      <c r="BG170" s="265"/>
      <c r="BH170" s="265"/>
      <c r="BI170" s="265"/>
      <c r="BJ170" s="266"/>
      <c r="BK170" s="266"/>
      <c r="BL170" s="266"/>
      <c r="BM170" s="266"/>
      <c r="BN170" s="266"/>
      <c r="BO170" s="267"/>
      <c r="BP170" s="267"/>
      <c r="BQ170" s="267"/>
      <c r="BR170" s="267"/>
      <c r="BS170" s="267"/>
      <c r="BT170" s="267"/>
      <c r="BU170" s="267"/>
      <c r="BV170" s="267"/>
      <c r="BW170" s="267"/>
      <c r="BX170" s="267"/>
      <c r="BY170" s="267"/>
      <c r="BZ170" s="267"/>
      <c r="CA170" s="267"/>
      <c r="CB170" s="268"/>
      <c r="CC170" s="267"/>
      <c r="CD170" s="267"/>
      <c r="CE170" s="267"/>
      <c r="CF170" s="267"/>
      <c r="CG170" s="267"/>
      <c r="CH170" s="267"/>
      <c r="CI170" s="267"/>
      <c r="CJ170" s="267"/>
      <c r="CK170" s="267"/>
      <c r="CL170" s="267"/>
      <c r="CM170" s="267"/>
      <c r="CN170" s="267"/>
      <c r="CO170" s="267"/>
      <c r="CP170" s="267"/>
      <c r="CQ170" s="267"/>
      <c r="CR170" s="267"/>
      <c r="CS170" s="267"/>
      <c r="CT170" s="267"/>
      <c r="CU170" s="267"/>
      <c r="CV170" s="267"/>
      <c r="CW170" s="267"/>
      <c r="CX170" s="267"/>
      <c r="CY170" s="267"/>
      <c r="CZ170" s="267"/>
      <c r="DA170" s="267"/>
      <c r="DB170" s="269"/>
      <c r="DC170" s="267"/>
      <c r="DD170" s="270"/>
      <c r="DE170" s="270"/>
      <c r="DF170" s="270"/>
      <c r="DH170" s="267"/>
      <c r="DI170" s="270"/>
      <c r="DJ170" s="270"/>
      <c r="DK170" s="270"/>
      <c r="DM170" s="270"/>
      <c r="DN170" s="270"/>
      <c r="DO170" s="270"/>
      <c r="DP170" s="270"/>
      <c r="DR170" s="267"/>
      <c r="DS170" s="270"/>
      <c r="DT170" s="270"/>
      <c r="DU170" s="270"/>
      <c r="DW170" s="267"/>
      <c r="DX170" s="270"/>
      <c r="DY170" s="270"/>
      <c r="DZ170" s="270"/>
      <c r="EB170" s="267"/>
      <c r="EC170" s="270"/>
      <c r="ED170" s="270"/>
      <c r="EE170" s="270"/>
      <c r="EG170" s="267"/>
      <c r="EH170" s="270"/>
      <c r="EI170" s="270"/>
      <c r="EJ170" s="270"/>
    </row>
    <row r="171" spans="1:173" ht="18.75" hidden="1" customHeight="1" outlineLevel="1">
      <c r="A171" s="171" t="s">
        <v>496</v>
      </c>
      <c r="B171" s="149"/>
      <c r="C171" s="149"/>
      <c r="D171" s="149"/>
      <c r="E171" s="149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149"/>
      <c r="S171" s="149"/>
      <c r="T171" s="149"/>
      <c r="U171" s="149"/>
      <c r="V171" s="229">
        <f t="shared" ref="V171:AZ171" si="207">V172/V168</f>
        <v>0.39106469875317518</v>
      </c>
      <c r="W171" s="229">
        <f t="shared" si="207"/>
        <v>0.39341606541606544</v>
      </c>
      <c r="X171" s="229">
        <f t="shared" si="207"/>
        <v>0.3659157839215858</v>
      </c>
      <c r="Y171" s="229">
        <f t="shared" si="207"/>
        <v>0.37640093608728292</v>
      </c>
      <c r="Z171" s="229"/>
      <c r="AA171" s="229">
        <f t="shared" si="207"/>
        <v>0.39426806456827457</v>
      </c>
      <c r="AB171" s="229">
        <f t="shared" si="207"/>
        <v>0.31196998263921305</v>
      </c>
      <c r="AC171" s="229">
        <f t="shared" si="207"/>
        <v>0.25147174123931904</v>
      </c>
      <c r="AD171" s="229">
        <f t="shared" si="207"/>
        <v>0.30372147085000833</v>
      </c>
      <c r="AE171" s="229"/>
      <c r="AF171" s="229">
        <f t="shared" si="207"/>
        <v>0.30655593336431908</v>
      </c>
      <c r="AG171" s="229">
        <f t="shared" si="207"/>
        <v>0.26616389399158669</v>
      </c>
      <c r="AH171" s="229">
        <f t="shared" si="207"/>
        <v>0.23415146553363614</v>
      </c>
      <c r="AI171" s="229">
        <f t="shared" si="207"/>
        <v>0.27917729305551825</v>
      </c>
      <c r="AJ171" s="229"/>
      <c r="AK171" s="229">
        <f t="shared" si="207"/>
        <v>0.32940662303557727</v>
      </c>
      <c r="AL171" s="229">
        <f t="shared" si="207"/>
        <v>0.31207928639078092</v>
      </c>
      <c r="AM171" s="229">
        <f t="shared" si="207"/>
        <v>0.34475239756563875</v>
      </c>
      <c r="AN171" s="229">
        <f t="shared" si="207"/>
        <v>0.38361203964812707</v>
      </c>
      <c r="AO171" s="229"/>
      <c r="AP171" s="229">
        <f t="shared" si="207"/>
        <v>0.38266430789664418</v>
      </c>
      <c r="AQ171" s="229">
        <f t="shared" si="207"/>
        <v>0.40724537105134639</v>
      </c>
      <c r="AR171" s="229">
        <f t="shared" si="207"/>
        <v>0.42921248509797116</v>
      </c>
      <c r="AS171" s="229">
        <f t="shared" si="207"/>
        <v>0.42866631745160338</v>
      </c>
      <c r="AT171" s="229"/>
      <c r="AU171" s="229">
        <f t="shared" si="207"/>
        <v>0.45754480840375272</v>
      </c>
      <c r="AV171" s="229">
        <f t="shared" si="207"/>
        <v>0.44986365537539935</v>
      </c>
      <c r="AW171" s="229">
        <f t="shared" si="207"/>
        <v>0.47275389031138082</v>
      </c>
      <c r="AX171" s="241">
        <f t="shared" si="207"/>
        <v>0.49608138977351479</v>
      </c>
      <c r="AY171" s="229"/>
      <c r="AZ171" s="229">
        <f t="shared" si="207"/>
        <v>0.41015240197629249</v>
      </c>
      <c r="BA171" s="229">
        <f>BA172/BA168</f>
        <v>0.43453951946960273</v>
      </c>
      <c r="BB171" s="229">
        <f>BB172/BB168</f>
        <v>0.44780508472105707</v>
      </c>
      <c r="BC171" s="229">
        <f>BC172/BC168</f>
        <v>0.44340854897909537</v>
      </c>
      <c r="BD171" s="229"/>
      <c r="BE171" s="272"/>
      <c r="BF171" s="272"/>
      <c r="BG171" s="272"/>
      <c r="BH171" s="272"/>
      <c r="BI171" s="272"/>
      <c r="BJ171" s="272"/>
      <c r="BK171" s="272"/>
      <c r="BL171" s="272"/>
      <c r="BM171" s="272"/>
      <c r="BN171" s="272"/>
      <c r="BO171" s="272"/>
      <c r="BP171" s="272"/>
      <c r="BQ171" s="272"/>
      <c r="BR171" s="272"/>
      <c r="BS171" s="272"/>
      <c r="BT171" s="272"/>
      <c r="BU171" s="272"/>
      <c r="BV171" s="272"/>
      <c r="BW171" s="272"/>
      <c r="BX171" s="272"/>
      <c r="BY171" s="272"/>
      <c r="BZ171" s="272"/>
      <c r="CA171" s="272"/>
      <c r="CB171" s="273"/>
      <c r="CC171" s="272"/>
      <c r="CD171" s="272"/>
      <c r="CE171" s="272"/>
      <c r="CF171" s="272"/>
      <c r="CG171" s="272"/>
      <c r="CH171" s="272"/>
      <c r="CI171" s="272"/>
      <c r="CJ171" s="272"/>
      <c r="CK171" s="272"/>
      <c r="CL171" s="272"/>
      <c r="CM171" s="272"/>
      <c r="CN171" s="272"/>
      <c r="CO171" s="272"/>
      <c r="CP171" s="272"/>
      <c r="CQ171" s="272"/>
      <c r="CR171" s="267"/>
      <c r="CS171" s="274"/>
      <c r="CT171" s="274"/>
      <c r="CU171" s="274"/>
      <c r="CV171" s="274"/>
      <c r="CW171" s="267"/>
      <c r="CX171" s="267"/>
      <c r="CY171" s="267"/>
      <c r="CZ171" s="267"/>
      <c r="DA171" s="267"/>
      <c r="DB171" s="275"/>
      <c r="DC171" s="267"/>
      <c r="DD171" s="270"/>
      <c r="DE171" s="270"/>
      <c r="DF171" s="270"/>
      <c r="DH171" s="267"/>
      <c r="DI171" s="270"/>
      <c r="DJ171" s="270"/>
      <c r="DK171" s="270"/>
      <c r="DM171" s="270"/>
      <c r="DN171" s="270"/>
      <c r="DO171" s="270"/>
      <c r="DP171" s="270"/>
      <c r="DR171" s="267"/>
      <c r="DS171" s="270"/>
      <c r="DT171" s="270"/>
      <c r="DU171" s="270"/>
      <c r="DW171" s="267"/>
      <c r="DX171" s="270"/>
      <c r="DY171" s="270"/>
      <c r="DZ171" s="270"/>
      <c r="EB171" s="267"/>
      <c r="EC171" s="270"/>
      <c r="ED171" s="270"/>
      <c r="EE171" s="270"/>
      <c r="EG171" s="267"/>
      <c r="EH171" s="270"/>
      <c r="EI171" s="270"/>
      <c r="EJ171" s="270"/>
    </row>
    <row r="172" spans="1:173" hidden="1" outlineLevel="1">
      <c r="A172" s="171" t="s">
        <v>391</v>
      </c>
      <c r="B172" s="186"/>
      <c r="C172" s="186"/>
      <c r="D172" s="186"/>
      <c r="E172" s="186"/>
      <c r="F172" s="186"/>
      <c r="G172" s="186"/>
      <c r="H172" s="186"/>
      <c r="I172" s="186"/>
      <c r="J172" s="186"/>
      <c r="K172" s="186"/>
      <c r="L172" s="186"/>
      <c r="M172" s="186"/>
      <c r="N172" s="186"/>
      <c r="O172" s="186"/>
      <c r="P172" s="186"/>
      <c r="Q172" s="186"/>
      <c r="R172" s="186"/>
      <c r="S172" s="186"/>
      <c r="T172" s="186"/>
      <c r="U172" s="186"/>
      <c r="V172" s="186">
        <f>V13-V208-V185-V218</f>
        <v>94.22</v>
      </c>
      <c r="W172" s="186">
        <f>W13-W208-W185-W218</f>
        <v>102.239</v>
      </c>
      <c r="X172" s="186">
        <f>X13-X208-X185-X218</f>
        <v>133.19919999999999</v>
      </c>
      <c r="Y172" s="186">
        <f>Y13-Y208-Y185-Y218</f>
        <v>188.50459999999998</v>
      </c>
      <c r="Z172" s="186"/>
      <c r="AA172" s="186">
        <f>AA13-AA208-AA185-AA218</f>
        <v>170.72989999999996</v>
      </c>
      <c r="AB172" s="186">
        <f>AB13-AB208-AB185-AB218</f>
        <v>83.559600000000032</v>
      </c>
      <c r="AC172" s="186">
        <f>AC13-AC208-AC185-AC218</f>
        <v>75.693999999999974</v>
      </c>
      <c r="AD172" s="186">
        <f>AD13-AD208-AD185-AD218</f>
        <v>97.597249999999974</v>
      </c>
      <c r="AE172" s="186"/>
      <c r="AF172" s="186">
        <f>AF13-AF208-AF185-AF218</f>
        <v>87.721900000000005</v>
      </c>
      <c r="AG172" s="186">
        <f>AG13-AG208-AG185-AG218</f>
        <v>82.443999999999988</v>
      </c>
      <c r="AH172" s="186">
        <f>AH13-AH208-AH185-AH218-AH227</f>
        <v>63.100015000000027</v>
      </c>
      <c r="AI172" s="186">
        <f>AI13-AI208-AI185-AI218-AI227</f>
        <v>95.93139000000005</v>
      </c>
      <c r="AJ172" s="186"/>
      <c r="AK172" s="186">
        <f>AK13-AK208-AK185-AK218-AK227-AK234</f>
        <v>112.64322999999992</v>
      </c>
      <c r="AL172" s="186">
        <f>AL13-AL208-AL185-AL218-AL227-AL234</f>
        <v>78.753519999999952</v>
      </c>
      <c r="AM172" s="186">
        <f>AM13-AM208-AM185-AM218-AM227-AM234</f>
        <v>88.54034500000003</v>
      </c>
      <c r="AN172" s="186">
        <f>AN13-AN208-AN185-AN218-AN227-AN234</f>
        <v>132.08875</v>
      </c>
      <c r="AO172" s="186"/>
      <c r="AP172" s="186">
        <f>AP13-AP208-AP185-AP218-AP227-AP234</f>
        <v>138.86926000000008</v>
      </c>
      <c r="AQ172" s="186">
        <f>AQ13-AQ208-AQ185-AQ218-AQ227-AQ234</f>
        <v>138.43329</v>
      </c>
      <c r="AR172" s="186">
        <f>AR13-AR208-AR185-AR218-AR227-AR234</f>
        <v>168.49336999999997</v>
      </c>
      <c r="AS172" s="186">
        <f>AS13-AS208-AS185-AS218-AS227-AS234</f>
        <v>170.21525000000005</v>
      </c>
      <c r="AT172" s="186"/>
      <c r="AU172" s="186">
        <f>AU13-AU208-AU185-AU218-AU227-AU234</f>
        <v>184.34287015667169</v>
      </c>
      <c r="AV172" s="186">
        <f>AV13-AV208-AV185-AV218-AV227-AV234</f>
        <v>181.56386821917812</v>
      </c>
      <c r="AW172" s="186">
        <f>AW13-AW208-AW185-AW218-AW227-AW234</f>
        <v>212.14499899999998</v>
      </c>
      <c r="AX172" s="276">
        <f>AX13-AX208-AX185-AX218-AX227-AX234</f>
        <v>236.92996000000002</v>
      </c>
      <c r="AY172" s="186"/>
      <c r="AZ172" s="186">
        <f>AZ13-AZ208-AZ197-AZ185-AZ218-AZ227-AZ234</f>
        <v>163.56458006653619</v>
      </c>
      <c r="BA172" s="186">
        <f>BA13-BA208-BA197-BA185-BA218-BA227-BA234</f>
        <v>196.40149805479456</v>
      </c>
      <c r="BB172" s="186">
        <f>BB13-BB208-BB197-BB185-BB218-BB227-BB234</f>
        <v>228.71977346379649</v>
      </c>
      <c r="BC172" s="186">
        <f>BC13-BC208-BC197-BC185-BC218-BC227-BC234</f>
        <v>259.34962154843447</v>
      </c>
      <c r="BD172" s="186"/>
      <c r="BE172" s="277"/>
      <c r="BF172" s="277"/>
      <c r="BG172" s="277"/>
      <c r="BH172" s="277"/>
      <c r="BI172" s="277"/>
      <c r="BJ172" s="277"/>
      <c r="BK172" s="277"/>
      <c r="BL172" s="277"/>
      <c r="BM172" s="277"/>
      <c r="BN172" s="277"/>
      <c r="BO172" s="277"/>
      <c r="BP172" s="277"/>
      <c r="BQ172" s="277"/>
      <c r="BR172" s="277"/>
      <c r="BS172" s="277"/>
      <c r="BT172" s="277"/>
      <c r="BU172" s="277"/>
      <c r="BV172" s="277"/>
      <c r="BW172" s="277"/>
      <c r="BX172" s="277"/>
      <c r="BY172" s="277"/>
      <c r="BZ172" s="277"/>
      <c r="CA172" s="277"/>
      <c r="CB172" s="278"/>
      <c r="CC172" s="277"/>
      <c r="CD172" s="277"/>
      <c r="CE172" s="277"/>
      <c r="CF172" s="277"/>
      <c r="CG172" s="277"/>
      <c r="CH172" s="277"/>
      <c r="CI172" s="277"/>
      <c r="CJ172" s="277"/>
      <c r="CK172" s="277"/>
      <c r="CL172" s="277"/>
      <c r="CM172" s="277"/>
      <c r="CN172" s="277"/>
      <c r="CO172" s="277"/>
      <c r="CP172" s="277"/>
      <c r="CQ172" s="277"/>
      <c r="CR172" s="277"/>
      <c r="CS172" s="277"/>
      <c r="CT172" s="277"/>
      <c r="CU172" s="277"/>
      <c r="CV172" s="277"/>
      <c r="CW172" s="277"/>
      <c r="CX172" s="267"/>
      <c r="CY172" s="267"/>
      <c r="CZ172" s="267"/>
      <c r="DA172" s="267"/>
      <c r="DB172" s="275"/>
      <c r="DC172" s="267"/>
      <c r="DD172" s="270"/>
      <c r="DE172" s="270"/>
      <c r="DF172" s="270"/>
      <c r="DH172" s="267"/>
      <c r="DI172" s="270"/>
      <c r="DJ172" s="270"/>
      <c r="DK172" s="270"/>
      <c r="DM172" s="270"/>
      <c r="DN172" s="270"/>
      <c r="DO172" s="270"/>
      <c r="DP172" s="270"/>
      <c r="DR172" s="267"/>
      <c r="DS172" s="270"/>
      <c r="DT172" s="270"/>
      <c r="DU172" s="270"/>
      <c r="DW172" s="267"/>
      <c r="DX172" s="270"/>
      <c r="DY172" s="270"/>
      <c r="DZ172" s="270"/>
      <c r="EB172" s="267"/>
      <c r="EC172" s="270"/>
      <c r="ED172" s="270"/>
      <c r="EE172" s="270"/>
      <c r="EG172" s="267"/>
      <c r="EH172" s="270"/>
      <c r="EI172" s="270"/>
      <c r="EJ172" s="270"/>
    </row>
    <row r="173" spans="1:173" hidden="1" outlineLevel="1">
      <c r="A173" s="171" t="s">
        <v>497</v>
      </c>
      <c r="B173" s="149"/>
      <c r="C173" s="149"/>
      <c r="D173" s="149"/>
      <c r="E173" s="149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  <c r="R173" s="149"/>
      <c r="S173" s="149"/>
      <c r="T173" s="149"/>
      <c r="U173" s="149"/>
      <c r="V173" s="279"/>
      <c r="W173" s="279"/>
      <c r="X173" s="279"/>
      <c r="Y173" s="204"/>
      <c r="Z173" s="204"/>
      <c r="AA173" s="204"/>
      <c r="AB173" s="204"/>
      <c r="AC173" s="204"/>
      <c r="AD173" s="208"/>
      <c r="AE173" s="208"/>
      <c r="AF173" s="208"/>
      <c r="AG173" s="204"/>
      <c r="AH173" s="204"/>
      <c r="AI173" s="279"/>
      <c r="AJ173" s="279"/>
      <c r="AK173" s="229">
        <f t="shared" ref="AK173:AX173" si="208">AK174/AK168</f>
        <v>0.16661987729487249</v>
      </c>
      <c r="AL173" s="229">
        <f t="shared" si="208"/>
        <v>6.3049482665018169E-2</v>
      </c>
      <c r="AM173" s="229">
        <f t="shared" si="208"/>
        <v>0.10991422107833022</v>
      </c>
      <c r="AN173" s="229">
        <f t="shared" si="208"/>
        <v>0.17413287872935473</v>
      </c>
      <c r="AO173" s="229"/>
      <c r="AP173" s="229">
        <f t="shared" si="208"/>
        <v>0.19512553010325129</v>
      </c>
      <c r="AQ173" s="229">
        <f t="shared" si="208"/>
        <v>0.19237422262492423</v>
      </c>
      <c r="AR173" s="229">
        <f t="shared" si="208"/>
        <v>0.26638458951916122</v>
      </c>
      <c r="AS173" s="229">
        <f t="shared" si="208"/>
        <v>0.2577836763783713</v>
      </c>
      <c r="AT173" s="229"/>
      <c r="AU173" s="229">
        <f t="shared" si="208"/>
        <v>0.29401053598566557</v>
      </c>
      <c r="AV173" s="229">
        <f t="shared" si="208"/>
        <v>0.28594258467364458</v>
      </c>
      <c r="AW173" s="229">
        <f t="shared" si="208"/>
        <v>0.31275585357320335</v>
      </c>
      <c r="AX173" s="241">
        <f t="shared" si="208"/>
        <v>0.30203411620111276</v>
      </c>
      <c r="AY173" s="229"/>
      <c r="AZ173" s="229">
        <f>AZ174/AZ168</f>
        <v>0.2546368925806195</v>
      </c>
      <c r="BA173" s="229">
        <f>BA174/BA168</f>
        <v>0.29260792196308144</v>
      </c>
      <c r="BB173" s="229">
        <f>BB174/BB168</f>
        <v>0.30890507152948055</v>
      </c>
      <c r="BC173" s="229">
        <f>BC174/BC168</f>
        <v>0.28575476235751107</v>
      </c>
      <c r="BD173" s="229"/>
      <c r="BE173" s="272"/>
      <c r="BF173" s="272"/>
      <c r="BG173" s="272"/>
      <c r="BH173" s="272"/>
      <c r="BI173" s="272"/>
      <c r="BJ173" s="272"/>
      <c r="BK173" s="272"/>
      <c r="BL173" s="272"/>
      <c r="BM173" s="272"/>
      <c r="BN173" s="272"/>
      <c r="BO173" s="272"/>
      <c r="BP173" s="272"/>
      <c r="BQ173" s="272"/>
      <c r="BR173" s="272"/>
      <c r="BS173" s="272"/>
      <c r="BT173" s="272"/>
      <c r="BU173" s="272"/>
      <c r="BV173" s="272"/>
      <c r="BW173" s="272"/>
      <c r="BX173" s="272"/>
      <c r="BY173" s="272"/>
      <c r="BZ173" s="272"/>
      <c r="CA173" s="272"/>
      <c r="CB173" s="273"/>
      <c r="CC173" s="272"/>
      <c r="CD173" s="272"/>
      <c r="CE173" s="272"/>
      <c r="CF173" s="272"/>
      <c r="CG173" s="272"/>
      <c r="CH173" s="272"/>
      <c r="CI173" s="272"/>
      <c r="CJ173" s="272"/>
      <c r="CK173" s="272"/>
      <c r="CL173" s="272"/>
      <c r="CM173" s="272"/>
      <c r="CN173" s="272"/>
      <c r="CO173" s="272"/>
      <c r="CP173" s="280"/>
      <c r="CQ173" s="280"/>
      <c r="CR173" s="280"/>
      <c r="CS173" s="280"/>
      <c r="CT173" s="280"/>
      <c r="CU173" s="280"/>
      <c r="CV173" s="280"/>
      <c r="CW173" s="280"/>
      <c r="CX173" s="267"/>
      <c r="CY173" s="267"/>
      <c r="CZ173" s="267"/>
      <c r="DA173" s="267"/>
      <c r="DB173" s="275"/>
      <c r="DC173" s="267"/>
      <c r="DD173" s="270"/>
      <c r="DE173" s="270"/>
      <c r="DF173" s="270"/>
      <c r="DH173" s="267"/>
      <c r="DI173" s="270"/>
      <c r="DJ173" s="270"/>
      <c r="DK173" s="270"/>
      <c r="DM173" s="270"/>
      <c r="DN173" s="270"/>
      <c r="DO173" s="270"/>
      <c r="DP173" s="270"/>
      <c r="DR173" s="267"/>
      <c r="DS173" s="270"/>
      <c r="DT173" s="270"/>
      <c r="DU173" s="270"/>
      <c r="DW173" s="267"/>
      <c r="DX173" s="270"/>
      <c r="DY173" s="270"/>
      <c r="DZ173" s="270"/>
      <c r="EB173" s="267"/>
      <c r="EC173" s="270"/>
      <c r="ED173" s="270"/>
      <c r="EE173" s="270"/>
      <c r="EG173" s="267"/>
      <c r="EH173" s="270"/>
      <c r="EI173" s="270"/>
      <c r="EJ173" s="270"/>
    </row>
    <row r="174" spans="1:173" hidden="1" outlineLevel="1">
      <c r="A174" s="171" t="s">
        <v>498</v>
      </c>
      <c r="AD174" s="148"/>
      <c r="AE174" s="148"/>
      <c r="AF174" s="148"/>
      <c r="AK174" s="152">
        <f>80.856-AL174-AK187-AL187</f>
        <v>56.976999999999997</v>
      </c>
      <c r="AL174" s="152">
        <f>18.247-AL187</f>
        <v>15.910600000000001</v>
      </c>
      <c r="AM174" s="152">
        <f>32.238-AM187</f>
        <v>28.2285</v>
      </c>
      <c r="AN174" s="152">
        <f>178.597-SUM(AK187:AN187,AK174:AM174)</f>
        <v>59.959000000000017</v>
      </c>
      <c r="AO174" s="152"/>
      <c r="AP174" s="152">
        <f>77.865-AP187</f>
        <v>70.811250000000001</v>
      </c>
      <c r="AQ174" s="152">
        <f>72.737-AQ187</f>
        <v>65.393000000000001</v>
      </c>
      <c r="AR174" s="152">
        <f>110.873-AR187</f>
        <v>104.57300000000001</v>
      </c>
      <c r="AS174" s="152">
        <f>370.636-SUM(AP174:AR174)-SUM(AP187:AS187)</f>
        <v>102.36100000000002</v>
      </c>
      <c r="AT174" s="152"/>
      <c r="AU174" s="152">
        <f>128.858-AU187</f>
        <v>118.45560273972603</v>
      </c>
      <c r="AV174" s="152">
        <f>128.166-AV187</f>
        <v>115.40572602739725</v>
      </c>
      <c r="AW174" s="152">
        <f>162.217-AW187</f>
        <v>140.34700000000001</v>
      </c>
      <c r="AX174" s="281">
        <f>583.873-SUM(AU174:AW174)-SUM(AU187:AX187)</f>
        <v>144.25240000000008</v>
      </c>
      <c r="AY174" s="152"/>
      <c r="AZ174" s="152">
        <f>124.417-AZ187</f>
        <v>101.54658659491194</v>
      </c>
      <c r="BA174" s="152">
        <f>167.828-BA187</f>
        <v>132.25180136986302</v>
      </c>
      <c r="BB174" s="152">
        <f>207.938-BB187</f>
        <v>157.77555993150685</v>
      </c>
      <c r="BC174" s="152">
        <f>717.985-SUM(AZ174:BB174)-SUM(AZ187:BC187)</f>
        <v>167.13793553082189</v>
      </c>
      <c r="BD174" s="152"/>
      <c r="BE174" s="282"/>
      <c r="BF174" s="282"/>
      <c r="BG174" s="282"/>
      <c r="BH174" s="282"/>
      <c r="BI174" s="282"/>
      <c r="BJ174" s="282"/>
      <c r="BK174" s="282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4"/>
      <c r="CC174" s="285"/>
      <c r="CD174" s="285"/>
      <c r="CE174" s="285"/>
      <c r="CF174" s="285"/>
      <c r="CG174" s="285"/>
      <c r="CH174" s="285"/>
      <c r="CI174" s="285"/>
      <c r="CJ174" s="283"/>
      <c r="CK174" s="283"/>
      <c r="CL174" s="283"/>
      <c r="CM174" s="283"/>
      <c r="CN174" s="283"/>
      <c r="CO174" s="283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75"/>
      <c r="DC174" s="286"/>
      <c r="DH174" s="286"/>
      <c r="DR174" s="286"/>
      <c r="DW174" s="286"/>
      <c r="EB174" s="286"/>
      <c r="EG174" s="286"/>
    </row>
    <row r="175" spans="1:173" hidden="1" outlineLevel="1">
      <c r="AD175" s="148"/>
      <c r="AE175" s="148"/>
      <c r="AF175" s="148"/>
      <c r="AH175" s="287"/>
      <c r="AI175" s="204"/>
      <c r="AJ175" s="204"/>
      <c r="AK175" s="204"/>
      <c r="AL175" s="204"/>
      <c r="AM175" s="204"/>
      <c r="AN175" s="151"/>
      <c r="AO175" s="151"/>
      <c r="AS175" s="204"/>
      <c r="AT175" s="204"/>
      <c r="AU175" s="204"/>
      <c r="AV175" s="204"/>
      <c r="AW175" s="204"/>
      <c r="AX175" s="241"/>
      <c r="AY175" s="229"/>
      <c r="AZ175" s="204"/>
      <c r="BA175" s="229"/>
      <c r="BB175" s="204"/>
      <c r="BC175" s="204"/>
      <c r="BD175" s="204"/>
      <c r="BE175" s="288"/>
      <c r="BF175" s="288"/>
      <c r="BG175" s="288"/>
      <c r="BH175" s="289"/>
      <c r="BI175" s="289"/>
      <c r="BJ175" s="288"/>
      <c r="BK175" s="288"/>
      <c r="BL175" s="288"/>
      <c r="BM175" s="283"/>
      <c r="BN175" s="283"/>
      <c r="BO175" s="288"/>
      <c r="BP175" s="288"/>
      <c r="BQ175" s="288"/>
      <c r="BR175" s="290"/>
      <c r="BS175" s="290"/>
      <c r="BT175" s="288"/>
      <c r="BU175" s="288"/>
      <c r="BV175" s="288"/>
      <c r="BW175" s="288"/>
      <c r="BX175" s="288"/>
      <c r="BY175" s="288"/>
      <c r="BZ175" s="288"/>
      <c r="CA175" s="288"/>
      <c r="CB175" s="291"/>
      <c r="CC175" s="288"/>
      <c r="CD175" s="288"/>
      <c r="CE175" s="288"/>
      <c r="CF175" s="277"/>
      <c r="CG175" s="277"/>
      <c r="CH175" s="277"/>
      <c r="CI175" s="277"/>
      <c r="CJ175" s="277"/>
      <c r="CK175" s="277"/>
      <c r="CL175" s="277"/>
      <c r="CM175" s="277"/>
      <c r="CN175" s="277"/>
      <c r="CO175" s="277"/>
      <c r="CP175" s="277"/>
      <c r="CQ175" s="277"/>
      <c r="CR175" s="277"/>
      <c r="CS175" s="277"/>
      <c r="CT175" s="277"/>
      <c r="CU175" s="277"/>
      <c r="CV175" s="277"/>
      <c r="CW175" s="277"/>
      <c r="CX175" s="277"/>
      <c r="CY175" s="277"/>
      <c r="CZ175" s="277"/>
      <c r="DA175" s="277"/>
      <c r="DB175" s="275"/>
      <c r="DC175" s="286"/>
      <c r="DH175" s="286"/>
      <c r="DR175" s="286"/>
      <c r="DW175" s="286"/>
      <c r="EB175" s="286"/>
      <c r="EG175" s="286"/>
    </row>
    <row r="176" spans="1:173" hidden="1" outlineLevel="1">
      <c r="A176" s="147" t="s">
        <v>499</v>
      </c>
      <c r="B176" s="149"/>
      <c r="C176" s="149"/>
      <c r="D176" s="149"/>
      <c r="E176" s="149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  <c r="R176" s="149"/>
      <c r="S176" s="149"/>
      <c r="T176" s="149"/>
      <c r="U176" s="149"/>
      <c r="V176" s="204"/>
      <c r="W176" s="204"/>
      <c r="X176" s="204"/>
      <c r="Y176" s="204"/>
      <c r="Z176" s="204"/>
      <c r="AA176" s="204"/>
      <c r="AB176" s="204"/>
      <c r="AC176" s="204"/>
      <c r="AD176" s="204"/>
      <c r="AE176" s="204"/>
      <c r="AF176" s="204"/>
      <c r="AG176" s="204"/>
      <c r="AH176" s="204"/>
      <c r="AI176" s="204"/>
      <c r="AJ176" s="204"/>
      <c r="AK176" s="204"/>
      <c r="AL176" s="204"/>
      <c r="AM176" s="204"/>
      <c r="AN176" s="204"/>
      <c r="AO176" s="204"/>
      <c r="AP176" s="204"/>
      <c r="AQ176" s="204"/>
      <c r="AR176" s="204"/>
      <c r="AS176" s="204"/>
      <c r="AT176" s="204"/>
      <c r="AU176" s="204"/>
      <c r="AV176" s="204"/>
      <c r="AW176" s="204"/>
      <c r="AX176" s="241"/>
      <c r="AY176" s="229"/>
      <c r="AZ176" s="204"/>
      <c r="BA176" s="204"/>
      <c r="BB176" s="204"/>
      <c r="BC176" s="204"/>
      <c r="BD176" s="204"/>
      <c r="BE176" s="288"/>
      <c r="BF176" s="282"/>
      <c r="BG176" s="288"/>
      <c r="BH176" s="288"/>
      <c r="BI176" s="288"/>
      <c r="BJ176" s="210"/>
      <c r="BK176" s="210"/>
      <c r="BL176" s="288"/>
      <c r="BM176" s="283"/>
      <c r="BN176" s="283"/>
      <c r="BO176" s="210"/>
      <c r="BP176" s="210"/>
      <c r="BQ176" s="288"/>
      <c r="BR176" s="210"/>
      <c r="BS176" s="210"/>
      <c r="BT176" s="210"/>
      <c r="BU176" s="285"/>
      <c r="BV176" s="288"/>
      <c r="BW176" s="285"/>
      <c r="BX176" s="285"/>
      <c r="BY176" s="285"/>
      <c r="BZ176" s="285"/>
      <c r="CA176" s="288"/>
      <c r="CB176" s="291"/>
      <c r="CC176" s="288"/>
      <c r="CD176" s="292"/>
      <c r="CE176" s="292"/>
      <c r="CF176" s="210"/>
      <c r="CG176" s="210"/>
      <c r="CH176" s="210"/>
      <c r="CI176" s="210"/>
      <c r="CJ176" s="210"/>
      <c r="CK176" s="210"/>
      <c r="CL176" s="288"/>
      <c r="CM176" s="288"/>
      <c r="CN176" s="210"/>
      <c r="CO176" s="210"/>
      <c r="CP176" s="293"/>
      <c r="CQ176" s="293"/>
      <c r="CR176" s="293"/>
      <c r="CS176" s="282"/>
      <c r="CT176" s="282"/>
      <c r="CU176" s="282"/>
      <c r="CV176" s="288"/>
      <c r="CW176" s="288"/>
      <c r="CX176" s="282"/>
      <c r="CY176" s="282"/>
      <c r="CZ176" s="282"/>
      <c r="DA176" s="288"/>
      <c r="DB176" s="275"/>
      <c r="DC176" s="286"/>
      <c r="DH176" s="286"/>
      <c r="DR176" s="286"/>
      <c r="DW176" s="286"/>
      <c r="EB176" s="286"/>
      <c r="EG176" s="286"/>
    </row>
    <row r="177" spans="1:140" hidden="1" outlineLevel="1">
      <c r="A177" s="171" t="s">
        <v>489</v>
      </c>
      <c r="B177" s="149"/>
      <c r="C177" s="149"/>
      <c r="D177" s="149"/>
      <c r="E177" s="149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  <c r="R177" s="149"/>
      <c r="S177" s="149"/>
      <c r="T177" s="149"/>
      <c r="U177" s="149"/>
      <c r="V177" s="242">
        <v>4.6349999999999998</v>
      </c>
      <c r="W177" s="242">
        <v>5.1749999999999998</v>
      </c>
      <c r="X177" s="242">
        <v>5.1059999999999999</v>
      </c>
      <c r="Y177" s="242">
        <v>4.8129999999999997</v>
      </c>
      <c r="Z177" s="242"/>
      <c r="AA177" s="242">
        <v>4.4349999999999996</v>
      </c>
      <c r="AB177" s="242">
        <v>5.173</v>
      </c>
      <c r="AC177" s="242">
        <v>4.8949999999999996</v>
      </c>
      <c r="AD177" s="242">
        <v>6.0350000000000001</v>
      </c>
      <c r="AE177" s="242"/>
      <c r="AF177" s="242">
        <v>5.45</v>
      </c>
      <c r="AG177" s="242">
        <v>5.2750000000000004</v>
      </c>
      <c r="AH177" s="242">
        <v>5.5149999999999997</v>
      </c>
      <c r="AI177" s="242">
        <v>6.25</v>
      </c>
      <c r="AJ177" s="242"/>
      <c r="AK177" s="242">
        <v>5.08</v>
      </c>
      <c r="AL177" s="242">
        <v>5.4649999999999999</v>
      </c>
      <c r="AM177" s="242">
        <v>6.2649999999999997</v>
      </c>
      <c r="AN177" s="242">
        <v>6.86</v>
      </c>
      <c r="AO177" s="242"/>
      <c r="AP177" s="242">
        <v>5.8650000000000002</v>
      </c>
      <c r="AQ177" s="242">
        <v>5.24</v>
      </c>
      <c r="AR177" s="242">
        <v>5.01</v>
      </c>
      <c r="AS177" s="242">
        <v>5.0599999999999996</v>
      </c>
      <c r="AT177" s="242"/>
      <c r="AU177" s="242">
        <v>5.2149999999999999</v>
      </c>
      <c r="AV177" s="242">
        <v>4.88</v>
      </c>
      <c r="AW177" s="235">
        <v>5.34</v>
      </c>
      <c r="AX177" s="236">
        <v>6.25</v>
      </c>
      <c r="AY177" s="235"/>
      <c r="AZ177" s="235">
        <v>5.33</v>
      </c>
      <c r="BA177" s="235">
        <v>6.5049999999999999</v>
      </c>
      <c r="BB177" s="235">
        <v>8.1999999999999993</v>
      </c>
      <c r="BC177" s="235">
        <v>9.7750000000000004</v>
      </c>
      <c r="BD177" s="235"/>
      <c r="BE177" s="238"/>
      <c r="BF177" s="238"/>
      <c r="BG177" s="238"/>
      <c r="BH177" s="238"/>
      <c r="BI177" s="239"/>
      <c r="BJ177" s="238"/>
      <c r="BK177" s="238"/>
      <c r="BL177" s="238"/>
      <c r="BM177" s="238"/>
      <c r="BN177" s="239"/>
      <c r="BO177" s="238"/>
      <c r="BP177" s="238"/>
      <c r="BQ177" s="238"/>
      <c r="BR177" s="238"/>
      <c r="BS177" s="239"/>
      <c r="BT177" s="238"/>
      <c r="BU177" s="238"/>
      <c r="BV177" s="238"/>
      <c r="BW177" s="238"/>
      <c r="BX177" s="239"/>
      <c r="BY177" s="238"/>
      <c r="BZ177" s="238"/>
      <c r="CA177" s="238"/>
      <c r="CB177" s="238"/>
      <c r="CC177" s="239"/>
      <c r="CD177" s="238"/>
      <c r="CE177" s="238"/>
      <c r="CF177" s="238"/>
      <c r="CG177" s="238"/>
      <c r="CH177" s="239"/>
      <c r="CI177" s="238"/>
      <c r="CJ177" s="238"/>
      <c r="CK177" s="238"/>
      <c r="CL177" s="238"/>
      <c r="CM177" s="239"/>
      <c r="CN177" s="238"/>
      <c r="CO177" s="238"/>
      <c r="CP177" s="238"/>
      <c r="CQ177" s="238"/>
      <c r="CR177" s="239"/>
      <c r="CS177" s="238"/>
      <c r="CT177" s="238"/>
      <c r="CU177" s="238"/>
      <c r="CV177" s="238"/>
      <c r="CW177" s="239"/>
      <c r="CX177" s="238"/>
      <c r="CY177" s="238"/>
      <c r="CZ177" s="238"/>
      <c r="DA177" s="238"/>
      <c r="DB177" s="240"/>
      <c r="DC177" s="238"/>
      <c r="DD177" s="238"/>
      <c r="DE177" s="238"/>
      <c r="DF177" s="238"/>
      <c r="DH177" s="238"/>
      <c r="DI177" s="238"/>
      <c r="DJ177" s="238"/>
      <c r="DK177" s="238"/>
      <c r="DM177" s="238"/>
      <c r="DN177" s="238"/>
      <c r="DO177" s="238"/>
      <c r="DP177" s="238"/>
      <c r="DR177" s="238"/>
      <c r="DS177" s="238"/>
      <c r="DT177" s="238"/>
      <c r="DU177" s="238"/>
      <c r="DW177" s="238"/>
      <c r="DX177" s="238"/>
      <c r="DY177" s="238"/>
      <c r="DZ177" s="238"/>
      <c r="EB177" s="238"/>
      <c r="EC177" s="238"/>
      <c r="ED177" s="238"/>
      <c r="EE177" s="238"/>
      <c r="EG177" s="238"/>
      <c r="EH177" s="238"/>
      <c r="EI177" s="238"/>
      <c r="EJ177" s="238"/>
    </row>
    <row r="178" spans="1:140" hidden="1" outlineLevel="1">
      <c r="A178" s="171" t="s">
        <v>490</v>
      </c>
      <c r="B178" s="149"/>
      <c r="C178" s="149"/>
      <c r="D178" s="149"/>
      <c r="E178" s="149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149"/>
      <c r="S178" s="149"/>
      <c r="T178" s="149"/>
      <c r="U178" s="149"/>
      <c r="V178" s="229">
        <f t="shared" ref="V178:AX178" si="209">V179/V177</f>
        <v>1.6612729234088457E-2</v>
      </c>
      <c r="W178" s="229">
        <f t="shared" si="209"/>
        <v>3.9033816425120778E-2</v>
      </c>
      <c r="X178" s="229">
        <f t="shared" si="209"/>
        <v>8.3431257344300819E-2</v>
      </c>
      <c r="Y178" s="229">
        <f t="shared" si="209"/>
        <v>0.10388531061707876</v>
      </c>
      <c r="Z178" s="229"/>
      <c r="AA178" s="229">
        <f t="shared" si="209"/>
        <v>0.14656144306651636</v>
      </c>
      <c r="AB178" s="229">
        <f t="shared" si="209"/>
        <v>0.15464913976416006</v>
      </c>
      <c r="AC178" s="229">
        <f t="shared" si="209"/>
        <v>0.24514811031664965</v>
      </c>
      <c r="AD178" s="229">
        <f t="shared" si="209"/>
        <v>0.24855012427506212</v>
      </c>
      <c r="AE178" s="229"/>
      <c r="AF178" s="229">
        <f t="shared" si="209"/>
        <v>0.32477064220183488</v>
      </c>
      <c r="AG178" s="229">
        <f t="shared" si="209"/>
        <v>0.1895734597156398</v>
      </c>
      <c r="AH178" s="229">
        <f t="shared" si="209"/>
        <v>0.2130553037171351</v>
      </c>
      <c r="AI178" s="229">
        <f t="shared" si="209"/>
        <v>0.20800000000000002</v>
      </c>
      <c r="AJ178" s="229"/>
      <c r="AK178" s="229">
        <f t="shared" si="209"/>
        <v>0.21653543307086615</v>
      </c>
      <c r="AL178" s="229">
        <f t="shared" si="209"/>
        <v>0.21591948764867336</v>
      </c>
      <c r="AM178" s="229">
        <f t="shared" si="209"/>
        <v>0.21548284118116523</v>
      </c>
      <c r="AN178" s="229">
        <f t="shared" si="209"/>
        <v>0.2040816326530612</v>
      </c>
      <c r="AO178" s="229"/>
      <c r="AP178" s="229">
        <f t="shared" si="209"/>
        <v>0.24296675191815856</v>
      </c>
      <c r="AQ178" s="229">
        <f t="shared" si="209"/>
        <v>0.25763358778625955</v>
      </c>
      <c r="AR178" s="229">
        <f t="shared" si="209"/>
        <v>0.19960079840319361</v>
      </c>
      <c r="AS178" s="229">
        <f t="shared" si="209"/>
        <v>0.19762845849802374</v>
      </c>
      <c r="AT178" s="229"/>
      <c r="AU178" s="229">
        <f t="shared" si="209"/>
        <v>0.24448705656759348</v>
      </c>
      <c r="AV178" s="229">
        <f t="shared" si="209"/>
        <v>0.36885245901639346</v>
      </c>
      <c r="AW178" s="229">
        <f t="shared" si="209"/>
        <v>0.51872659176029967</v>
      </c>
      <c r="AX178" s="241">
        <f t="shared" si="209"/>
        <v>0.57600000000000007</v>
      </c>
      <c r="AY178" s="229"/>
      <c r="AZ178" s="229">
        <f>AZ179/AZ177</f>
        <v>0.60037523452157604</v>
      </c>
      <c r="BA178" s="229">
        <f>BA179/BA177</f>
        <v>0.67640276710222913</v>
      </c>
      <c r="BB178" s="229">
        <v>0.72</v>
      </c>
      <c r="BC178" s="229">
        <f>BC179/BC177</f>
        <v>0.7493606138107417</v>
      </c>
      <c r="BD178" s="229"/>
      <c r="BE178" s="272"/>
      <c r="BF178" s="272"/>
      <c r="BG178" s="272"/>
      <c r="BH178" s="272"/>
      <c r="BI178" s="272"/>
      <c r="BJ178" s="272"/>
      <c r="BK178" s="272"/>
      <c r="BL178" s="272"/>
      <c r="BM178" s="272"/>
      <c r="BN178" s="272"/>
      <c r="BO178" s="272"/>
      <c r="BP178" s="272"/>
      <c r="BQ178" s="272"/>
      <c r="BR178" s="272"/>
      <c r="BS178" s="272"/>
      <c r="BT178" s="272"/>
      <c r="BU178" s="272"/>
      <c r="BV178" s="272"/>
      <c r="BW178" s="272"/>
      <c r="BX178" s="272"/>
      <c r="BY178" s="272"/>
      <c r="BZ178" s="272"/>
      <c r="CA178" s="272"/>
      <c r="CB178" s="273"/>
      <c r="CC178" s="272"/>
      <c r="CD178" s="272"/>
      <c r="CE178" s="272"/>
      <c r="CF178" s="272"/>
      <c r="CG178" s="272"/>
      <c r="CH178" s="272"/>
      <c r="CI178" s="272"/>
      <c r="CJ178" s="272"/>
      <c r="CK178" s="272"/>
      <c r="CL178" s="272"/>
      <c r="CM178" s="272"/>
      <c r="CN178" s="272"/>
      <c r="CO178" s="272"/>
      <c r="CP178" s="272"/>
      <c r="CQ178" s="272"/>
      <c r="CR178" s="239"/>
      <c r="CS178" s="272"/>
      <c r="CT178" s="272"/>
      <c r="CU178" s="272"/>
      <c r="CV178" s="272"/>
      <c r="CW178" s="239"/>
      <c r="CX178" s="272"/>
      <c r="CY178" s="272"/>
      <c r="CZ178" s="272"/>
      <c r="DA178" s="272"/>
      <c r="DB178" s="275"/>
      <c r="DC178" s="272"/>
      <c r="DD178" s="229"/>
      <c r="DE178" s="229"/>
      <c r="DF178" s="229"/>
      <c r="DH178" s="272"/>
      <c r="DI178" s="229"/>
      <c r="DJ178" s="229"/>
      <c r="DK178" s="229"/>
      <c r="DM178" s="229"/>
      <c r="DN178" s="229"/>
      <c r="DO178" s="229"/>
      <c r="DP178" s="229"/>
      <c r="DR178" s="272"/>
      <c r="DS178" s="229"/>
      <c r="DT178" s="229"/>
      <c r="DU178" s="229"/>
      <c r="DW178" s="272"/>
      <c r="DX178" s="229"/>
      <c r="DY178" s="229"/>
      <c r="DZ178" s="229"/>
      <c r="EB178" s="272"/>
      <c r="EC178" s="229"/>
      <c r="ED178" s="229"/>
      <c r="EE178" s="229"/>
      <c r="EG178" s="272"/>
      <c r="EH178" s="229"/>
      <c r="EI178" s="229"/>
      <c r="EJ178" s="229"/>
    </row>
    <row r="179" spans="1:140" hidden="1" outlineLevel="1">
      <c r="A179" s="171" t="s">
        <v>500</v>
      </c>
      <c r="B179" s="152"/>
      <c r="C179" s="152"/>
      <c r="D179" s="152"/>
      <c r="E179" s="152"/>
      <c r="F179" s="152"/>
      <c r="G179" s="152"/>
      <c r="H179" s="152"/>
      <c r="I179" s="152"/>
      <c r="J179" s="152"/>
      <c r="K179" s="152"/>
      <c r="L179" s="152"/>
      <c r="M179" s="152"/>
      <c r="N179" s="152"/>
      <c r="O179" s="152"/>
      <c r="P179" s="152"/>
      <c r="Q179" s="152"/>
      <c r="R179" s="152"/>
      <c r="S179" s="152"/>
      <c r="T179" s="152"/>
      <c r="U179" s="152"/>
      <c r="V179" s="242">
        <v>7.6999999999999999E-2</v>
      </c>
      <c r="W179" s="242">
        <v>0.20200000000000001</v>
      </c>
      <c r="X179" s="242">
        <v>0.42599999999999999</v>
      </c>
      <c r="Y179" s="242">
        <v>0.5</v>
      </c>
      <c r="Z179" s="242"/>
      <c r="AA179" s="242">
        <v>0.65</v>
      </c>
      <c r="AB179" s="242">
        <v>0.8</v>
      </c>
      <c r="AC179" s="242">
        <v>1.2</v>
      </c>
      <c r="AD179" s="242">
        <v>1.5</v>
      </c>
      <c r="AE179" s="242"/>
      <c r="AF179" s="242">
        <v>1.77</v>
      </c>
      <c r="AG179" s="242">
        <v>1</v>
      </c>
      <c r="AH179" s="242">
        <v>1.175</v>
      </c>
      <c r="AI179" s="242">
        <v>1.3</v>
      </c>
      <c r="AJ179" s="242"/>
      <c r="AK179" s="242">
        <v>1.1000000000000001</v>
      </c>
      <c r="AL179" s="242">
        <v>1.18</v>
      </c>
      <c r="AM179" s="242">
        <v>1.35</v>
      </c>
      <c r="AN179" s="243">
        <v>1.4</v>
      </c>
      <c r="AO179" s="243"/>
      <c r="AP179" s="243">
        <v>1.425</v>
      </c>
      <c r="AQ179" s="243">
        <v>1.35</v>
      </c>
      <c r="AR179" s="242">
        <v>1</v>
      </c>
      <c r="AS179" s="242">
        <v>1</v>
      </c>
      <c r="AT179" s="242"/>
      <c r="AU179" s="242">
        <v>1.2749999999999999</v>
      </c>
      <c r="AV179" s="242">
        <v>1.8</v>
      </c>
      <c r="AW179" s="242">
        <v>2.77</v>
      </c>
      <c r="AX179" s="294">
        <v>3.6</v>
      </c>
      <c r="AY179" s="242"/>
      <c r="AZ179" s="242">
        <v>3.2</v>
      </c>
      <c r="BA179" s="242">
        <v>4.4000000000000004</v>
      </c>
      <c r="BB179" s="242">
        <f>BB178*BB177</f>
        <v>5.903999999999999</v>
      </c>
      <c r="BC179" s="242">
        <v>7.3250000000000002</v>
      </c>
      <c r="BD179" s="242"/>
      <c r="BE179" s="238"/>
      <c r="BF179" s="238"/>
      <c r="BG179" s="238"/>
      <c r="BH179" s="238"/>
      <c r="BI179" s="239"/>
      <c r="BJ179" s="238"/>
      <c r="BK179" s="238"/>
      <c r="BL179" s="238"/>
      <c r="BM179" s="238"/>
      <c r="BN179" s="239"/>
      <c r="BO179" s="238"/>
      <c r="BP179" s="238"/>
      <c r="BQ179" s="238"/>
      <c r="BR179" s="238"/>
      <c r="BS179" s="239"/>
      <c r="BT179" s="238"/>
      <c r="BU179" s="238"/>
      <c r="BV179" s="238"/>
      <c r="BW179" s="238"/>
      <c r="BX179" s="239"/>
      <c r="BY179" s="238"/>
      <c r="BZ179" s="238"/>
      <c r="CA179" s="238"/>
      <c r="CB179" s="238"/>
      <c r="CC179" s="239"/>
      <c r="CD179" s="238"/>
      <c r="CE179" s="238"/>
      <c r="CF179" s="238"/>
      <c r="CG179" s="238"/>
      <c r="CH179" s="239"/>
      <c r="CI179" s="238"/>
      <c r="CJ179" s="238"/>
      <c r="CK179" s="238"/>
      <c r="CL179" s="238"/>
      <c r="CM179" s="239"/>
      <c r="CN179" s="238"/>
      <c r="CO179" s="238"/>
      <c r="CP179" s="238"/>
      <c r="CQ179" s="238"/>
      <c r="CR179" s="239"/>
      <c r="CS179" s="238"/>
      <c r="CT179" s="238"/>
      <c r="CU179" s="238"/>
      <c r="CV179" s="238"/>
      <c r="CW179" s="239"/>
      <c r="CX179" s="238"/>
      <c r="CY179" s="238"/>
      <c r="CZ179" s="238"/>
      <c r="DA179" s="238"/>
      <c r="DB179" s="240"/>
      <c r="DC179" s="238"/>
      <c r="DD179" s="238"/>
      <c r="DE179" s="238"/>
      <c r="DF179" s="238"/>
      <c r="DH179" s="238"/>
      <c r="DI179" s="238"/>
      <c r="DJ179" s="238"/>
      <c r="DK179" s="238"/>
      <c r="DM179" s="238"/>
      <c r="DN179" s="238"/>
      <c r="DO179" s="238"/>
      <c r="DP179" s="238"/>
      <c r="DR179" s="238"/>
      <c r="DS179" s="238"/>
      <c r="DT179" s="238"/>
      <c r="DU179" s="238"/>
      <c r="DW179" s="238"/>
      <c r="DX179" s="238"/>
      <c r="DY179" s="238"/>
      <c r="DZ179" s="238"/>
      <c r="EB179" s="238"/>
      <c r="EC179" s="238"/>
      <c r="ED179" s="238"/>
      <c r="EE179" s="238"/>
      <c r="EG179" s="238"/>
      <c r="EH179" s="238"/>
      <c r="EI179" s="238"/>
      <c r="EJ179" s="238"/>
    </row>
    <row r="180" spans="1:140" hidden="1" outlineLevel="1">
      <c r="A180" s="171" t="s">
        <v>492</v>
      </c>
      <c r="B180" s="187"/>
      <c r="C180" s="187"/>
      <c r="D180" s="187"/>
      <c r="E180" s="187"/>
      <c r="F180" s="187"/>
      <c r="G180" s="187"/>
      <c r="H180" s="187"/>
      <c r="I180" s="187"/>
      <c r="J180" s="187"/>
      <c r="K180" s="187"/>
      <c r="L180" s="187"/>
      <c r="M180" s="187"/>
      <c r="N180" s="187"/>
      <c r="O180" s="187"/>
      <c r="P180" s="187"/>
      <c r="Q180" s="187"/>
      <c r="R180" s="187"/>
      <c r="S180" s="187"/>
      <c r="T180" s="187"/>
      <c r="U180" s="187"/>
      <c r="V180" s="187">
        <f>V181/V179</f>
        <v>0</v>
      </c>
      <c r="W180" s="187">
        <f>W181/W179</f>
        <v>0</v>
      </c>
      <c r="X180" s="187">
        <f>X181/X179</f>
        <v>0</v>
      </c>
      <c r="Y180" s="187">
        <f>Y181/Y179</f>
        <v>0</v>
      </c>
      <c r="Z180" s="187"/>
      <c r="AA180" s="187">
        <v>29.5</v>
      </c>
      <c r="AB180" s="187">
        <v>27.7</v>
      </c>
      <c r="AC180" s="187">
        <v>27.5</v>
      </c>
      <c r="AD180" s="187">
        <v>27.5</v>
      </c>
      <c r="AE180" s="187"/>
      <c r="AF180" s="187">
        <v>29</v>
      </c>
      <c r="AG180" s="187">
        <v>29.4</v>
      </c>
      <c r="AH180" s="187">
        <f>AH181/AH179</f>
        <v>30.525957446808505</v>
      </c>
      <c r="AI180" s="187">
        <v>30.6</v>
      </c>
      <c r="AJ180" s="187"/>
      <c r="AK180" s="187">
        <v>32</v>
      </c>
      <c r="AL180" s="187">
        <v>33</v>
      </c>
      <c r="AM180" s="187">
        <v>33</v>
      </c>
      <c r="AN180" s="187">
        <v>33</v>
      </c>
      <c r="AO180" s="187"/>
      <c r="AP180" s="187">
        <v>33</v>
      </c>
      <c r="AQ180" s="187">
        <v>34</v>
      </c>
      <c r="AR180" s="187">
        <v>35</v>
      </c>
      <c r="AS180" s="187">
        <f>AR180-1</f>
        <v>34</v>
      </c>
      <c r="AT180" s="187"/>
      <c r="AU180" s="295">
        <f t="shared" ref="AU180:BA180" si="210">AU181/AU179</f>
        <v>38.85115690111661</v>
      </c>
      <c r="AV180" s="295">
        <f t="shared" si="210"/>
        <v>30.821917808219176</v>
      </c>
      <c r="AW180" s="295">
        <f t="shared" si="210"/>
        <v>29.241877256317689</v>
      </c>
      <c r="AX180" s="246">
        <f t="shared" si="210"/>
        <v>20.966666666666669</v>
      </c>
      <c r="AY180" s="187"/>
      <c r="AZ180" s="295">
        <f t="shared" si="210"/>
        <v>26.470385885518589</v>
      </c>
      <c r="BA180" s="295">
        <f t="shared" si="210"/>
        <v>28.876784602383914</v>
      </c>
      <c r="BB180" s="295">
        <f>BB181/BB179</f>
        <v>30.34410089315546</v>
      </c>
      <c r="BC180" s="295">
        <f>BC181/BC179</f>
        <v>24.702127971320369</v>
      </c>
      <c r="BD180" s="295"/>
      <c r="BE180" s="247"/>
      <c r="BF180" s="247"/>
      <c r="BG180" s="247"/>
      <c r="BH180" s="247"/>
      <c r="BI180" s="247"/>
      <c r="BJ180" s="247"/>
      <c r="BK180" s="247"/>
      <c r="BL180" s="247"/>
      <c r="BM180" s="247"/>
      <c r="BN180" s="247"/>
      <c r="BO180" s="247"/>
      <c r="BP180" s="247"/>
      <c r="BQ180" s="247"/>
      <c r="BR180" s="247"/>
      <c r="BS180" s="247"/>
      <c r="BT180" s="247"/>
      <c r="BU180" s="247"/>
      <c r="BV180" s="247"/>
      <c r="BW180" s="247"/>
      <c r="BX180" s="247"/>
      <c r="BY180" s="247"/>
      <c r="BZ180" s="247"/>
      <c r="CA180" s="247"/>
      <c r="CB180" s="248"/>
      <c r="CC180" s="247"/>
      <c r="CD180" s="247"/>
      <c r="CE180" s="247"/>
      <c r="CF180" s="247"/>
      <c r="CG180" s="247"/>
      <c r="CH180" s="247"/>
      <c r="CI180" s="247"/>
      <c r="CJ180" s="247"/>
      <c r="CK180" s="247"/>
      <c r="CL180" s="247"/>
      <c r="CM180" s="247"/>
      <c r="CN180" s="247"/>
      <c r="CO180" s="247"/>
      <c r="CP180" s="247"/>
      <c r="CQ180" s="296"/>
      <c r="CR180" s="297"/>
      <c r="CS180" s="296"/>
      <c r="CT180" s="296"/>
      <c r="CU180" s="296"/>
      <c r="CV180" s="296"/>
      <c r="CW180" s="297"/>
      <c r="CX180" s="296"/>
      <c r="CY180" s="296"/>
      <c r="CZ180" s="296"/>
      <c r="DA180" s="296"/>
      <c r="DB180" s="298"/>
      <c r="DC180" s="296"/>
      <c r="DD180" s="296"/>
      <c r="DE180" s="296"/>
      <c r="DF180" s="296"/>
      <c r="DH180" s="296"/>
      <c r="DI180" s="296"/>
      <c r="DJ180" s="296"/>
      <c r="DK180" s="296"/>
      <c r="DM180" s="296"/>
      <c r="DN180" s="296"/>
      <c r="DO180" s="296"/>
      <c r="DP180" s="296"/>
      <c r="DR180" s="296"/>
      <c r="DS180" s="296"/>
      <c r="DT180" s="296"/>
      <c r="DU180" s="296"/>
      <c r="DW180" s="296"/>
      <c r="DX180" s="296"/>
      <c r="DY180" s="296"/>
      <c r="DZ180" s="296"/>
      <c r="EB180" s="296"/>
      <c r="EC180" s="296"/>
      <c r="ED180" s="296"/>
      <c r="EE180" s="296"/>
      <c r="EG180" s="296"/>
      <c r="EH180" s="296"/>
      <c r="EI180" s="296"/>
      <c r="EJ180" s="296"/>
    </row>
    <row r="181" spans="1:140" s="261" customFormat="1" hidden="1" outlineLevel="1">
      <c r="A181" s="250" t="s">
        <v>493</v>
      </c>
      <c r="B181" s="252"/>
      <c r="C181" s="252"/>
      <c r="D181" s="252"/>
      <c r="E181" s="252"/>
      <c r="F181" s="252"/>
      <c r="G181" s="252"/>
      <c r="H181" s="252"/>
      <c r="I181" s="252"/>
      <c r="J181" s="252"/>
      <c r="K181" s="252"/>
      <c r="L181" s="252"/>
      <c r="M181" s="252"/>
      <c r="N181" s="252"/>
      <c r="O181" s="252"/>
      <c r="P181" s="252"/>
      <c r="Q181" s="252"/>
      <c r="R181" s="252"/>
      <c r="S181" s="252"/>
      <c r="T181" s="252"/>
      <c r="U181" s="252"/>
      <c r="V181" s="252">
        <f>V241*V252</f>
        <v>0</v>
      </c>
      <c r="W181" s="252">
        <f>W241*W252</f>
        <v>0</v>
      </c>
      <c r="X181" s="252">
        <f>X241*X252</f>
        <v>0</v>
      </c>
      <c r="Y181" s="252">
        <f>Y241*Y252</f>
        <v>0</v>
      </c>
      <c r="Z181" s="252"/>
      <c r="AA181" s="252">
        <f t="shared" ref="AA181:AG181" si="211">AA180*AA179</f>
        <v>19.175000000000001</v>
      </c>
      <c r="AB181" s="252">
        <f t="shared" si="211"/>
        <v>22.16</v>
      </c>
      <c r="AC181" s="252">
        <f t="shared" si="211"/>
        <v>33</v>
      </c>
      <c r="AD181" s="252">
        <f t="shared" si="211"/>
        <v>41.25</v>
      </c>
      <c r="AE181" s="252"/>
      <c r="AF181" s="252">
        <f t="shared" si="211"/>
        <v>51.33</v>
      </c>
      <c r="AG181" s="252">
        <f t="shared" si="211"/>
        <v>29.4</v>
      </c>
      <c r="AH181" s="252">
        <f>AG181*1.22</f>
        <v>35.867999999999995</v>
      </c>
      <c r="AI181" s="252">
        <f t="shared" ref="AI181:AS181" si="212">AI180*AI179</f>
        <v>39.78</v>
      </c>
      <c r="AJ181" s="252"/>
      <c r="AK181" s="252">
        <f t="shared" si="212"/>
        <v>35.200000000000003</v>
      </c>
      <c r="AL181" s="252">
        <f t="shared" si="212"/>
        <v>38.94</v>
      </c>
      <c r="AM181" s="252">
        <f t="shared" si="212"/>
        <v>44.550000000000004</v>
      </c>
      <c r="AN181" s="252">
        <f t="shared" si="212"/>
        <v>46.199999999999996</v>
      </c>
      <c r="AO181" s="252"/>
      <c r="AP181" s="252">
        <f t="shared" si="212"/>
        <v>47.024999999999999</v>
      </c>
      <c r="AQ181" s="252">
        <f t="shared" si="212"/>
        <v>45.900000000000006</v>
      </c>
      <c r="AR181" s="252">
        <f t="shared" si="212"/>
        <v>35</v>
      </c>
      <c r="AS181" s="252">
        <f t="shared" si="212"/>
        <v>34</v>
      </c>
      <c r="AT181" s="252"/>
      <c r="AU181" s="252">
        <f>AV181/1.12</f>
        <v>49.535225048923678</v>
      </c>
      <c r="AV181" s="299">
        <f>AW181/1.46</f>
        <v>55.479452054794521</v>
      </c>
      <c r="AW181" s="299">
        <v>81</v>
      </c>
      <c r="AX181" s="300">
        <f>AS181*2.22</f>
        <v>75.48</v>
      </c>
      <c r="AY181" s="252"/>
      <c r="AZ181" s="301">
        <f>AU181*1.71</f>
        <v>84.705234833659489</v>
      </c>
      <c r="BA181" s="301">
        <f>AZ181*1.5</f>
        <v>127.05785225048923</v>
      </c>
      <c r="BB181" s="301">
        <f>1.41*BA181</f>
        <v>179.15157167318981</v>
      </c>
      <c r="BC181" s="301">
        <f>BB181*1.01</f>
        <v>180.94308738992171</v>
      </c>
      <c r="BD181" s="252"/>
      <c r="BE181" s="254"/>
      <c r="BF181" s="254"/>
      <c r="BG181" s="302"/>
      <c r="BH181" s="302"/>
      <c r="BI181" s="302"/>
      <c r="BJ181" s="255"/>
      <c r="BK181" s="255"/>
      <c r="BL181" s="255"/>
      <c r="BM181" s="255"/>
      <c r="BN181" s="255"/>
      <c r="BO181" s="302"/>
      <c r="BP181" s="302"/>
      <c r="BQ181" s="302"/>
      <c r="BR181" s="302"/>
      <c r="BS181" s="302"/>
      <c r="BT181" s="302"/>
      <c r="BU181" s="302"/>
      <c r="BV181" s="302"/>
      <c r="BW181" s="302"/>
      <c r="BX181" s="302"/>
      <c r="BY181" s="302"/>
      <c r="BZ181" s="302"/>
      <c r="CA181" s="302"/>
      <c r="CB181" s="303"/>
      <c r="CC181" s="302"/>
      <c r="CD181" s="302"/>
      <c r="CE181" s="302"/>
      <c r="CF181" s="302"/>
      <c r="CG181" s="302"/>
      <c r="CH181" s="302"/>
      <c r="CI181" s="302"/>
      <c r="CJ181" s="255"/>
      <c r="CK181" s="255"/>
      <c r="CL181" s="255"/>
      <c r="CM181" s="255"/>
      <c r="CN181" s="258"/>
      <c r="CO181" s="258"/>
      <c r="CP181" s="258"/>
      <c r="CQ181" s="258"/>
      <c r="CR181" s="258"/>
      <c r="CS181" s="258"/>
      <c r="CT181" s="258"/>
      <c r="CU181" s="258"/>
      <c r="CV181" s="258"/>
      <c r="CW181" s="258"/>
      <c r="CX181" s="258"/>
      <c r="CY181" s="258"/>
      <c r="CZ181" s="258"/>
      <c r="DA181" s="258"/>
      <c r="DB181" s="259"/>
      <c r="DC181" s="258"/>
      <c r="DD181" s="260"/>
      <c r="DE181" s="260"/>
      <c r="DF181" s="260"/>
      <c r="DH181" s="258"/>
      <c r="DI181" s="260"/>
      <c r="DJ181" s="260"/>
      <c r="DK181" s="260"/>
      <c r="DM181" s="260"/>
      <c r="DN181" s="260"/>
      <c r="DO181" s="260"/>
      <c r="DP181" s="260"/>
      <c r="DR181" s="258"/>
      <c r="DS181" s="260"/>
      <c r="DT181" s="260"/>
      <c r="DU181" s="260"/>
      <c r="DW181" s="258"/>
      <c r="DX181" s="260"/>
      <c r="DY181" s="260"/>
      <c r="DZ181" s="260"/>
      <c r="EB181" s="258"/>
      <c r="EC181" s="260"/>
      <c r="ED181" s="260"/>
      <c r="EE181" s="260"/>
      <c r="EG181" s="258"/>
      <c r="EH181" s="260"/>
      <c r="EI181" s="260"/>
      <c r="EJ181" s="260"/>
    </row>
    <row r="182" spans="1:140" s="271" customFormat="1" hidden="1" outlineLevel="2">
      <c r="A182" s="170" t="s">
        <v>494</v>
      </c>
      <c r="B182" s="262"/>
      <c r="C182" s="262"/>
      <c r="D182" s="262"/>
      <c r="E182" s="262"/>
      <c r="F182" s="262"/>
      <c r="G182" s="262"/>
      <c r="H182" s="262"/>
      <c r="I182" s="262"/>
      <c r="J182" s="262"/>
      <c r="K182" s="262"/>
      <c r="L182" s="262"/>
      <c r="M182" s="262"/>
      <c r="N182" s="262"/>
      <c r="O182" s="262"/>
      <c r="P182" s="262"/>
      <c r="Q182" s="262"/>
      <c r="R182" s="262"/>
      <c r="S182" s="262"/>
      <c r="T182" s="262"/>
      <c r="U182" s="262"/>
      <c r="V182" s="262"/>
      <c r="W182" s="262"/>
      <c r="X182" s="262"/>
      <c r="Y182" s="262"/>
      <c r="Z182" s="262"/>
      <c r="AA182" s="262"/>
      <c r="AB182" s="262"/>
      <c r="AC182" s="262"/>
      <c r="AD182" s="262"/>
      <c r="AE182" s="262"/>
      <c r="AF182" s="262"/>
      <c r="AG182" s="262"/>
      <c r="AH182" s="262"/>
      <c r="AI182" s="262"/>
      <c r="AJ182" s="262"/>
      <c r="AK182" s="262"/>
      <c r="AL182" s="262"/>
      <c r="AM182" s="262"/>
      <c r="AN182" s="262"/>
      <c r="AO182" s="262"/>
      <c r="AP182" s="262"/>
      <c r="AQ182" s="262"/>
      <c r="AR182" s="262"/>
      <c r="AS182" s="262"/>
      <c r="AT182" s="262"/>
      <c r="AU182" s="263"/>
      <c r="AV182" s="263"/>
      <c r="AW182" s="262"/>
      <c r="AX182" s="264"/>
      <c r="AY182" s="262"/>
      <c r="AZ182" s="262"/>
      <c r="BA182" s="262"/>
      <c r="BB182" s="262"/>
      <c r="BC182" s="262"/>
      <c r="BD182" s="262"/>
      <c r="BE182" s="265"/>
      <c r="BF182" s="265"/>
      <c r="BG182" s="265"/>
      <c r="BH182" s="265"/>
      <c r="BI182" s="265"/>
      <c r="BJ182" s="266"/>
      <c r="BK182" s="266"/>
      <c r="BL182" s="266"/>
      <c r="BM182" s="266"/>
      <c r="BN182" s="266"/>
      <c r="BO182" s="267"/>
      <c r="BP182" s="267"/>
      <c r="BQ182" s="267"/>
      <c r="BR182" s="267"/>
      <c r="BS182" s="267"/>
      <c r="BT182" s="267"/>
      <c r="BU182" s="267"/>
      <c r="BV182" s="267"/>
      <c r="BW182" s="267"/>
      <c r="BX182" s="267"/>
      <c r="BY182" s="267"/>
      <c r="BZ182" s="267"/>
      <c r="CA182" s="267"/>
      <c r="CB182" s="268"/>
      <c r="CC182" s="267"/>
      <c r="CD182" s="267"/>
      <c r="CE182" s="267"/>
      <c r="CF182" s="267"/>
      <c r="CG182" s="267"/>
      <c r="CH182" s="267"/>
      <c r="CI182" s="267"/>
      <c r="CJ182" s="267"/>
      <c r="CK182" s="267"/>
      <c r="CL182" s="267"/>
      <c r="CM182" s="267"/>
      <c r="CN182" s="267"/>
      <c r="CO182" s="267"/>
      <c r="CP182" s="267"/>
      <c r="CQ182" s="267"/>
      <c r="CR182" s="267"/>
      <c r="CS182" s="267"/>
      <c r="CT182" s="267"/>
      <c r="CU182" s="267"/>
      <c r="CV182" s="267"/>
      <c r="CW182" s="267"/>
      <c r="CX182" s="267"/>
      <c r="CY182" s="267"/>
      <c r="CZ182" s="267"/>
      <c r="DA182" s="267"/>
      <c r="DB182" s="269"/>
      <c r="DC182" s="267"/>
      <c r="DD182" s="270"/>
      <c r="DE182" s="270"/>
      <c r="DF182" s="270"/>
      <c r="DH182" s="267"/>
      <c r="DI182" s="270"/>
      <c r="DJ182" s="270"/>
      <c r="DK182" s="270"/>
      <c r="DM182" s="270"/>
      <c r="DN182" s="270"/>
      <c r="DO182" s="270"/>
      <c r="DP182" s="270"/>
      <c r="DR182" s="267"/>
      <c r="DS182" s="270"/>
      <c r="DT182" s="270"/>
      <c r="DU182" s="270"/>
      <c r="DW182" s="267"/>
      <c r="DX182" s="270"/>
      <c r="DY182" s="270"/>
      <c r="DZ182" s="270"/>
      <c r="EB182" s="267"/>
      <c r="EC182" s="270"/>
      <c r="ED182" s="270"/>
      <c r="EE182" s="270"/>
      <c r="EG182" s="267"/>
      <c r="EH182" s="270"/>
      <c r="EI182" s="270"/>
      <c r="EJ182" s="270"/>
    </row>
    <row r="183" spans="1:140" s="271" customFormat="1" hidden="1" outlineLevel="2">
      <c r="A183" s="170" t="s">
        <v>495</v>
      </c>
      <c r="B183" s="262"/>
      <c r="C183" s="262"/>
      <c r="D183" s="262"/>
      <c r="E183" s="262"/>
      <c r="F183" s="262"/>
      <c r="G183" s="262"/>
      <c r="H183" s="262"/>
      <c r="I183" s="262"/>
      <c r="J183" s="262"/>
      <c r="K183" s="262"/>
      <c r="L183" s="262"/>
      <c r="M183" s="262"/>
      <c r="N183" s="262"/>
      <c r="O183" s="262"/>
      <c r="P183" s="262"/>
      <c r="Q183" s="262"/>
      <c r="R183" s="262"/>
      <c r="S183" s="262"/>
      <c r="T183" s="262"/>
      <c r="U183" s="262"/>
      <c r="V183" s="262"/>
      <c r="W183" s="262"/>
      <c r="X183" s="262"/>
      <c r="Y183" s="262"/>
      <c r="Z183" s="262"/>
      <c r="AA183" s="262"/>
      <c r="AB183" s="262"/>
      <c r="AC183" s="262"/>
      <c r="AD183" s="262"/>
      <c r="AE183" s="262"/>
      <c r="AF183" s="262"/>
      <c r="AG183" s="262"/>
      <c r="AH183" s="262"/>
      <c r="AI183" s="262"/>
      <c r="AJ183" s="262"/>
      <c r="AK183" s="262"/>
      <c r="AL183" s="262"/>
      <c r="AM183" s="262"/>
      <c r="AN183" s="262"/>
      <c r="AO183" s="262"/>
      <c r="AP183" s="262"/>
      <c r="AQ183" s="262"/>
      <c r="AR183" s="262"/>
      <c r="AS183" s="262"/>
      <c r="AT183" s="262"/>
      <c r="AU183" s="263"/>
      <c r="AV183" s="263"/>
      <c r="AW183" s="262"/>
      <c r="AX183" s="264"/>
      <c r="AY183" s="262"/>
      <c r="AZ183" s="262"/>
      <c r="BA183" s="262"/>
      <c r="BB183" s="262"/>
      <c r="BC183" s="262"/>
      <c r="BD183" s="262"/>
      <c r="BE183" s="265"/>
      <c r="BF183" s="265"/>
      <c r="BG183" s="265"/>
      <c r="BH183" s="265"/>
      <c r="BI183" s="265"/>
      <c r="BJ183" s="266"/>
      <c r="BK183" s="266"/>
      <c r="BL183" s="266"/>
      <c r="BM183" s="266"/>
      <c r="BN183" s="266"/>
      <c r="BO183" s="267"/>
      <c r="BP183" s="267"/>
      <c r="BQ183" s="267"/>
      <c r="BR183" s="267"/>
      <c r="BS183" s="267"/>
      <c r="BT183" s="267"/>
      <c r="BU183" s="267"/>
      <c r="BV183" s="267"/>
      <c r="BW183" s="267"/>
      <c r="BX183" s="267"/>
      <c r="BY183" s="267"/>
      <c r="BZ183" s="267"/>
      <c r="CA183" s="267"/>
      <c r="CB183" s="268"/>
      <c r="CC183" s="267"/>
      <c r="CD183" s="267"/>
      <c r="CE183" s="267"/>
      <c r="CF183" s="267"/>
      <c r="CG183" s="267"/>
      <c r="CH183" s="267"/>
      <c r="CI183" s="267"/>
      <c r="CJ183" s="267"/>
      <c r="CK183" s="267"/>
      <c r="CL183" s="267"/>
      <c r="CM183" s="267"/>
      <c r="CN183" s="267"/>
      <c r="CO183" s="267"/>
      <c r="CP183" s="267"/>
      <c r="CQ183" s="267"/>
      <c r="CR183" s="267"/>
      <c r="CS183" s="267"/>
      <c r="CT183" s="267"/>
      <c r="CU183" s="267"/>
      <c r="CV183" s="267"/>
      <c r="CW183" s="267"/>
      <c r="CX183" s="267"/>
      <c r="CY183" s="267"/>
      <c r="CZ183" s="267"/>
      <c r="DA183" s="267"/>
      <c r="DB183" s="269"/>
      <c r="DC183" s="267"/>
      <c r="DD183" s="270"/>
      <c r="DE183" s="270"/>
      <c r="DF183" s="270"/>
      <c r="DH183" s="267"/>
      <c r="DI183" s="270"/>
      <c r="DJ183" s="270"/>
      <c r="DK183" s="270"/>
      <c r="DM183" s="270"/>
      <c r="DN183" s="270"/>
      <c r="DO183" s="270"/>
      <c r="DP183" s="270"/>
      <c r="DR183" s="267"/>
      <c r="DS183" s="270"/>
      <c r="DT183" s="270"/>
      <c r="DU183" s="270"/>
      <c r="DW183" s="267"/>
      <c r="DX183" s="270"/>
      <c r="DY183" s="270"/>
      <c r="DZ183" s="270"/>
      <c r="EB183" s="267"/>
      <c r="EC183" s="270"/>
      <c r="ED183" s="270"/>
      <c r="EE183" s="270"/>
      <c r="EG183" s="267"/>
      <c r="EH183" s="270"/>
      <c r="EI183" s="270"/>
      <c r="EJ183" s="270"/>
    </row>
    <row r="184" spans="1:140" ht="18.75" hidden="1" customHeight="1" outlineLevel="1">
      <c r="A184" s="171" t="s">
        <v>496</v>
      </c>
      <c r="B184" s="149"/>
      <c r="C184" s="149"/>
      <c r="D184" s="149"/>
      <c r="E184" s="149"/>
      <c r="F184" s="149"/>
      <c r="G184" s="149"/>
      <c r="H184" s="149"/>
      <c r="I184" s="149"/>
      <c r="J184" s="149"/>
      <c r="K184" s="149"/>
      <c r="L184" s="149"/>
      <c r="M184" s="149"/>
      <c r="N184" s="149"/>
      <c r="O184" s="149"/>
      <c r="P184" s="149"/>
      <c r="Q184" s="149"/>
      <c r="R184" s="149"/>
      <c r="S184" s="149"/>
      <c r="T184" s="149"/>
      <c r="U184" s="149"/>
      <c r="V184" s="229">
        <v>0.4</v>
      </c>
      <c r="W184" s="229">
        <v>0.4</v>
      </c>
      <c r="X184" s="229">
        <v>0.4</v>
      </c>
      <c r="Y184" s="229">
        <v>0.4</v>
      </c>
      <c r="Z184" s="229"/>
      <c r="AA184" s="229">
        <v>0.4</v>
      </c>
      <c r="AB184" s="229">
        <v>0.4</v>
      </c>
      <c r="AC184" s="229">
        <v>0.38</v>
      </c>
      <c r="AD184" s="229">
        <v>0.375</v>
      </c>
      <c r="AE184" s="229"/>
      <c r="AF184" s="229">
        <v>0.37</v>
      </c>
      <c r="AG184" s="229">
        <v>0.35</v>
      </c>
      <c r="AH184" s="229">
        <v>0.34</v>
      </c>
      <c r="AI184" s="229">
        <v>0.33</v>
      </c>
      <c r="AJ184" s="229"/>
      <c r="AK184" s="229">
        <v>0.32</v>
      </c>
      <c r="AL184" s="229">
        <v>0.32</v>
      </c>
      <c r="AM184" s="229">
        <v>0.32</v>
      </c>
      <c r="AN184" s="229">
        <v>0.32</v>
      </c>
      <c r="AO184" s="229"/>
      <c r="AP184" s="229">
        <v>0.33</v>
      </c>
      <c r="AQ184" s="229">
        <v>0.34</v>
      </c>
      <c r="AR184" s="229">
        <v>0.35</v>
      </c>
      <c r="AS184" s="229">
        <v>0.36</v>
      </c>
      <c r="AT184" s="229"/>
      <c r="AU184" s="229">
        <v>0.35</v>
      </c>
      <c r="AV184" s="304">
        <v>0.38</v>
      </c>
      <c r="AW184" s="304">
        <v>0.38</v>
      </c>
      <c r="AX184" s="305">
        <v>0.38</v>
      </c>
      <c r="AY184" s="304"/>
      <c r="AZ184" s="304">
        <v>0.4</v>
      </c>
      <c r="BA184" s="229">
        <v>0.42</v>
      </c>
      <c r="BB184" s="304">
        <v>0.44</v>
      </c>
      <c r="BC184" s="304">
        <v>0.44</v>
      </c>
      <c r="BD184" s="304"/>
      <c r="BE184" s="272"/>
      <c r="BF184" s="272"/>
      <c r="BG184" s="272"/>
      <c r="BH184" s="272"/>
      <c r="BI184" s="272"/>
      <c r="BJ184" s="272"/>
      <c r="BK184" s="272"/>
      <c r="BL184" s="272"/>
      <c r="BM184" s="272"/>
      <c r="BN184" s="272"/>
      <c r="BO184" s="272"/>
      <c r="BP184" s="272"/>
      <c r="BQ184" s="272"/>
      <c r="BR184" s="272"/>
      <c r="BS184" s="272"/>
      <c r="BT184" s="272"/>
      <c r="BU184" s="272"/>
      <c r="BV184" s="272"/>
      <c r="BW184" s="272"/>
      <c r="BX184" s="272"/>
      <c r="BY184" s="272"/>
      <c r="BZ184" s="272"/>
      <c r="CA184" s="272"/>
      <c r="CB184" s="273"/>
      <c r="CC184" s="272"/>
      <c r="CD184" s="272"/>
      <c r="CE184" s="272"/>
      <c r="CF184" s="272"/>
      <c r="CG184" s="272"/>
      <c r="CH184" s="272"/>
      <c r="CI184" s="272"/>
      <c r="CJ184" s="272"/>
      <c r="CK184" s="272"/>
      <c r="CL184" s="272"/>
      <c r="CM184" s="272"/>
      <c r="CN184" s="272"/>
      <c r="CO184" s="272"/>
      <c r="CP184" s="274"/>
      <c r="CQ184" s="274"/>
      <c r="CR184" s="267"/>
      <c r="CS184" s="274"/>
      <c r="CT184" s="274"/>
      <c r="CU184" s="274"/>
      <c r="CV184" s="274"/>
      <c r="CW184" s="267"/>
      <c r="CX184" s="267"/>
      <c r="CY184" s="267"/>
      <c r="CZ184" s="267"/>
      <c r="DA184" s="267"/>
      <c r="DB184" s="306"/>
      <c r="DC184" s="267"/>
      <c r="DD184" s="270"/>
      <c r="DE184" s="270"/>
      <c r="DF184" s="270"/>
      <c r="DH184" s="267"/>
      <c r="DI184" s="270"/>
      <c r="DJ184" s="270"/>
      <c r="DK184" s="270"/>
      <c r="DM184" s="270"/>
      <c r="DN184" s="270"/>
      <c r="DO184" s="270"/>
      <c r="DP184" s="270"/>
      <c r="DR184" s="267"/>
      <c r="DS184" s="270"/>
      <c r="DT184" s="270"/>
      <c r="DU184" s="270"/>
      <c r="DW184" s="267"/>
      <c r="DX184" s="270"/>
      <c r="DY184" s="270"/>
      <c r="DZ184" s="270"/>
      <c r="EB184" s="267"/>
      <c r="EC184" s="270"/>
      <c r="ED184" s="270"/>
      <c r="EE184" s="270"/>
      <c r="EG184" s="267"/>
      <c r="EH184" s="270"/>
      <c r="EI184" s="270"/>
      <c r="EJ184" s="270"/>
    </row>
    <row r="185" spans="1:140" hidden="1" outlineLevel="1">
      <c r="A185" s="171" t="s">
        <v>391</v>
      </c>
      <c r="B185" s="152"/>
      <c r="C185" s="152"/>
      <c r="D185" s="152"/>
      <c r="E185" s="152"/>
      <c r="F185" s="152"/>
      <c r="G185" s="152"/>
      <c r="H185" s="152"/>
      <c r="I185" s="152"/>
      <c r="J185" s="152"/>
      <c r="K185" s="152"/>
      <c r="L185" s="152"/>
      <c r="M185" s="152"/>
      <c r="N185" s="152"/>
      <c r="O185" s="152"/>
      <c r="P185" s="152"/>
      <c r="Q185" s="152"/>
      <c r="R185" s="152"/>
      <c r="S185" s="152"/>
      <c r="T185" s="152"/>
      <c r="U185" s="152"/>
      <c r="V185" s="152">
        <f t="shared" ref="V185:BC185" si="213">V184*V181</f>
        <v>0</v>
      </c>
      <c r="W185" s="152">
        <f t="shared" si="213"/>
        <v>0</v>
      </c>
      <c r="X185" s="152">
        <f t="shared" si="213"/>
        <v>0</v>
      </c>
      <c r="Y185" s="152">
        <f t="shared" si="213"/>
        <v>0</v>
      </c>
      <c r="Z185" s="152"/>
      <c r="AA185" s="152">
        <f t="shared" si="213"/>
        <v>7.6700000000000008</v>
      </c>
      <c r="AB185" s="152">
        <f t="shared" si="213"/>
        <v>8.8640000000000008</v>
      </c>
      <c r="AC185" s="152">
        <f t="shared" si="213"/>
        <v>12.540000000000001</v>
      </c>
      <c r="AD185" s="152">
        <f t="shared" si="213"/>
        <v>15.46875</v>
      </c>
      <c r="AE185" s="152"/>
      <c r="AF185" s="152">
        <f t="shared" si="213"/>
        <v>18.992100000000001</v>
      </c>
      <c r="AG185" s="152">
        <f t="shared" si="213"/>
        <v>10.29</v>
      </c>
      <c r="AH185" s="152">
        <f t="shared" si="213"/>
        <v>12.195119999999999</v>
      </c>
      <c r="AI185" s="152">
        <f t="shared" si="213"/>
        <v>13.127400000000002</v>
      </c>
      <c r="AJ185" s="152"/>
      <c r="AK185" s="152">
        <f t="shared" si="213"/>
        <v>11.264000000000001</v>
      </c>
      <c r="AL185" s="152">
        <f t="shared" si="213"/>
        <v>12.460799999999999</v>
      </c>
      <c r="AM185" s="152">
        <f t="shared" si="213"/>
        <v>14.256000000000002</v>
      </c>
      <c r="AN185" s="152">
        <f t="shared" si="213"/>
        <v>14.783999999999999</v>
      </c>
      <c r="AO185" s="152"/>
      <c r="AP185" s="152">
        <f t="shared" si="213"/>
        <v>15.51825</v>
      </c>
      <c r="AQ185" s="152">
        <f t="shared" si="213"/>
        <v>15.606000000000003</v>
      </c>
      <c r="AR185" s="152">
        <f t="shared" si="213"/>
        <v>12.25</v>
      </c>
      <c r="AS185" s="152">
        <f t="shared" si="213"/>
        <v>12.24</v>
      </c>
      <c r="AT185" s="152"/>
      <c r="AU185" s="152">
        <f t="shared" si="213"/>
        <v>17.337328767123285</v>
      </c>
      <c r="AV185" s="152">
        <f t="shared" si="213"/>
        <v>21.082191780821919</v>
      </c>
      <c r="AW185" s="152">
        <f t="shared" si="213"/>
        <v>30.78</v>
      </c>
      <c r="AX185" s="281">
        <f t="shared" si="213"/>
        <v>28.682400000000001</v>
      </c>
      <c r="AY185" s="152"/>
      <c r="AZ185" s="152">
        <f t="shared" si="213"/>
        <v>33.8820939334638</v>
      </c>
      <c r="BA185" s="152">
        <f t="shared" si="213"/>
        <v>53.364297945205479</v>
      </c>
      <c r="BB185" s="152">
        <f t="shared" si="213"/>
        <v>78.826691536203512</v>
      </c>
      <c r="BC185" s="152">
        <f t="shared" si="213"/>
        <v>79.614958451565556</v>
      </c>
      <c r="BD185" s="15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2"/>
      <c r="BS185" s="282"/>
      <c r="BT185" s="282"/>
      <c r="BU185" s="282"/>
      <c r="BV185" s="282"/>
      <c r="BW185" s="282"/>
      <c r="BX185" s="282"/>
      <c r="BY185" s="282"/>
      <c r="BZ185" s="282"/>
      <c r="CA185" s="282"/>
      <c r="CB185" s="307"/>
      <c r="CC185" s="282"/>
      <c r="CD185" s="282"/>
      <c r="CE185" s="282"/>
      <c r="CF185" s="282"/>
      <c r="CG185" s="282"/>
      <c r="CH185" s="282"/>
      <c r="CI185" s="282"/>
      <c r="CJ185" s="282"/>
      <c r="CK185" s="282"/>
      <c r="CL185" s="282"/>
      <c r="CM185" s="282"/>
      <c r="CN185" s="282"/>
      <c r="CO185" s="282"/>
      <c r="CP185" s="282"/>
      <c r="CQ185" s="282"/>
      <c r="CR185" s="282"/>
      <c r="CS185" s="282"/>
      <c r="CT185" s="282"/>
      <c r="CU185" s="282"/>
      <c r="CV185" s="282"/>
      <c r="CW185" s="282"/>
      <c r="CX185" s="267"/>
      <c r="CY185" s="267"/>
      <c r="CZ185" s="267"/>
      <c r="DA185" s="267"/>
      <c r="DB185" s="275"/>
      <c r="DC185" s="267"/>
      <c r="DD185" s="270"/>
      <c r="DE185" s="270"/>
      <c r="DF185" s="270"/>
      <c r="DH185" s="267"/>
      <c r="DI185" s="270"/>
      <c r="DJ185" s="270"/>
      <c r="DK185" s="270"/>
      <c r="DM185" s="270"/>
      <c r="DN185" s="270"/>
      <c r="DO185" s="270"/>
      <c r="DP185" s="270"/>
      <c r="DR185" s="267"/>
      <c r="DS185" s="270"/>
      <c r="DT185" s="270"/>
      <c r="DU185" s="270"/>
      <c r="DW185" s="267"/>
      <c r="DX185" s="270"/>
      <c r="DY185" s="270"/>
      <c r="DZ185" s="270"/>
      <c r="EB185" s="267"/>
      <c r="EC185" s="270"/>
      <c r="ED185" s="270"/>
      <c r="EE185" s="270"/>
      <c r="EG185" s="267"/>
      <c r="EH185" s="270"/>
      <c r="EI185" s="270"/>
      <c r="EJ185" s="270"/>
    </row>
    <row r="186" spans="1:140" hidden="1" outlineLevel="1">
      <c r="A186" s="171" t="s">
        <v>497</v>
      </c>
      <c r="B186" s="149"/>
      <c r="C186" s="149"/>
      <c r="D186" s="149"/>
      <c r="E186" s="149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/>
      <c r="S186" s="149"/>
      <c r="T186" s="149"/>
      <c r="U186" s="149"/>
      <c r="V186" s="149"/>
      <c r="W186" s="149"/>
      <c r="X186" s="149"/>
      <c r="Y186" s="204"/>
      <c r="Z186" s="204"/>
      <c r="AA186" s="204"/>
      <c r="AB186" s="204"/>
      <c r="AC186" s="204"/>
      <c r="AD186" s="204"/>
      <c r="AE186" s="204"/>
      <c r="AF186" s="204"/>
      <c r="AG186" s="204"/>
      <c r="AK186" s="308">
        <v>0.16</v>
      </c>
      <c r="AL186" s="308">
        <v>0.06</v>
      </c>
      <c r="AM186" s="308">
        <v>0.09</v>
      </c>
      <c r="AN186" s="308">
        <v>0.12</v>
      </c>
      <c r="AO186" s="308"/>
      <c r="AP186" s="308">
        <v>0.15</v>
      </c>
      <c r="AQ186" s="308">
        <v>0.16</v>
      </c>
      <c r="AR186" s="308">
        <v>0.18</v>
      </c>
      <c r="AS186" s="308">
        <v>0.2</v>
      </c>
      <c r="AT186" s="308"/>
      <c r="AU186" s="308">
        <v>0.21</v>
      </c>
      <c r="AV186" s="308">
        <v>0.23</v>
      </c>
      <c r="AW186" s="308">
        <v>0.27</v>
      </c>
      <c r="AX186" s="309">
        <v>0.27</v>
      </c>
      <c r="AY186" s="308"/>
      <c r="AZ186" s="308">
        <v>0.27</v>
      </c>
      <c r="BA186" s="308">
        <v>0.28000000000000003</v>
      </c>
      <c r="BB186" s="308">
        <v>0.28000000000000003</v>
      </c>
      <c r="BC186" s="308">
        <v>0.28000000000000003</v>
      </c>
      <c r="BD186" s="308"/>
      <c r="BE186" s="310"/>
      <c r="BF186" s="310"/>
      <c r="BG186" s="310"/>
      <c r="BH186" s="310"/>
      <c r="BI186" s="310"/>
      <c r="BJ186" s="310"/>
      <c r="BK186" s="310"/>
      <c r="BL186" s="310"/>
      <c r="BM186" s="310"/>
      <c r="BN186" s="310"/>
      <c r="BO186" s="310"/>
      <c r="BP186" s="310"/>
      <c r="BQ186" s="310"/>
      <c r="BR186" s="310"/>
      <c r="BS186" s="310"/>
      <c r="BT186" s="310"/>
      <c r="BU186" s="310"/>
      <c r="BV186" s="310"/>
      <c r="BW186" s="310"/>
      <c r="BX186" s="310"/>
      <c r="BY186" s="310"/>
      <c r="BZ186" s="310"/>
      <c r="CA186" s="310"/>
      <c r="CB186" s="311"/>
      <c r="CC186" s="310"/>
      <c r="CD186" s="310"/>
      <c r="CE186" s="310"/>
      <c r="CF186" s="310"/>
      <c r="CG186" s="310"/>
      <c r="CH186" s="310"/>
      <c r="CI186" s="310"/>
      <c r="CJ186" s="310"/>
      <c r="CK186" s="310"/>
      <c r="CL186" s="310"/>
      <c r="CM186" s="310"/>
      <c r="CN186" s="310"/>
      <c r="CO186" s="310"/>
      <c r="CP186" s="286"/>
      <c r="CQ186" s="286"/>
      <c r="CR186" s="286"/>
      <c r="CS186" s="286"/>
      <c r="CT186" s="286"/>
      <c r="CU186" s="286"/>
      <c r="CV186" s="286"/>
      <c r="CW186" s="286"/>
      <c r="CX186" s="267"/>
      <c r="CY186" s="267"/>
      <c r="CZ186" s="267"/>
      <c r="DA186" s="267"/>
      <c r="DB186" s="275"/>
      <c r="DC186" s="267"/>
      <c r="DD186" s="270"/>
      <c r="DE186" s="270"/>
      <c r="DF186" s="270"/>
      <c r="DH186" s="267"/>
      <c r="DI186" s="270"/>
      <c r="DJ186" s="270"/>
      <c r="DK186" s="270"/>
      <c r="DM186" s="270"/>
      <c r="DN186" s="270"/>
      <c r="DO186" s="270"/>
      <c r="DP186" s="270"/>
      <c r="DR186" s="267"/>
      <c r="DS186" s="270"/>
      <c r="DT186" s="270"/>
      <c r="DU186" s="270"/>
      <c r="DW186" s="267"/>
      <c r="DX186" s="270"/>
      <c r="DY186" s="270"/>
      <c r="DZ186" s="270"/>
      <c r="EB186" s="267"/>
      <c r="EC186" s="270"/>
      <c r="ED186" s="270"/>
      <c r="EE186" s="270"/>
      <c r="EG186" s="267"/>
      <c r="EH186" s="270"/>
      <c r="EI186" s="270"/>
      <c r="EJ186" s="270"/>
    </row>
    <row r="187" spans="1:140" hidden="1" outlineLevel="1">
      <c r="A187" s="171" t="s">
        <v>498</v>
      </c>
      <c r="B187" s="205"/>
      <c r="C187" s="205"/>
      <c r="D187" s="205"/>
      <c r="E187" s="205"/>
      <c r="F187" s="205"/>
      <c r="G187" s="205"/>
      <c r="H187" s="205"/>
      <c r="I187" s="205"/>
      <c r="J187" s="205"/>
      <c r="K187" s="205"/>
      <c r="L187" s="205"/>
      <c r="M187" s="205"/>
      <c r="N187" s="205"/>
      <c r="O187" s="205"/>
      <c r="P187" s="205"/>
      <c r="Q187" s="205"/>
      <c r="R187" s="205"/>
      <c r="S187" s="205"/>
      <c r="T187" s="205"/>
      <c r="U187" s="205"/>
      <c r="V187" s="205"/>
      <c r="W187" s="205"/>
      <c r="X187" s="205"/>
      <c r="Y187" s="205"/>
      <c r="Z187" s="205"/>
      <c r="AA187" s="205"/>
      <c r="AB187" s="205"/>
      <c r="AC187" s="205"/>
      <c r="AD187" s="205"/>
      <c r="AE187" s="205"/>
      <c r="AF187" s="205"/>
      <c r="AG187" s="152"/>
      <c r="AH187" s="152"/>
      <c r="AI187" s="152"/>
      <c r="AJ187" s="152"/>
      <c r="AK187" s="152">
        <f t="shared" ref="AK187:BC187" si="214">AK186*AK181</f>
        <v>5.6320000000000006</v>
      </c>
      <c r="AL187" s="152">
        <f t="shared" si="214"/>
        <v>2.3363999999999998</v>
      </c>
      <c r="AM187" s="152">
        <f t="shared" si="214"/>
        <v>4.0095000000000001</v>
      </c>
      <c r="AN187" s="152">
        <f t="shared" si="214"/>
        <v>5.5439999999999996</v>
      </c>
      <c r="AO187" s="152"/>
      <c r="AP187" s="152">
        <f t="shared" si="214"/>
        <v>7.05375</v>
      </c>
      <c r="AQ187" s="152">
        <f t="shared" si="214"/>
        <v>7.3440000000000012</v>
      </c>
      <c r="AR187" s="152">
        <f t="shared" si="214"/>
        <v>6.3</v>
      </c>
      <c r="AS187" s="152">
        <f t="shared" si="214"/>
        <v>6.8000000000000007</v>
      </c>
      <c r="AT187" s="152"/>
      <c r="AU187" s="152">
        <f t="shared" si="214"/>
        <v>10.402397260273972</v>
      </c>
      <c r="AV187" s="152">
        <f t="shared" si="214"/>
        <v>12.760273972602741</v>
      </c>
      <c r="AW187" s="152">
        <f t="shared" si="214"/>
        <v>21.87</v>
      </c>
      <c r="AX187" s="281">
        <f t="shared" si="214"/>
        <v>20.379600000000003</v>
      </c>
      <c r="AY187" s="152"/>
      <c r="AZ187" s="152">
        <f t="shared" si="214"/>
        <v>22.870413405088062</v>
      </c>
      <c r="BA187" s="152">
        <f t="shared" si="214"/>
        <v>35.576198630136986</v>
      </c>
      <c r="BB187" s="152">
        <f t="shared" si="214"/>
        <v>50.162440068493147</v>
      </c>
      <c r="BC187" s="152">
        <f t="shared" si="214"/>
        <v>50.664064469178086</v>
      </c>
      <c r="BD187" s="15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2"/>
      <c r="BS187" s="282"/>
      <c r="BT187" s="282"/>
      <c r="BU187" s="282"/>
      <c r="BV187" s="282"/>
      <c r="BW187" s="282"/>
      <c r="BX187" s="282"/>
      <c r="BY187" s="282"/>
      <c r="BZ187" s="282"/>
      <c r="CA187" s="282"/>
      <c r="CB187" s="307"/>
      <c r="CC187" s="282"/>
      <c r="CD187" s="282"/>
      <c r="CE187" s="282"/>
      <c r="CF187" s="282"/>
      <c r="CG187" s="282"/>
      <c r="CH187" s="282"/>
      <c r="CI187" s="282"/>
      <c r="CJ187" s="283"/>
      <c r="CK187" s="283"/>
      <c r="CL187" s="283"/>
      <c r="CM187" s="283"/>
      <c r="CN187" s="283"/>
      <c r="CO187" s="283"/>
      <c r="CP187" s="283"/>
      <c r="CQ187" s="283"/>
      <c r="CR187" s="282"/>
      <c r="CS187" s="283"/>
      <c r="CT187" s="283"/>
      <c r="CU187" s="283"/>
      <c r="CV187" s="283"/>
      <c r="CW187" s="282"/>
      <c r="CX187" s="267"/>
      <c r="CY187" s="267"/>
      <c r="CZ187" s="267"/>
      <c r="DA187" s="267"/>
      <c r="DB187" s="275"/>
      <c r="DC187" s="267"/>
      <c r="DD187" s="270"/>
      <c r="DE187" s="270"/>
      <c r="DF187" s="270"/>
      <c r="DH187" s="267"/>
      <c r="DI187" s="270"/>
      <c r="DJ187" s="270"/>
      <c r="DK187" s="270"/>
      <c r="DM187" s="270"/>
      <c r="DN187" s="270"/>
      <c r="DO187" s="270"/>
      <c r="DP187" s="270"/>
      <c r="DR187" s="267"/>
      <c r="DS187" s="270"/>
      <c r="DT187" s="270"/>
      <c r="DU187" s="270"/>
      <c r="DW187" s="267"/>
      <c r="DX187" s="270"/>
      <c r="DY187" s="270"/>
      <c r="DZ187" s="270"/>
      <c r="EB187" s="267"/>
      <c r="EC187" s="270"/>
      <c r="ED187" s="270"/>
      <c r="EE187" s="270"/>
      <c r="EG187" s="267"/>
      <c r="EH187" s="270"/>
      <c r="EI187" s="270"/>
      <c r="EJ187" s="270"/>
    </row>
    <row r="188" spans="1:140" hidden="1" outlineLevel="1">
      <c r="AD188" s="148"/>
      <c r="AE188" s="148"/>
      <c r="AF188" s="148"/>
      <c r="AM188" s="312"/>
      <c r="AQ188" s="187"/>
      <c r="AU188" s="204"/>
      <c r="AV188" s="187"/>
      <c r="AX188" s="313"/>
      <c r="AY188" s="204"/>
      <c r="AZ188" s="204"/>
      <c r="BB188" s="204"/>
      <c r="BC188" s="204"/>
      <c r="BD188" s="204"/>
      <c r="BE188" s="282"/>
      <c r="BF188" s="277"/>
      <c r="BG188" s="277"/>
      <c r="BH188" s="277"/>
      <c r="BI188" s="277"/>
      <c r="BJ188" s="277"/>
      <c r="BK188" s="277"/>
      <c r="BL188" s="314"/>
      <c r="BM188" s="314"/>
      <c r="BN188" s="314"/>
      <c r="BO188" s="314"/>
      <c r="BP188" s="314"/>
      <c r="BQ188" s="314"/>
      <c r="BR188" s="286"/>
      <c r="BS188" s="286"/>
      <c r="BT188" s="286"/>
      <c r="BU188" s="286"/>
      <c r="BV188" s="286"/>
      <c r="BW188" s="288"/>
      <c r="BX188" s="288"/>
      <c r="BY188" s="288"/>
      <c r="BZ188" s="288"/>
      <c r="CA188" s="286"/>
      <c r="CB188" s="315"/>
      <c r="CC188" s="286"/>
      <c r="CD188" s="286"/>
      <c r="CE188" s="285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75"/>
      <c r="DC188" s="286"/>
      <c r="DH188" s="286"/>
      <c r="DR188" s="286"/>
      <c r="DW188" s="286"/>
      <c r="EB188" s="286"/>
      <c r="EG188" s="286"/>
    </row>
    <row r="189" spans="1:140" hidden="1" outlineLevel="1">
      <c r="A189" s="147" t="s">
        <v>501</v>
      </c>
      <c r="AD189" s="148"/>
      <c r="AE189" s="148"/>
      <c r="AF189" s="148"/>
      <c r="AM189" s="312"/>
      <c r="AQ189" s="187"/>
      <c r="AU189" s="204"/>
      <c r="AV189" s="187"/>
      <c r="AX189" s="313"/>
      <c r="AY189" s="204"/>
      <c r="AZ189" s="204"/>
      <c r="BB189" s="204"/>
      <c r="BC189" s="204"/>
      <c r="BD189" s="204"/>
      <c r="BE189" s="286"/>
      <c r="BF189" s="286"/>
      <c r="BG189" s="288"/>
      <c r="BH189" s="288"/>
      <c r="BI189" s="288"/>
      <c r="BJ189" s="210"/>
      <c r="BK189" s="210"/>
      <c r="BL189" s="288"/>
      <c r="BM189" s="283"/>
      <c r="BN189" s="283"/>
      <c r="BO189" s="210"/>
      <c r="BP189" s="210"/>
      <c r="BQ189" s="288"/>
      <c r="BR189" s="210"/>
      <c r="BS189" s="210"/>
      <c r="BT189" s="210"/>
      <c r="BU189" s="285"/>
      <c r="BV189" s="288"/>
      <c r="BW189" s="285"/>
      <c r="BX189" s="285"/>
      <c r="BY189" s="285"/>
      <c r="BZ189" s="285"/>
      <c r="CA189" s="288"/>
      <c r="CB189" s="291"/>
      <c r="CC189" s="288"/>
      <c r="CD189" s="292"/>
      <c r="CE189" s="286"/>
      <c r="CF189" s="286"/>
      <c r="CG189" s="286"/>
      <c r="CH189" s="286"/>
      <c r="CI189" s="286"/>
      <c r="CJ189" s="286"/>
      <c r="CK189" s="286"/>
      <c r="CL189" s="288"/>
      <c r="CM189" s="288"/>
      <c r="CN189" s="282"/>
      <c r="CO189" s="282"/>
      <c r="CP189" s="282"/>
      <c r="CQ189" s="288"/>
      <c r="CR189" s="288"/>
      <c r="CS189" s="282"/>
      <c r="CT189" s="282"/>
      <c r="CU189" s="282"/>
      <c r="CV189" s="288"/>
      <c r="CW189" s="288"/>
      <c r="CX189" s="282"/>
      <c r="CY189" s="282"/>
      <c r="CZ189" s="282"/>
      <c r="DA189" s="288"/>
      <c r="DB189" s="275"/>
      <c r="DC189" s="286"/>
      <c r="DH189" s="286"/>
      <c r="DR189" s="286"/>
      <c r="DW189" s="286"/>
      <c r="EB189" s="286"/>
      <c r="EG189" s="286"/>
    </row>
    <row r="190" spans="1:140" hidden="1" outlineLevel="1">
      <c r="A190" s="171" t="s">
        <v>500</v>
      </c>
      <c r="AD190" s="148"/>
      <c r="AE190" s="148"/>
      <c r="AF190" s="148"/>
      <c r="AM190" s="312"/>
      <c r="AQ190" s="187"/>
      <c r="AU190" s="204"/>
      <c r="AV190" s="187"/>
      <c r="AX190" s="313"/>
      <c r="AY190" s="204"/>
      <c r="AZ190" s="174">
        <f>AZ192/AZ191</f>
        <v>0.74143684210526306</v>
      </c>
      <c r="BA190" s="174">
        <f>BA192/BA191</f>
        <v>0.67904533333333328</v>
      </c>
      <c r="BB190" s="174">
        <f>BB192/BB191</f>
        <v>0.82247567567567559</v>
      </c>
      <c r="BC190" s="174">
        <f>BC192/BC191</f>
        <v>0.9205808219178081</v>
      </c>
      <c r="BD190" s="174"/>
      <c r="BE190" s="285"/>
      <c r="BF190" s="285"/>
      <c r="BG190" s="285"/>
      <c r="BH190" s="285"/>
      <c r="BI190" s="285"/>
      <c r="BJ190" s="285"/>
      <c r="BK190" s="285"/>
      <c r="BL190" s="285"/>
      <c r="BM190" s="285"/>
      <c r="BN190" s="285"/>
      <c r="BO190" s="285"/>
      <c r="BP190" s="285"/>
      <c r="BQ190" s="285"/>
      <c r="BR190" s="285"/>
      <c r="BS190" s="285"/>
      <c r="BT190" s="285"/>
      <c r="BU190" s="285"/>
      <c r="BV190" s="285"/>
      <c r="BW190" s="285"/>
      <c r="BX190" s="285"/>
      <c r="BY190" s="285"/>
      <c r="BZ190" s="285"/>
      <c r="CA190" s="285"/>
      <c r="CB190" s="284"/>
      <c r="CC190" s="285"/>
      <c r="CD190" s="285"/>
      <c r="CE190" s="285"/>
      <c r="CF190" s="285"/>
      <c r="CG190" s="285"/>
      <c r="CH190" s="285"/>
      <c r="CI190" s="285"/>
      <c r="CJ190" s="285"/>
      <c r="CK190" s="285"/>
      <c r="CL190" s="285"/>
      <c r="CM190" s="285"/>
      <c r="CN190" s="285"/>
      <c r="CO190" s="285"/>
      <c r="CP190" s="285"/>
      <c r="CQ190" s="285"/>
      <c r="CR190" s="267"/>
      <c r="CS190" s="316"/>
      <c r="CT190" s="316"/>
      <c r="CU190" s="316"/>
      <c r="CV190" s="316"/>
      <c r="CW190" s="267"/>
      <c r="CX190" s="316"/>
      <c r="CY190" s="316"/>
      <c r="CZ190" s="316"/>
      <c r="DA190" s="316"/>
      <c r="DB190" s="275"/>
      <c r="DC190" s="316"/>
      <c r="DD190" s="316"/>
      <c r="DE190" s="316"/>
      <c r="DF190" s="316"/>
      <c r="DH190" s="316"/>
      <c r="DI190" s="316"/>
      <c r="DJ190" s="316"/>
      <c r="DK190" s="316"/>
      <c r="DM190" s="316"/>
      <c r="DN190" s="316"/>
      <c r="DO190" s="316"/>
      <c r="DP190" s="316"/>
      <c r="DR190" s="316"/>
      <c r="DS190" s="316"/>
      <c r="DT190" s="316"/>
      <c r="DU190" s="316"/>
      <c r="DW190" s="316"/>
      <c r="DX190" s="316"/>
      <c r="DY190" s="316"/>
      <c r="DZ190" s="316"/>
      <c r="EB190" s="316"/>
      <c r="EC190" s="316"/>
      <c r="ED190" s="316"/>
      <c r="EE190" s="316"/>
      <c r="EG190" s="316"/>
      <c r="EH190" s="316"/>
      <c r="EI190" s="316"/>
      <c r="EJ190" s="316"/>
    </row>
    <row r="191" spans="1:140" hidden="1" outlineLevel="1">
      <c r="A191" s="171" t="s">
        <v>492</v>
      </c>
      <c r="AD191" s="148"/>
      <c r="AE191" s="148"/>
      <c r="AF191" s="148"/>
      <c r="AM191" s="312"/>
      <c r="AQ191" s="187"/>
      <c r="AU191" s="204"/>
      <c r="AV191" s="187"/>
      <c r="AX191" s="313"/>
      <c r="AY191" s="204"/>
      <c r="AZ191" s="295">
        <v>190</v>
      </c>
      <c r="BA191" s="187">
        <f>AZ191-2.5</f>
        <v>187.5</v>
      </c>
      <c r="BB191" s="187">
        <f>BA191-2.5</f>
        <v>185</v>
      </c>
      <c r="BC191" s="187">
        <f>BB191-2.5</f>
        <v>182.5</v>
      </c>
      <c r="BD191" s="187"/>
      <c r="BE191" s="247"/>
      <c r="BF191" s="247"/>
      <c r="BG191" s="247"/>
      <c r="BH191" s="247"/>
      <c r="BI191" s="247"/>
      <c r="BJ191" s="247"/>
      <c r="BK191" s="247"/>
      <c r="BL191" s="247"/>
      <c r="BM191" s="247"/>
      <c r="BN191" s="247"/>
      <c r="BO191" s="247"/>
      <c r="BP191" s="247"/>
      <c r="BQ191" s="247"/>
      <c r="BR191" s="247"/>
      <c r="BS191" s="247"/>
      <c r="BT191" s="247"/>
      <c r="BU191" s="247"/>
      <c r="BV191" s="247"/>
      <c r="BW191" s="247"/>
      <c r="BX191" s="247"/>
      <c r="BY191" s="247"/>
      <c r="BZ191" s="247"/>
      <c r="CA191" s="247"/>
      <c r="CB191" s="248"/>
      <c r="CC191" s="247"/>
      <c r="CD191" s="247"/>
      <c r="CE191" s="247"/>
      <c r="CF191" s="247"/>
      <c r="CG191" s="247"/>
      <c r="CH191" s="247"/>
      <c r="CI191" s="247"/>
      <c r="CJ191" s="247"/>
      <c r="CK191" s="247"/>
      <c r="CL191" s="247"/>
      <c r="CM191" s="247"/>
      <c r="CN191" s="247"/>
      <c r="CO191" s="247"/>
      <c r="CP191" s="247"/>
      <c r="CQ191" s="247"/>
      <c r="CR191" s="267"/>
      <c r="CS191" s="296"/>
      <c r="CT191" s="296"/>
      <c r="CU191" s="296"/>
      <c r="CV191" s="296"/>
      <c r="CW191" s="267"/>
      <c r="CX191" s="296"/>
      <c r="CY191" s="296"/>
      <c r="CZ191" s="296"/>
      <c r="DA191" s="296"/>
      <c r="DB191" s="275"/>
      <c r="DC191" s="296"/>
      <c r="DD191" s="296"/>
      <c r="DE191" s="296"/>
      <c r="DF191" s="296"/>
      <c r="DH191" s="296"/>
      <c r="DI191" s="296"/>
      <c r="DJ191" s="296"/>
      <c r="DK191" s="296"/>
      <c r="DM191" s="296"/>
      <c r="DN191" s="296"/>
      <c r="DO191" s="296"/>
      <c r="DP191" s="296"/>
      <c r="DR191" s="296"/>
      <c r="DS191" s="296"/>
      <c r="DT191" s="296"/>
      <c r="DU191" s="296"/>
      <c r="DW191" s="296"/>
      <c r="DX191" s="296"/>
      <c r="DY191" s="296"/>
      <c r="DZ191" s="296"/>
      <c r="EB191" s="296"/>
      <c r="EC191" s="296"/>
      <c r="ED191" s="296"/>
      <c r="EE191" s="296"/>
      <c r="EG191" s="296"/>
      <c r="EH191" s="296"/>
      <c r="EI191" s="296"/>
      <c r="EJ191" s="296"/>
    </row>
    <row r="192" spans="1:140" s="251" customFormat="1" hidden="1" outlineLevel="1">
      <c r="A192" s="317" t="s">
        <v>502</v>
      </c>
      <c r="B192" s="318"/>
      <c r="C192" s="318"/>
      <c r="D192" s="318"/>
      <c r="E192" s="318"/>
      <c r="F192" s="318"/>
      <c r="G192" s="318"/>
      <c r="H192" s="318"/>
      <c r="I192" s="318"/>
      <c r="J192" s="318"/>
      <c r="K192" s="318"/>
      <c r="L192" s="318"/>
      <c r="M192" s="318"/>
      <c r="N192" s="318"/>
      <c r="O192" s="318"/>
      <c r="P192" s="318"/>
      <c r="Q192" s="318"/>
      <c r="R192" s="318"/>
      <c r="S192" s="318"/>
      <c r="T192" s="318"/>
      <c r="U192" s="318"/>
      <c r="V192" s="318"/>
      <c r="W192" s="318"/>
      <c r="X192" s="318"/>
      <c r="Y192" s="318"/>
      <c r="Z192" s="318"/>
      <c r="AA192" s="318"/>
      <c r="AB192" s="318"/>
      <c r="AC192" s="318"/>
      <c r="AD192" s="318"/>
      <c r="AE192" s="318"/>
      <c r="AF192" s="318"/>
      <c r="AM192" s="319"/>
      <c r="AX192" s="253"/>
      <c r="AZ192" s="320">
        <v>140.87299999999999</v>
      </c>
      <c r="BA192" s="320">
        <v>127.321</v>
      </c>
      <c r="BB192" s="320">
        <v>152.15799999999999</v>
      </c>
      <c r="BC192" s="320">
        <f>588.358-SUM(AZ192:BB192)</f>
        <v>168.00599999999997</v>
      </c>
      <c r="BD192" s="320"/>
      <c r="BE192" s="254"/>
      <c r="BF192" s="254"/>
      <c r="BG192" s="254"/>
      <c r="BH192" s="254"/>
      <c r="BI192" s="254"/>
      <c r="BJ192" s="254"/>
      <c r="BK192" s="254"/>
      <c r="BL192" s="254"/>
      <c r="BM192" s="254"/>
      <c r="BN192" s="254"/>
      <c r="BO192" s="254"/>
      <c r="BP192" s="254"/>
      <c r="BQ192" s="254"/>
      <c r="BR192" s="254"/>
      <c r="BS192" s="254"/>
      <c r="BT192" s="254"/>
      <c r="BU192" s="254"/>
      <c r="BV192" s="254"/>
      <c r="BW192" s="254"/>
      <c r="BX192" s="254"/>
      <c r="BY192" s="254"/>
      <c r="BZ192" s="254"/>
      <c r="CA192" s="254"/>
      <c r="CB192" s="256"/>
      <c r="CC192" s="254"/>
      <c r="CD192" s="254"/>
      <c r="CE192" s="254"/>
      <c r="CF192" s="254"/>
      <c r="CG192" s="254"/>
      <c r="CH192" s="254"/>
      <c r="CI192" s="254"/>
      <c r="CJ192" s="254"/>
      <c r="CK192" s="254"/>
      <c r="CL192" s="254"/>
      <c r="CM192" s="254"/>
      <c r="CN192" s="254"/>
      <c r="CO192" s="254"/>
      <c r="CP192" s="254"/>
      <c r="CQ192" s="254"/>
      <c r="CR192" s="254"/>
      <c r="CS192" s="258"/>
      <c r="CT192" s="258"/>
      <c r="CU192" s="258"/>
      <c r="CV192" s="258"/>
      <c r="CW192" s="254"/>
      <c r="CX192" s="258"/>
      <c r="CY192" s="258"/>
      <c r="CZ192" s="258"/>
      <c r="DA192" s="258"/>
      <c r="DB192" s="321"/>
      <c r="DC192" s="258"/>
      <c r="DD192" s="260"/>
      <c r="DE192" s="260"/>
      <c r="DF192" s="260"/>
      <c r="DH192" s="258"/>
      <c r="DI192" s="260"/>
      <c r="DJ192" s="260"/>
      <c r="DK192" s="260"/>
      <c r="DM192" s="260"/>
      <c r="DN192" s="260"/>
      <c r="DO192" s="260"/>
      <c r="DP192" s="260"/>
      <c r="DR192" s="258"/>
      <c r="DS192" s="260"/>
      <c r="DT192" s="260"/>
      <c r="DU192" s="260"/>
      <c r="DW192" s="258"/>
      <c r="DX192" s="260"/>
      <c r="DY192" s="260"/>
      <c r="DZ192" s="260"/>
      <c r="EB192" s="258"/>
      <c r="EC192" s="260"/>
      <c r="ED192" s="260"/>
      <c r="EE192" s="260"/>
      <c r="EG192" s="258"/>
      <c r="EH192" s="260"/>
      <c r="EI192" s="260"/>
      <c r="EJ192" s="260"/>
    </row>
    <row r="193" spans="1:140" s="271" customFormat="1" hidden="1" outlineLevel="2">
      <c r="A193" s="170" t="s">
        <v>494</v>
      </c>
      <c r="B193" s="262"/>
      <c r="C193" s="262"/>
      <c r="D193" s="262"/>
      <c r="E193" s="262"/>
      <c r="F193" s="262"/>
      <c r="G193" s="262"/>
      <c r="H193" s="262"/>
      <c r="I193" s="262"/>
      <c r="J193" s="262"/>
      <c r="K193" s="262"/>
      <c r="L193" s="262"/>
      <c r="M193" s="262"/>
      <c r="N193" s="262"/>
      <c r="O193" s="262"/>
      <c r="P193" s="262"/>
      <c r="Q193" s="262"/>
      <c r="R193" s="262"/>
      <c r="S193" s="262"/>
      <c r="T193" s="262"/>
      <c r="U193" s="262"/>
      <c r="V193" s="262"/>
      <c r="W193" s="262"/>
      <c r="X193" s="262"/>
      <c r="Y193" s="262"/>
      <c r="Z193" s="262"/>
      <c r="AA193" s="262"/>
      <c r="AB193" s="262"/>
      <c r="AC193" s="262"/>
      <c r="AD193" s="262"/>
      <c r="AE193" s="262"/>
      <c r="AF193" s="262"/>
      <c r="AG193" s="262"/>
      <c r="AH193" s="262"/>
      <c r="AI193" s="262"/>
      <c r="AJ193" s="262"/>
      <c r="AK193" s="262"/>
      <c r="AL193" s="262"/>
      <c r="AM193" s="262"/>
      <c r="AN193" s="262"/>
      <c r="AO193" s="262"/>
      <c r="AP193" s="262"/>
      <c r="AQ193" s="262"/>
      <c r="AR193" s="262"/>
      <c r="AS193" s="262"/>
      <c r="AT193" s="262"/>
      <c r="AU193" s="263"/>
      <c r="AV193" s="263"/>
      <c r="AW193" s="262"/>
      <c r="AX193" s="264"/>
      <c r="AY193" s="262"/>
      <c r="AZ193" s="262"/>
      <c r="BA193" s="262"/>
      <c r="BB193" s="262"/>
      <c r="BC193" s="262"/>
      <c r="BD193" s="262"/>
      <c r="BE193" s="265"/>
      <c r="BF193" s="265"/>
      <c r="BG193" s="265"/>
      <c r="BH193" s="266"/>
      <c r="BI193" s="266"/>
      <c r="BJ193" s="266"/>
      <c r="BK193" s="266"/>
      <c r="BL193" s="266"/>
      <c r="BM193" s="266"/>
      <c r="BN193" s="266"/>
      <c r="BO193" s="267"/>
      <c r="BP193" s="267"/>
      <c r="BQ193" s="267"/>
      <c r="BR193" s="267"/>
      <c r="BS193" s="267"/>
      <c r="BT193" s="267"/>
      <c r="BU193" s="267"/>
      <c r="BV193" s="267"/>
      <c r="BW193" s="267"/>
      <c r="BX193" s="267"/>
      <c r="BY193" s="267"/>
      <c r="BZ193" s="267"/>
      <c r="CA193" s="267"/>
      <c r="CB193" s="268"/>
      <c r="CC193" s="267"/>
      <c r="CD193" s="267"/>
      <c r="CE193" s="267"/>
      <c r="CF193" s="267"/>
      <c r="CG193" s="267"/>
      <c r="CH193" s="267"/>
      <c r="CI193" s="267"/>
      <c r="CJ193" s="267"/>
      <c r="CK193" s="267"/>
      <c r="CL193" s="267"/>
      <c r="CM193" s="267"/>
      <c r="CN193" s="267"/>
      <c r="CO193" s="267"/>
      <c r="CP193" s="267"/>
      <c r="CQ193" s="267"/>
      <c r="CR193" s="267"/>
      <c r="CS193" s="267"/>
      <c r="CT193" s="267"/>
      <c r="CU193" s="267"/>
      <c r="CV193" s="267"/>
      <c r="CW193" s="267"/>
      <c r="CX193" s="267"/>
      <c r="CY193" s="267"/>
      <c r="CZ193" s="267"/>
      <c r="DA193" s="267"/>
      <c r="DB193" s="269"/>
      <c r="DC193" s="267"/>
      <c r="DD193" s="270"/>
      <c r="DE193" s="270"/>
      <c r="DF193" s="270"/>
      <c r="DH193" s="267"/>
      <c r="DI193" s="270"/>
      <c r="DJ193" s="270"/>
      <c r="DK193" s="270"/>
      <c r="DM193" s="270"/>
      <c r="DN193" s="270"/>
      <c r="DO193" s="270"/>
      <c r="DP193" s="270"/>
      <c r="DR193" s="267"/>
      <c r="DS193" s="270"/>
      <c r="DT193" s="270"/>
      <c r="DU193" s="270"/>
      <c r="DW193" s="267"/>
      <c r="DX193" s="270"/>
      <c r="DY193" s="270"/>
      <c r="DZ193" s="270"/>
      <c r="EB193" s="267"/>
      <c r="EC193" s="270"/>
      <c r="ED193" s="270"/>
      <c r="EE193" s="270"/>
      <c r="EG193" s="267"/>
      <c r="EH193" s="270"/>
      <c r="EI193" s="270"/>
      <c r="EJ193" s="270"/>
    </row>
    <row r="194" spans="1:140" s="271" customFormat="1" hidden="1" outlineLevel="2">
      <c r="A194" s="170" t="s">
        <v>495</v>
      </c>
      <c r="B194" s="262"/>
      <c r="C194" s="262"/>
      <c r="D194" s="262"/>
      <c r="E194" s="262"/>
      <c r="F194" s="262"/>
      <c r="G194" s="262"/>
      <c r="H194" s="262"/>
      <c r="I194" s="262"/>
      <c r="J194" s="262"/>
      <c r="K194" s="262"/>
      <c r="L194" s="262"/>
      <c r="M194" s="262"/>
      <c r="N194" s="262"/>
      <c r="O194" s="262"/>
      <c r="P194" s="262"/>
      <c r="Q194" s="262"/>
      <c r="R194" s="262"/>
      <c r="S194" s="262"/>
      <c r="T194" s="262"/>
      <c r="U194" s="262"/>
      <c r="V194" s="262"/>
      <c r="W194" s="262"/>
      <c r="X194" s="262"/>
      <c r="Y194" s="262"/>
      <c r="Z194" s="262"/>
      <c r="AA194" s="262"/>
      <c r="AB194" s="262"/>
      <c r="AC194" s="262"/>
      <c r="AD194" s="262"/>
      <c r="AE194" s="262"/>
      <c r="AF194" s="262"/>
      <c r="AG194" s="262"/>
      <c r="AH194" s="262"/>
      <c r="AI194" s="262"/>
      <c r="AJ194" s="262"/>
      <c r="AK194" s="262"/>
      <c r="AL194" s="262"/>
      <c r="AM194" s="262"/>
      <c r="AN194" s="262"/>
      <c r="AO194" s="262"/>
      <c r="AP194" s="262"/>
      <c r="AQ194" s="262"/>
      <c r="AR194" s="262"/>
      <c r="AS194" s="262"/>
      <c r="AT194" s="262"/>
      <c r="AU194" s="263"/>
      <c r="AV194" s="263"/>
      <c r="AW194" s="262"/>
      <c r="AX194" s="264"/>
      <c r="AY194" s="262"/>
      <c r="AZ194" s="262"/>
      <c r="BA194" s="262"/>
      <c r="BB194" s="262"/>
      <c r="BC194" s="262"/>
      <c r="BD194" s="262"/>
      <c r="BE194" s="265"/>
      <c r="BF194" s="265"/>
      <c r="BG194" s="265"/>
      <c r="BH194" s="265"/>
      <c r="BI194" s="265"/>
      <c r="BJ194" s="266"/>
      <c r="BK194" s="266"/>
      <c r="BL194" s="266"/>
      <c r="BM194" s="266"/>
      <c r="BN194" s="266"/>
      <c r="BO194" s="267"/>
      <c r="BP194" s="267"/>
      <c r="BQ194" s="267"/>
      <c r="BR194" s="267"/>
      <c r="BS194" s="267"/>
      <c r="BT194" s="267"/>
      <c r="BU194" s="267"/>
      <c r="BV194" s="267"/>
      <c r="BW194" s="267"/>
      <c r="BX194" s="267"/>
      <c r="BY194" s="267"/>
      <c r="BZ194" s="267"/>
      <c r="CA194" s="267"/>
      <c r="CB194" s="268"/>
      <c r="CC194" s="267"/>
      <c r="CD194" s="267"/>
      <c r="CE194" s="267"/>
      <c r="CF194" s="267"/>
      <c r="CG194" s="267"/>
      <c r="CH194" s="267"/>
      <c r="CI194" s="267"/>
      <c r="CJ194" s="267"/>
      <c r="CK194" s="267"/>
      <c r="CL194" s="267"/>
      <c r="CM194" s="267"/>
      <c r="CN194" s="267"/>
      <c r="CO194" s="267"/>
      <c r="CP194" s="267"/>
      <c r="CQ194" s="267"/>
      <c r="CR194" s="267"/>
      <c r="CS194" s="267"/>
      <c r="CT194" s="267"/>
      <c r="CU194" s="267"/>
      <c r="CV194" s="267"/>
      <c r="CW194" s="267"/>
      <c r="CX194" s="267"/>
      <c r="CY194" s="267"/>
      <c r="CZ194" s="267"/>
      <c r="DA194" s="267"/>
      <c r="DB194" s="269"/>
      <c r="DC194" s="267"/>
      <c r="DD194" s="270"/>
      <c r="DE194" s="270"/>
      <c r="DF194" s="270"/>
      <c r="DH194" s="267"/>
      <c r="DI194" s="270"/>
      <c r="DJ194" s="270"/>
      <c r="DK194" s="270"/>
      <c r="DM194" s="270"/>
      <c r="DN194" s="270"/>
      <c r="DO194" s="270"/>
      <c r="DP194" s="270"/>
      <c r="DR194" s="267"/>
      <c r="DS194" s="270"/>
      <c r="DT194" s="270"/>
      <c r="DU194" s="270"/>
      <c r="DW194" s="267"/>
      <c r="DX194" s="270"/>
      <c r="DY194" s="270"/>
      <c r="DZ194" s="270"/>
      <c r="EB194" s="267"/>
      <c r="EC194" s="270"/>
      <c r="ED194" s="270"/>
      <c r="EE194" s="270"/>
      <c r="EG194" s="267"/>
      <c r="EH194" s="270"/>
      <c r="EI194" s="270"/>
      <c r="EJ194" s="270"/>
    </row>
    <row r="195" spans="1:140" s="271" customFormat="1" hidden="1" outlineLevel="2">
      <c r="A195" s="170"/>
      <c r="B195" s="262"/>
      <c r="C195" s="262"/>
      <c r="D195" s="262"/>
      <c r="E195" s="262"/>
      <c r="F195" s="262"/>
      <c r="G195" s="262"/>
      <c r="H195" s="262"/>
      <c r="I195" s="262"/>
      <c r="J195" s="262"/>
      <c r="K195" s="262"/>
      <c r="L195" s="262"/>
      <c r="M195" s="262"/>
      <c r="N195" s="262"/>
      <c r="O195" s="262"/>
      <c r="P195" s="262"/>
      <c r="Q195" s="262"/>
      <c r="R195" s="262"/>
      <c r="S195" s="262"/>
      <c r="T195" s="262"/>
      <c r="U195" s="262"/>
      <c r="V195" s="262"/>
      <c r="W195" s="262"/>
      <c r="X195" s="262"/>
      <c r="Y195" s="262"/>
      <c r="Z195" s="262"/>
      <c r="AA195" s="262"/>
      <c r="AB195" s="262"/>
      <c r="AC195" s="262"/>
      <c r="AD195" s="262"/>
      <c r="AE195" s="262"/>
      <c r="AF195" s="262"/>
      <c r="AG195" s="262"/>
      <c r="AH195" s="262"/>
      <c r="AI195" s="262"/>
      <c r="AJ195" s="262"/>
      <c r="AK195" s="262"/>
      <c r="AL195" s="262"/>
      <c r="AM195" s="262"/>
      <c r="AN195" s="262"/>
      <c r="AO195" s="262"/>
      <c r="AP195" s="262"/>
      <c r="AQ195" s="262"/>
      <c r="AR195" s="262"/>
      <c r="AS195" s="262"/>
      <c r="AT195" s="262"/>
      <c r="AU195" s="263"/>
      <c r="AV195" s="263"/>
      <c r="AW195" s="262"/>
      <c r="AX195" s="264"/>
      <c r="AY195" s="262"/>
      <c r="AZ195" s="262"/>
      <c r="BA195" s="262"/>
      <c r="BB195" s="262"/>
      <c r="BC195" s="262"/>
      <c r="BD195" s="262"/>
      <c r="BE195" s="265"/>
      <c r="BF195" s="265"/>
      <c r="BG195" s="265"/>
      <c r="BH195" s="265"/>
      <c r="BI195" s="265"/>
      <c r="BJ195" s="266"/>
      <c r="BK195" s="266"/>
      <c r="BL195" s="266"/>
      <c r="BM195" s="266"/>
      <c r="BN195" s="266"/>
      <c r="BO195" s="267"/>
      <c r="BP195" s="267"/>
      <c r="BQ195" s="267"/>
      <c r="BR195" s="267"/>
      <c r="BS195" s="267"/>
      <c r="BT195" s="267"/>
      <c r="BU195" s="267"/>
      <c r="BV195" s="267"/>
      <c r="BW195" s="267"/>
      <c r="BX195" s="267"/>
      <c r="BY195" s="267"/>
      <c r="BZ195" s="267"/>
      <c r="CA195" s="267"/>
      <c r="CB195" s="268"/>
      <c r="CC195" s="267"/>
      <c r="CD195" s="267"/>
      <c r="CE195" s="267"/>
      <c r="CF195" s="267"/>
      <c r="CG195" s="267"/>
      <c r="CH195" s="267"/>
      <c r="CI195" s="267"/>
      <c r="CJ195" s="267"/>
      <c r="CK195" s="267"/>
      <c r="CL195" s="267"/>
      <c r="CM195" s="267"/>
      <c r="CN195" s="267"/>
      <c r="CO195" s="267"/>
      <c r="CP195" s="267"/>
      <c r="CQ195" s="267"/>
      <c r="CR195" s="267"/>
      <c r="CS195" s="267"/>
      <c r="CT195" s="267"/>
      <c r="CU195" s="267"/>
      <c r="CV195" s="267"/>
      <c r="CW195" s="267"/>
      <c r="CX195" s="267"/>
      <c r="CY195" s="267"/>
      <c r="CZ195" s="267"/>
      <c r="DA195" s="267"/>
      <c r="DB195" s="269"/>
      <c r="DC195" s="267"/>
      <c r="DD195" s="270"/>
      <c r="DE195" s="270"/>
      <c r="DF195" s="270"/>
      <c r="DH195" s="267"/>
      <c r="DI195" s="270"/>
      <c r="DJ195" s="270"/>
      <c r="DK195" s="270"/>
      <c r="DM195" s="270"/>
      <c r="DN195" s="270"/>
      <c r="DO195" s="270"/>
      <c r="DP195" s="270"/>
      <c r="DR195" s="267"/>
      <c r="DS195" s="270"/>
      <c r="DT195" s="270"/>
      <c r="DU195" s="270"/>
      <c r="DW195" s="267"/>
      <c r="DX195" s="270"/>
      <c r="DY195" s="270"/>
      <c r="DZ195" s="270"/>
      <c r="EB195" s="267"/>
      <c r="EC195" s="270"/>
      <c r="ED195" s="270"/>
      <c r="EE195" s="270"/>
      <c r="EG195" s="267"/>
      <c r="EH195" s="270"/>
      <c r="EI195" s="270"/>
      <c r="EJ195" s="270"/>
    </row>
    <row r="196" spans="1:140" ht="18.75" hidden="1" customHeight="1" outlineLevel="1">
      <c r="A196" s="171" t="s">
        <v>496</v>
      </c>
      <c r="AD196" s="148"/>
      <c r="AE196" s="148"/>
      <c r="AF196" s="148"/>
      <c r="AM196" s="312"/>
      <c r="AQ196" s="187"/>
      <c r="AU196" s="204"/>
      <c r="AV196" s="187"/>
      <c r="AX196" s="313"/>
      <c r="AY196" s="204"/>
      <c r="AZ196" s="322">
        <v>0.6</v>
      </c>
      <c r="BA196" s="323">
        <v>0.6</v>
      </c>
      <c r="BB196" s="323">
        <v>0.6</v>
      </c>
      <c r="BC196" s="323">
        <v>0.6</v>
      </c>
      <c r="BD196" s="323"/>
      <c r="BE196" s="274"/>
      <c r="BF196" s="274"/>
      <c r="BG196" s="274"/>
      <c r="BH196" s="274"/>
      <c r="BI196" s="274"/>
      <c r="BJ196" s="274"/>
      <c r="BK196" s="274"/>
      <c r="BL196" s="274"/>
      <c r="BM196" s="274"/>
      <c r="BN196" s="274"/>
      <c r="BO196" s="274"/>
      <c r="BP196" s="274"/>
      <c r="BQ196" s="274"/>
      <c r="BR196" s="274"/>
      <c r="BS196" s="274"/>
      <c r="BT196" s="274"/>
      <c r="BU196" s="274"/>
      <c r="BV196" s="274"/>
      <c r="BW196" s="274"/>
      <c r="BX196" s="274"/>
      <c r="BY196" s="274"/>
      <c r="BZ196" s="274"/>
      <c r="CA196" s="274"/>
      <c r="CB196" s="324"/>
      <c r="CC196" s="274"/>
      <c r="CD196" s="274"/>
      <c r="CE196" s="274"/>
      <c r="CF196" s="274"/>
      <c r="CG196" s="274"/>
      <c r="CH196" s="274"/>
      <c r="CI196" s="274"/>
      <c r="CJ196" s="274"/>
      <c r="CK196" s="274"/>
      <c r="CL196" s="274"/>
      <c r="CM196" s="274"/>
      <c r="CN196" s="274"/>
      <c r="CO196" s="274"/>
      <c r="CP196" s="274"/>
      <c r="CQ196" s="274"/>
      <c r="CR196" s="267"/>
      <c r="CS196" s="274"/>
      <c r="CT196" s="274"/>
      <c r="CU196" s="274"/>
      <c r="CV196" s="274"/>
      <c r="CW196" s="267"/>
      <c r="CX196" s="267"/>
      <c r="CY196" s="267"/>
      <c r="CZ196" s="267"/>
      <c r="DA196" s="267"/>
      <c r="DB196" s="269"/>
      <c r="DC196" s="267"/>
      <c r="DD196" s="270"/>
      <c r="DE196" s="270"/>
      <c r="DF196" s="270"/>
      <c r="DH196" s="267"/>
      <c r="DI196" s="270"/>
      <c r="DJ196" s="270"/>
      <c r="DK196" s="270"/>
      <c r="DM196" s="270"/>
      <c r="DN196" s="270"/>
      <c r="DO196" s="270"/>
      <c r="DP196" s="270"/>
      <c r="DR196" s="267"/>
      <c r="DS196" s="270"/>
      <c r="DT196" s="270"/>
      <c r="DU196" s="270"/>
      <c r="DW196" s="267"/>
      <c r="DX196" s="270"/>
      <c r="DY196" s="270"/>
      <c r="DZ196" s="270"/>
      <c r="EB196" s="267"/>
      <c r="EC196" s="270"/>
      <c r="ED196" s="270"/>
      <c r="EE196" s="270"/>
      <c r="EG196" s="267"/>
      <c r="EH196" s="270"/>
      <c r="EI196" s="270"/>
      <c r="EJ196" s="270"/>
    </row>
    <row r="197" spans="1:140" hidden="1" outlineLevel="1">
      <c r="A197" s="171" t="s">
        <v>391</v>
      </c>
      <c r="AD197" s="148"/>
      <c r="AE197" s="148"/>
      <c r="AF197" s="148"/>
      <c r="AM197" s="312"/>
      <c r="AQ197" s="187"/>
      <c r="AU197" s="204"/>
      <c r="AV197" s="187"/>
      <c r="AX197" s="313"/>
      <c r="AY197" s="204"/>
      <c r="AZ197" s="152">
        <f>AZ196*AZ192</f>
        <v>84.523799999999994</v>
      </c>
      <c r="BA197" s="152">
        <f>BA196*BA192</f>
        <v>76.392600000000002</v>
      </c>
      <c r="BB197" s="152">
        <f>BB196*BB192</f>
        <v>91.294799999999995</v>
      </c>
      <c r="BC197" s="152">
        <f>BC196*BC192</f>
        <v>100.80359999999997</v>
      </c>
      <c r="BD197" s="15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2"/>
      <c r="BS197" s="282"/>
      <c r="BT197" s="282"/>
      <c r="BU197" s="282"/>
      <c r="BV197" s="282"/>
      <c r="BW197" s="282"/>
      <c r="BX197" s="282"/>
      <c r="BY197" s="282"/>
      <c r="BZ197" s="282"/>
      <c r="CA197" s="282"/>
      <c r="CB197" s="307"/>
      <c r="CC197" s="282"/>
      <c r="CD197" s="282"/>
      <c r="CE197" s="282"/>
      <c r="CF197" s="282"/>
      <c r="CG197" s="282"/>
      <c r="CH197" s="282"/>
      <c r="CI197" s="282"/>
      <c r="CJ197" s="282"/>
      <c r="CK197" s="282"/>
      <c r="CL197" s="282"/>
      <c r="CM197" s="282"/>
      <c r="CN197" s="282"/>
      <c r="CO197" s="282"/>
      <c r="CP197" s="282"/>
      <c r="CQ197" s="282"/>
      <c r="CR197" s="282"/>
      <c r="CS197" s="282"/>
      <c r="CT197" s="282"/>
      <c r="CU197" s="282"/>
      <c r="CV197" s="282"/>
      <c r="CW197" s="282"/>
      <c r="CX197" s="267"/>
      <c r="CY197" s="267"/>
      <c r="CZ197" s="267"/>
      <c r="DA197" s="267"/>
      <c r="DB197" s="269"/>
      <c r="DC197" s="267"/>
      <c r="DD197" s="270"/>
      <c r="DE197" s="270"/>
      <c r="DF197" s="270"/>
      <c r="DH197" s="267"/>
      <c r="DI197" s="270"/>
      <c r="DJ197" s="270"/>
      <c r="DK197" s="270"/>
      <c r="DM197" s="270"/>
      <c r="DN197" s="270"/>
      <c r="DO197" s="270"/>
      <c r="DP197" s="270"/>
      <c r="DR197" s="267"/>
      <c r="DS197" s="270"/>
      <c r="DT197" s="270"/>
      <c r="DU197" s="270"/>
      <c r="DW197" s="267"/>
      <c r="DX197" s="270"/>
      <c r="DY197" s="270"/>
      <c r="DZ197" s="270"/>
      <c r="EB197" s="267"/>
      <c r="EC197" s="270"/>
      <c r="ED197" s="270"/>
      <c r="EE197" s="270"/>
      <c r="EG197" s="267"/>
      <c r="EH197" s="270"/>
      <c r="EI197" s="270"/>
      <c r="EJ197" s="270"/>
    </row>
    <row r="198" spans="1:140" hidden="1" outlineLevel="1">
      <c r="A198" s="171" t="s">
        <v>497</v>
      </c>
      <c r="AD198" s="148"/>
      <c r="AE198" s="148"/>
      <c r="AF198" s="148"/>
      <c r="AM198" s="312"/>
      <c r="AQ198" s="187"/>
      <c r="AU198" s="204"/>
      <c r="AV198" s="187"/>
      <c r="AX198" s="313"/>
      <c r="AY198" s="204"/>
      <c r="AZ198" s="204">
        <f>AZ199/AZ192</f>
        <v>0.49198213994164963</v>
      </c>
      <c r="BA198" s="204">
        <f>BA199/BA192</f>
        <v>0.5212258778991683</v>
      </c>
      <c r="BB198" s="204">
        <f>BB199/BB192</f>
        <v>0.54010962289199393</v>
      </c>
      <c r="BC198" s="204">
        <f>BC199/BC192</f>
        <v>0.52107067604728385</v>
      </c>
      <c r="BD198" s="204"/>
      <c r="BE198" s="288"/>
      <c r="BF198" s="310"/>
      <c r="BG198" s="288"/>
      <c r="BH198" s="288"/>
      <c r="BI198" s="288"/>
      <c r="BJ198" s="288"/>
      <c r="BK198" s="288"/>
      <c r="BL198" s="288"/>
      <c r="BM198" s="288"/>
      <c r="BN198" s="288"/>
      <c r="BO198" s="288"/>
      <c r="BP198" s="288"/>
      <c r="BQ198" s="288"/>
      <c r="BR198" s="288"/>
      <c r="BS198" s="288"/>
      <c r="BT198" s="288"/>
      <c r="BU198" s="288"/>
      <c r="BV198" s="288"/>
      <c r="BW198" s="288"/>
      <c r="BX198" s="288"/>
      <c r="BY198" s="288"/>
      <c r="BZ198" s="288"/>
      <c r="CA198" s="288"/>
      <c r="CB198" s="311"/>
      <c r="CC198" s="310"/>
      <c r="CD198" s="310"/>
      <c r="CE198" s="310"/>
      <c r="CF198" s="310"/>
      <c r="CG198" s="310"/>
      <c r="CH198" s="310"/>
      <c r="CI198" s="310"/>
      <c r="CJ198" s="310"/>
      <c r="CK198" s="310"/>
      <c r="CL198" s="310"/>
      <c r="CM198" s="310"/>
      <c r="CN198" s="310"/>
      <c r="CO198" s="310"/>
      <c r="CP198" s="310"/>
      <c r="CQ198" s="310"/>
      <c r="CR198" s="286"/>
      <c r="CS198" s="286"/>
      <c r="CT198" s="286"/>
      <c r="CU198" s="286"/>
      <c r="CV198" s="286"/>
      <c r="CW198" s="286"/>
      <c r="CX198" s="267"/>
      <c r="CY198" s="267"/>
      <c r="CZ198" s="267"/>
      <c r="DA198" s="267"/>
      <c r="DB198" s="269"/>
      <c r="DC198" s="267"/>
      <c r="DD198" s="270"/>
      <c r="DE198" s="270"/>
      <c r="DF198" s="270"/>
      <c r="DH198" s="267"/>
      <c r="DI198" s="270"/>
      <c r="DJ198" s="270"/>
      <c r="DK198" s="270"/>
      <c r="DM198" s="270"/>
      <c r="DN198" s="270"/>
      <c r="DO198" s="270"/>
      <c r="DP198" s="270"/>
      <c r="DR198" s="267"/>
      <c r="DS198" s="270"/>
      <c r="DT198" s="270"/>
      <c r="DU198" s="270"/>
      <c r="DW198" s="267"/>
      <c r="DX198" s="270"/>
      <c r="DY198" s="270"/>
      <c r="DZ198" s="270"/>
      <c r="EB198" s="267"/>
      <c r="EC198" s="270"/>
      <c r="ED198" s="270"/>
      <c r="EE198" s="270"/>
      <c r="EG198" s="267"/>
      <c r="EH198" s="270"/>
      <c r="EI198" s="270"/>
      <c r="EJ198" s="270"/>
    </row>
    <row r="199" spans="1:140" hidden="1" outlineLevel="1">
      <c r="A199" s="171" t="s">
        <v>498</v>
      </c>
      <c r="AD199" s="148"/>
      <c r="AE199" s="148"/>
      <c r="AF199" s="148"/>
      <c r="AM199" s="312"/>
      <c r="AQ199" s="187"/>
      <c r="AU199" s="204"/>
      <c r="AV199" s="187"/>
      <c r="AX199" s="313"/>
      <c r="AY199" s="204"/>
      <c r="AZ199" s="325">
        <v>69.307000000000002</v>
      </c>
      <c r="BA199" s="325">
        <v>66.363</v>
      </c>
      <c r="BB199" s="326">
        <v>82.182000000000002</v>
      </c>
      <c r="BC199" s="326">
        <f>305.395-SUM(AZ199:BB199)</f>
        <v>87.54299999999995</v>
      </c>
      <c r="BD199" s="326"/>
      <c r="BE199" s="327"/>
      <c r="BF199" s="327"/>
      <c r="BG199" s="328"/>
      <c r="BH199" s="328"/>
      <c r="BI199" s="328"/>
      <c r="BJ199" s="328"/>
      <c r="BK199" s="328"/>
      <c r="BL199" s="329"/>
      <c r="BM199" s="330"/>
      <c r="BN199" s="330"/>
      <c r="BO199" s="330"/>
      <c r="BP199" s="330"/>
      <c r="BQ199" s="330"/>
      <c r="BR199" s="330"/>
      <c r="BS199" s="330"/>
      <c r="BT199" s="330"/>
      <c r="BU199" s="330"/>
      <c r="BV199" s="330"/>
      <c r="BW199" s="330"/>
      <c r="BX199" s="330"/>
      <c r="BY199" s="330"/>
      <c r="BZ199" s="330"/>
      <c r="CA199" s="330"/>
      <c r="CB199" s="331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75"/>
      <c r="DC199" s="286"/>
      <c r="DH199" s="286"/>
      <c r="DR199" s="286"/>
      <c r="DW199" s="286"/>
      <c r="EB199" s="286"/>
      <c r="EG199" s="286"/>
    </row>
    <row r="200" spans="1:140" hidden="1" outlineLevel="1">
      <c r="AD200" s="148"/>
      <c r="AE200" s="148"/>
      <c r="AF200" s="148"/>
      <c r="AH200" s="287"/>
      <c r="AI200" s="204"/>
      <c r="AJ200" s="204"/>
      <c r="AK200" s="204"/>
      <c r="AL200" s="204"/>
      <c r="AM200" s="204"/>
      <c r="AN200" s="151"/>
      <c r="AO200" s="151"/>
      <c r="AS200" s="204"/>
      <c r="AT200" s="204"/>
      <c r="AU200" s="204"/>
      <c r="AV200" s="204"/>
      <c r="AW200" s="204"/>
      <c r="AX200" s="241"/>
      <c r="AY200" s="229"/>
      <c r="AZ200" s="229"/>
      <c r="BA200" s="229"/>
      <c r="BB200" s="204"/>
      <c r="BC200" s="204"/>
      <c r="BD200" s="204"/>
      <c r="BE200" s="288"/>
      <c r="BF200" s="288"/>
      <c r="BG200" s="288"/>
      <c r="BH200" s="288"/>
      <c r="BI200" s="288"/>
      <c r="BJ200" s="288"/>
      <c r="BK200" s="210"/>
      <c r="BL200" s="210"/>
      <c r="BM200" s="210"/>
      <c r="BN200" s="210"/>
      <c r="BO200" s="210"/>
      <c r="BP200" s="210"/>
      <c r="BQ200" s="210"/>
      <c r="BR200" s="210"/>
      <c r="BS200" s="210"/>
      <c r="BT200" s="210"/>
      <c r="BU200" s="210"/>
      <c r="BV200" s="210"/>
      <c r="BW200" s="210"/>
      <c r="BX200" s="210"/>
      <c r="BY200" s="210"/>
      <c r="BZ200" s="210"/>
      <c r="CA200" s="210"/>
      <c r="CB200" s="278"/>
      <c r="CC200" s="277"/>
      <c r="CD200" s="277"/>
      <c r="CE200" s="277"/>
      <c r="CF200" s="210"/>
      <c r="CG200" s="210"/>
      <c r="CH200" s="210"/>
      <c r="CI200" s="210"/>
      <c r="CJ200" s="210"/>
      <c r="CK200" s="210"/>
      <c r="CL200" s="210"/>
      <c r="CM200" s="210"/>
      <c r="CN200" s="210"/>
      <c r="CO200" s="210"/>
      <c r="CP200" s="210"/>
      <c r="CQ200" s="210"/>
      <c r="CR200" s="210"/>
      <c r="CS200" s="210"/>
      <c r="CT200" s="210"/>
      <c r="CU200" s="210"/>
      <c r="CV200" s="210"/>
      <c r="CW200" s="210"/>
      <c r="CX200" s="210"/>
      <c r="CY200" s="210"/>
      <c r="CZ200" s="210"/>
      <c r="DA200" s="210"/>
      <c r="DB200" s="275"/>
      <c r="DC200" s="286"/>
      <c r="DH200" s="286"/>
      <c r="DR200" s="286"/>
      <c r="DW200" s="286"/>
      <c r="EB200" s="286"/>
      <c r="EG200" s="286"/>
    </row>
    <row r="201" spans="1:140" hidden="1" outlineLevel="2">
      <c r="A201" s="147" t="s">
        <v>503</v>
      </c>
      <c r="B201" s="149"/>
      <c r="C201" s="149"/>
      <c r="D201" s="149"/>
      <c r="E201" s="149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  <c r="R201" s="149"/>
      <c r="S201" s="149"/>
      <c r="T201" s="149"/>
      <c r="U201" s="149"/>
      <c r="V201" s="204"/>
      <c r="W201" s="204"/>
      <c r="X201" s="204"/>
      <c r="Y201" s="204"/>
      <c r="Z201" s="204"/>
      <c r="AA201" s="204"/>
      <c r="AB201" s="204"/>
      <c r="AC201" s="204"/>
      <c r="AD201" s="204"/>
      <c r="AE201" s="204"/>
      <c r="AF201" s="204"/>
      <c r="AG201" s="204"/>
      <c r="AH201" s="204"/>
      <c r="AI201" s="204"/>
      <c r="AJ201" s="204"/>
      <c r="AK201" s="204"/>
      <c r="AL201" s="204"/>
      <c r="AM201" s="204"/>
      <c r="AN201" s="204"/>
      <c r="AO201" s="204"/>
      <c r="AP201" s="204"/>
      <c r="AQ201" s="204"/>
      <c r="AR201" s="204"/>
      <c r="AS201" s="204"/>
      <c r="AT201" s="204"/>
      <c r="AU201" s="204"/>
      <c r="AV201" s="204"/>
      <c r="AW201" s="204"/>
      <c r="AX201" s="241"/>
      <c r="AY201" s="229"/>
      <c r="AZ201" s="229"/>
      <c r="BA201" s="229"/>
      <c r="BB201" s="204"/>
      <c r="BC201" s="204"/>
      <c r="BD201" s="204"/>
      <c r="BE201" s="288"/>
      <c r="BF201" s="288"/>
      <c r="BG201" s="288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2"/>
      <c r="BS201" s="282"/>
      <c r="BT201" s="282"/>
      <c r="BU201" s="282"/>
      <c r="BV201" s="282"/>
      <c r="BW201" s="282"/>
      <c r="BX201" s="282"/>
      <c r="BY201" s="282"/>
      <c r="BZ201" s="282"/>
      <c r="CA201" s="292"/>
      <c r="CB201" s="307"/>
      <c r="CC201" s="282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75"/>
      <c r="DC201" s="286"/>
      <c r="DH201" s="286"/>
      <c r="DR201" s="286"/>
      <c r="DW201" s="286"/>
      <c r="EB201" s="286"/>
      <c r="EG201" s="286"/>
    </row>
    <row r="202" spans="1:140" hidden="1" outlineLevel="2">
      <c r="A202" s="171" t="s">
        <v>489</v>
      </c>
      <c r="B202" s="149"/>
      <c r="C202" s="149"/>
      <c r="D202" s="149"/>
      <c r="E202" s="149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  <c r="R202" s="149"/>
      <c r="S202" s="149"/>
      <c r="T202" s="149"/>
      <c r="U202" s="149"/>
      <c r="V202" s="149"/>
      <c r="W202" s="149"/>
      <c r="X202" s="149"/>
      <c r="Y202" s="149"/>
      <c r="Z202" s="149"/>
      <c r="AA202" s="149"/>
      <c r="AB202" s="149"/>
      <c r="AC202" s="149"/>
      <c r="AD202" s="149"/>
      <c r="AE202" s="149"/>
      <c r="AF202" s="149"/>
      <c r="AK202" s="242">
        <v>45.537500000000001</v>
      </c>
      <c r="AL202" s="242">
        <v>44.372500000000002</v>
      </c>
      <c r="AM202" s="242">
        <v>55.424999999999997</v>
      </c>
      <c r="AN202" s="242">
        <v>58.542499999999997</v>
      </c>
      <c r="AO202" s="242"/>
      <c r="AP202" s="242">
        <v>53.481999999999999</v>
      </c>
      <c r="AQ202" s="242">
        <v>56.213999999999999</v>
      </c>
      <c r="AR202" s="242">
        <v>66.295000000000002</v>
      </c>
      <c r="AS202" s="242">
        <v>76.3</v>
      </c>
      <c r="AT202" s="242"/>
      <c r="AU202" s="242">
        <v>67.3</v>
      </c>
      <c r="AV202" s="242">
        <v>61.4</v>
      </c>
      <c r="AW202" s="235">
        <v>70.400000000000006</v>
      </c>
      <c r="AX202" s="236">
        <v>68.6875</v>
      </c>
      <c r="AY202" s="235"/>
      <c r="AZ202" s="235">
        <v>63.2</v>
      </c>
      <c r="BA202" s="235">
        <v>70.599999999999994</v>
      </c>
      <c r="BB202" s="235">
        <v>86.2</v>
      </c>
      <c r="BC202" s="242">
        <v>84.8</v>
      </c>
      <c r="BD202" s="24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2"/>
      <c r="BS202" s="282"/>
      <c r="BT202" s="282"/>
      <c r="BU202" s="282"/>
      <c r="BV202" s="282"/>
      <c r="BW202" s="282"/>
      <c r="BX202" s="282"/>
      <c r="BY202" s="282"/>
      <c r="BZ202" s="282"/>
      <c r="CA202" s="282"/>
      <c r="CB202" s="307"/>
      <c r="CC202" s="282"/>
      <c r="CD202" s="282"/>
      <c r="CE202" s="282"/>
      <c r="CF202" s="282"/>
      <c r="CG202" s="282"/>
      <c r="CH202" s="282"/>
      <c r="CI202" s="282"/>
      <c r="CJ202" s="332"/>
      <c r="CK202" s="282"/>
      <c r="CL202" s="282"/>
      <c r="CM202" s="282"/>
      <c r="CN202" s="282"/>
      <c r="CO202" s="282"/>
      <c r="CP202" s="282"/>
      <c r="CQ202" s="282"/>
      <c r="CR202" s="282"/>
      <c r="CS202" s="282"/>
      <c r="CT202" s="282"/>
      <c r="CU202" s="282"/>
      <c r="CV202" s="282"/>
      <c r="CW202" s="282"/>
      <c r="CX202" s="282"/>
      <c r="CY202" s="282"/>
      <c r="CZ202" s="282"/>
      <c r="DA202" s="282"/>
      <c r="DB202" s="275"/>
      <c r="DC202" s="286"/>
      <c r="DH202" s="286"/>
      <c r="DR202" s="286"/>
      <c r="DW202" s="286"/>
      <c r="EB202" s="286"/>
      <c r="EG202" s="286"/>
    </row>
    <row r="203" spans="1:140" hidden="1" outlineLevel="2">
      <c r="A203" s="171" t="s">
        <v>490</v>
      </c>
      <c r="B203" s="149"/>
      <c r="C203" s="149"/>
      <c r="D203" s="149"/>
      <c r="E203" s="149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  <c r="R203" s="149"/>
      <c r="S203" s="149"/>
      <c r="T203" s="149"/>
      <c r="U203" s="149"/>
      <c r="V203" s="149"/>
      <c r="W203" s="149"/>
      <c r="X203" s="149"/>
      <c r="Y203" s="149"/>
      <c r="Z203" s="149"/>
      <c r="AA203" s="149"/>
      <c r="AB203" s="149"/>
      <c r="AC203" s="149"/>
      <c r="AD203" s="149"/>
      <c r="AE203" s="149"/>
      <c r="AF203" s="149"/>
      <c r="AK203" s="229">
        <f t="shared" ref="AK203:AX203" si="215">AK204/AK202</f>
        <v>3.9527861652484217E-2</v>
      </c>
      <c r="AL203" s="229">
        <f t="shared" si="215"/>
        <v>3.3804721392754519E-2</v>
      </c>
      <c r="AM203" s="229">
        <f t="shared" si="215"/>
        <v>4.5105999097880017E-2</v>
      </c>
      <c r="AN203" s="229">
        <f t="shared" si="215"/>
        <v>5.1244822137763164E-2</v>
      </c>
      <c r="AO203" s="229"/>
      <c r="AP203" s="229">
        <f t="shared" si="215"/>
        <v>5.9833214913428821E-2</v>
      </c>
      <c r="AQ203" s="229">
        <f t="shared" si="215"/>
        <v>6.759881879958729E-2</v>
      </c>
      <c r="AR203" s="229">
        <f t="shared" si="215"/>
        <v>6.9386831586092462E-2</v>
      </c>
      <c r="AS203" s="229">
        <f t="shared" si="215"/>
        <v>7.8636959370904327E-2</v>
      </c>
      <c r="AT203" s="229"/>
      <c r="AU203" s="229">
        <f t="shared" si="215"/>
        <v>9.5096582466567617E-2</v>
      </c>
      <c r="AV203" s="229">
        <f t="shared" si="215"/>
        <v>0.12052117263843649</v>
      </c>
      <c r="AW203" s="229">
        <f t="shared" si="215"/>
        <v>0.14346590909090906</v>
      </c>
      <c r="AX203" s="241">
        <f t="shared" si="215"/>
        <v>0.17033666969972702</v>
      </c>
      <c r="AY203" s="229"/>
      <c r="AZ203" s="229">
        <f>AZ204/AZ202</f>
        <v>0.14240506329113922</v>
      </c>
      <c r="BA203" s="229">
        <f>BA204/BA202</f>
        <v>0.15580736543909349</v>
      </c>
      <c r="BB203" s="229">
        <v>0.153</v>
      </c>
      <c r="BC203" s="229">
        <f>BC204/BC202</f>
        <v>0.15330188679245282</v>
      </c>
      <c r="BD203" s="229"/>
      <c r="BE203" s="272"/>
      <c r="BF203" s="272"/>
      <c r="BG203" s="272"/>
      <c r="BH203" s="272"/>
      <c r="BI203" s="272"/>
      <c r="BJ203" s="272"/>
      <c r="BK203" s="272"/>
      <c r="BL203" s="272"/>
      <c r="BM203" s="272"/>
      <c r="BN203" s="272"/>
      <c r="BO203" s="272"/>
      <c r="BP203" s="272"/>
      <c r="BQ203" s="272"/>
      <c r="BR203" s="272"/>
      <c r="BS203" s="272"/>
      <c r="BT203" s="272"/>
      <c r="BU203" s="272"/>
      <c r="BV203" s="272"/>
      <c r="BW203" s="272"/>
      <c r="BX203" s="272"/>
      <c r="BY203" s="272"/>
      <c r="BZ203" s="272"/>
      <c r="CA203" s="272"/>
      <c r="CB203" s="273"/>
      <c r="CC203" s="272"/>
      <c r="CD203" s="272"/>
      <c r="CE203" s="272"/>
      <c r="CF203" s="272"/>
      <c r="CG203" s="272"/>
      <c r="CH203" s="272"/>
      <c r="CI203" s="272"/>
      <c r="CJ203" s="333"/>
      <c r="CK203" s="272"/>
      <c r="CL203" s="272"/>
      <c r="CM203" s="272"/>
      <c r="CN203" s="272"/>
      <c r="CO203" s="272"/>
      <c r="CP203" s="272"/>
      <c r="CQ203" s="272"/>
      <c r="CR203" s="272"/>
      <c r="CS203" s="272"/>
      <c r="CT203" s="272"/>
      <c r="CU203" s="272"/>
      <c r="CV203" s="272"/>
      <c r="CW203" s="272"/>
      <c r="CX203" s="272"/>
      <c r="CY203" s="272"/>
      <c r="CZ203" s="272"/>
      <c r="DA203" s="272"/>
      <c r="DB203" s="275"/>
      <c r="DC203" s="286"/>
      <c r="DH203" s="286"/>
      <c r="DR203" s="286"/>
      <c r="DW203" s="286"/>
      <c r="EB203" s="286"/>
      <c r="EG203" s="286"/>
    </row>
    <row r="204" spans="1:140" hidden="1" outlineLevel="2">
      <c r="A204" s="171" t="s">
        <v>500</v>
      </c>
      <c r="B204" s="186"/>
      <c r="C204" s="186"/>
      <c r="D204" s="186"/>
      <c r="E204" s="186"/>
      <c r="F204" s="186"/>
      <c r="G204" s="186"/>
      <c r="H204" s="186"/>
      <c r="I204" s="186"/>
      <c r="J204" s="186"/>
      <c r="K204" s="186"/>
      <c r="L204" s="186"/>
      <c r="M204" s="186"/>
      <c r="N204" s="186"/>
      <c r="O204" s="186"/>
      <c r="P204" s="186"/>
      <c r="Q204" s="186"/>
      <c r="R204" s="186"/>
      <c r="S204" s="186"/>
      <c r="T204" s="186"/>
      <c r="U204" s="186"/>
      <c r="V204" s="242">
        <v>0</v>
      </c>
      <c r="W204" s="242">
        <v>0</v>
      </c>
      <c r="X204" s="242">
        <v>0.06</v>
      </c>
      <c r="Y204" s="242">
        <v>0.18</v>
      </c>
      <c r="Z204" s="242"/>
      <c r="AA204" s="242">
        <v>0.4</v>
      </c>
      <c r="AB204" s="242">
        <v>0.33</v>
      </c>
      <c r="AC204" s="242">
        <v>0.55000000000000004</v>
      </c>
      <c r="AD204" s="242">
        <v>0.77500000000000002</v>
      </c>
      <c r="AE204" s="242"/>
      <c r="AF204" s="242">
        <v>1.6</v>
      </c>
      <c r="AG204" s="242">
        <v>1.7</v>
      </c>
      <c r="AH204" s="242">
        <v>2.2000000000000002</v>
      </c>
      <c r="AI204" s="242">
        <v>2.5</v>
      </c>
      <c r="AJ204" s="242"/>
      <c r="AK204" s="242">
        <f>1.8</f>
        <v>1.8</v>
      </c>
      <c r="AL204" s="242">
        <f>1.5</f>
        <v>1.5</v>
      </c>
      <c r="AM204" s="242">
        <v>2.5</v>
      </c>
      <c r="AN204" s="242">
        <v>3</v>
      </c>
      <c r="AO204" s="242"/>
      <c r="AP204" s="242">
        <v>3.2</v>
      </c>
      <c r="AQ204" s="242">
        <v>3.8</v>
      </c>
      <c r="AR204" s="242">
        <v>4.5999999999999996</v>
      </c>
      <c r="AS204" s="242">
        <v>6</v>
      </c>
      <c r="AT204" s="242"/>
      <c r="AU204" s="242">
        <v>6.4</v>
      </c>
      <c r="AV204" s="235">
        <v>7.4</v>
      </c>
      <c r="AW204" s="243">
        <v>10.1</v>
      </c>
      <c r="AX204" s="244">
        <v>11.7</v>
      </c>
      <c r="AY204" s="243"/>
      <c r="AZ204" s="243">
        <v>9</v>
      </c>
      <c r="BA204" s="243">
        <v>11</v>
      </c>
      <c r="BB204" s="243">
        <f>BB203*BB202</f>
        <v>13.188600000000001</v>
      </c>
      <c r="BC204" s="235">
        <v>13</v>
      </c>
      <c r="BD204" s="235"/>
      <c r="BE204" s="277"/>
      <c r="BF204" s="277"/>
      <c r="BG204" s="277"/>
      <c r="BH204" s="277"/>
      <c r="BI204" s="277"/>
      <c r="BJ204" s="277"/>
      <c r="BK204" s="277"/>
      <c r="BL204" s="277"/>
      <c r="BM204" s="277"/>
      <c r="BN204" s="277"/>
      <c r="BO204" s="277"/>
      <c r="BP204" s="277"/>
      <c r="BQ204" s="277"/>
      <c r="BR204" s="277"/>
      <c r="BS204" s="277"/>
      <c r="BT204" s="277"/>
      <c r="BU204" s="277"/>
      <c r="BV204" s="277"/>
      <c r="BW204" s="277"/>
      <c r="BX204" s="277"/>
      <c r="BY204" s="277"/>
      <c r="BZ204" s="277"/>
      <c r="CA204" s="277"/>
      <c r="CB204" s="278"/>
      <c r="CC204" s="277"/>
      <c r="CD204" s="277"/>
      <c r="CE204" s="277"/>
      <c r="CF204" s="277"/>
      <c r="CG204" s="277"/>
      <c r="CH204" s="277"/>
      <c r="CI204" s="277"/>
      <c r="CJ204" s="277"/>
      <c r="CK204" s="277"/>
      <c r="CL204" s="277"/>
      <c r="CM204" s="277"/>
      <c r="CN204" s="277"/>
      <c r="CO204" s="277"/>
      <c r="CP204" s="277"/>
      <c r="CQ204" s="277"/>
      <c r="CR204" s="277"/>
      <c r="CS204" s="277"/>
      <c r="CT204" s="277"/>
      <c r="CU204" s="277"/>
      <c r="CV204" s="277"/>
      <c r="CW204" s="277"/>
      <c r="CX204" s="277"/>
      <c r="CY204" s="277"/>
      <c r="CZ204" s="277"/>
      <c r="DA204" s="277"/>
      <c r="DB204" s="275"/>
      <c r="DC204" s="286"/>
      <c r="DH204" s="286"/>
      <c r="DR204" s="286"/>
      <c r="DW204" s="286"/>
      <c r="EB204" s="286"/>
      <c r="EG204" s="286"/>
    </row>
    <row r="205" spans="1:140" hidden="1" outlineLevel="2">
      <c r="A205" s="171" t="s">
        <v>492</v>
      </c>
      <c r="B205" s="334"/>
      <c r="C205" s="334"/>
      <c r="D205" s="334"/>
      <c r="E205" s="334"/>
      <c r="F205" s="334"/>
      <c r="G205" s="334"/>
      <c r="H205" s="334"/>
      <c r="I205" s="334"/>
      <c r="J205" s="334"/>
      <c r="K205" s="334"/>
      <c r="L205" s="334"/>
      <c r="M205" s="334"/>
      <c r="N205" s="334"/>
      <c r="O205" s="334"/>
      <c r="P205" s="334"/>
      <c r="Q205" s="334"/>
      <c r="R205" s="334"/>
      <c r="S205" s="334"/>
      <c r="T205" s="334"/>
      <c r="U205" s="334"/>
      <c r="V205" s="187"/>
      <c r="W205" s="187"/>
      <c r="X205" s="187">
        <v>16</v>
      </c>
      <c r="Y205" s="187">
        <v>16</v>
      </c>
      <c r="Z205" s="187"/>
      <c r="AA205" s="187">
        <v>16</v>
      </c>
      <c r="AB205" s="187">
        <v>16</v>
      </c>
      <c r="AC205" s="187">
        <v>16</v>
      </c>
      <c r="AD205" s="187">
        <v>16</v>
      </c>
      <c r="AE205" s="187"/>
      <c r="AF205" s="187">
        <v>20</v>
      </c>
      <c r="AG205" s="187">
        <v>20</v>
      </c>
      <c r="AH205" s="187">
        <v>20</v>
      </c>
      <c r="AI205" s="187">
        <v>20</v>
      </c>
      <c r="AJ205" s="187"/>
      <c r="AK205" s="187">
        <f t="shared" ref="AK205:AV205" si="216">AK206/AK204</f>
        <v>18.324444444444449</v>
      </c>
      <c r="AL205" s="187">
        <f t="shared" si="216"/>
        <v>20.242666666666668</v>
      </c>
      <c r="AM205" s="187">
        <f t="shared" si="216"/>
        <v>16.956399999999995</v>
      </c>
      <c r="AN205" s="187">
        <f t="shared" si="216"/>
        <v>19.934000000000008</v>
      </c>
      <c r="AO205" s="187"/>
      <c r="AP205" s="187">
        <f t="shared" si="216"/>
        <v>22.439062500000002</v>
      </c>
      <c r="AQ205" s="187">
        <f t="shared" si="216"/>
        <v>19.966315789473686</v>
      </c>
      <c r="AR205" s="187">
        <f t="shared" si="216"/>
        <v>19.636739130434783</v>
      </c>
      <c r="AS205" s="187">
        <f t="shared" si="216"/>
        <v>19.052166666666665</v>
      </c>
      <c r="AT205" s="187"/>
      <c r="AU205" s="187">
        <f t="shared" si="216"/>
        <v>18.497499999999999</v>
      </c>
      <c r="AV205" s="295">
        <f t="shared" si="216"/>
        <v>18.802837837837835</v>
      </c>
      <c r="AW205" s="295">
        <v>18.5</v>
      </c>
      <c r="AX205" s="335">
        <f t="shared" ref="AX205:BC205" si="217">AX206/AX204</f>
        <v>18.507863247863245</v>
      </c>
      <c r="AY205" s="295"/>
      <c r="AZ205" s="295">
        <f t="shared" si="217"/>
        <v>16.527777777777779</v>
      </c>
      <c r="BA205" s="295">
        <f t="shared" si="217"/>
        <v>14.641636363636364</v>
      </c>
      <c r="BB205" s="295">
        <f t="shared" si="217"/>
        <v>15.024415025097433</v>
      </c>
      <c r="BC205" s="295">
        <f t="shared" si="217"/>
        <v>15.568769230769227</v>
      </c>
      <c r="BD205" s="295"/>
      <c r="BE205" s="247"/>
      <c r="BF205" s="247"/>
      <c r="BG205" s="247"/>
      <c r="BH205" s="247"/>
      <c r="BI205" s="247"/>
      <c r="BJ205" s="247"/>
      <c r="BK205" s="247"/>
      <c r="BL205" s="247"/>
      <c r="BM205" s="247"/>
      <c r="BN205" s="247"/>
      <c r="BO205" s="247"/>
      <c r="BP205" s="247"/>
      <c r="BQ205" s="247"/>
      <c r="BR205" s="247"/>
      <c r="BS205" s="247"/>
      <c r="BT205" s="247"/>
      <c r="BU205" s="247"/>
      <c r="BV205" s="247"/>
      <c r="BW205" s="247"/>
      <c r="BX205" s="247"/>
      <c r="BY205" s="247"/>
      <c r="BZ205" s="247"/>
      <c r="CA205" s="247"/>
      <c r="CB205" s="248"/>
      <c r="CC205" s="247"/>
      <c r="CD205" s="247"/>
      <c r="CE205" s="247"/>
      <c r="CF205" s="247"/>
      <c r="CG205" s="247"/>
      <c r="CH205" s="247"/>
      <c r="CI205" s="247"/>
      <c r="CJ205" s="247"/>
      <c r="CK205" s="247"/>
      <c r="CL205" s="247"/>
      <c r="CM205" s="247"/>
      <c r="CN205" s="247"/>
      <c r="CO205" s="247"/>
      <c r="CP205" s="247"/>
      <c r="CQ205" s="247"/>
      <c r="CR205" s="247"/>
      <c r="CS205" s="247"/>
      <c r="CT205" s="247"/>
      <c r="CU205" s="247"/>
      <c r="CV205" s="247"/>
      <c r="CW205" s="247"/>
      <c r="CX205" s="247"/>
      <c r="CY205" s="247"/>
      <c r="CZ205" s="247"/>
      <c r="DA205" s="247"/>
      <c r="DB205" s="275"/>
      <c r="DC205" s="286"/>
      <c r="DH205" s="286"/>
      <c r="DR205" s="286"/>
      <c r="DW205" s="286"/>
      <c r="EB205" s="286"/>
      <c r="EG205" s="286"/>
    </row>
    <row r="206" spans="1:140" hidden="1" outlineLevel="2">
      <c r="A206" s="171" t="s">
        <v>493</v>
      </c>
      <c r="B206" s="186"/>
      <c r="C206" s="186"/>
      <c r="D206" s="186"/>
      <c r="E206" s="186"/>
      <c r="F206" s="186"/>
      <c r="G206" s="186"/>
      <c r="H206" s="186"/>
      <c r="I206" s="186"/>
      <c r="J206" s="186"/>
      <c r="K206" s="186"/>
      <c r="L206" s="186"/>
      <c r="M206" s="186"/>
      <c r="N206" s="186"/>
      <c r="O206" s="186"/>
      <c r="P206" s="186"/>
      <c r="Q206" s="186"/>
      <c r="R206" s="186"/>
      <c r="S206" s="186"/>
      <c r="T206" s="186"/>
      <c r="U206" s="186"/>
      <c r="V206" s="186">
        <f t="shared" ref="V206:AC206" si="218">V205*V204</f>
        <v>0</v>
      </c>
      <c r="W206" s="186">
        <f t="shared" si="218"/>
        <v>0</v>
      </c>
      <c r="X206" s="186">
        <f t="shared" si="218"/>
        <v>0.96</v>
      </c>
      <c r="Y206" s="186">
        <f t="shared" si="218"/>
        <v>2.88</v>
      </c>
      <c r="Z206" s="186"/>
      <c r="AA206" s="186">
        <f t="shared" si="218"/>
        <v>6.4</v>
      </c>
      <c r="AB206" s="186">
        <f t="shared" si="218"/>
        <v>5.28</v>
      </c>
      <c r="AC206" s="186">
        <f t="shared" si="218"/>
        <v>8.8000000000000007</v>
      </c>
      <c r="AD206" s="186">
        <f>AC206*1.25</f>
        <v>11</v>
      </c>
      <c r="AE206" s="186"/>
      <c r="AF206" s="186">
        <f>AD206*1.8</f>
        <v>19.8</v>
      </c>
      <c r="AG206" s="186">
        <f>AG205*AG204</f>
        <v>34</v>
      </c>
      <c r="AH206" s="186">
        <f>AG206*1.6</f>
        <v>54.400000000000006</v>
      </c>
      <c r="AI206" s="186">
        <f>AI205*AI204</f>
        <v>50</v>
      </c>
      <c r="AJ206" s="186"/>
      <c r="AK206" s="235">
        <f>173.859-AL206-AK216-AL216</f>
        <v>32.984000000000009</v>
      </c>
      <c r="AL206" s="235">
        <f>117.086-AL216</f>
        <v>30.364000000000004</v>
      </c>
      <c r="AM206" s="235">
        <f>151.391-AM216</f>
        <v>42.390999999999991</v>
      </c>
      <c r="AN206" s="235">
        <f>424.052-SUM(AK216:AN216,AK206:AM206)</f>
        <v>59.802000000000021</v>
      </c>
      <c r="AO206" s="235"/>
      <c r="AP206" s="235">
        <v>71.805000000000007</v>
      </c>
      <c r="AQ206" s="235">
        <v>75.872</v>
      </c>
      <c r="AR206" s="242">
        <v>90.328999999999994</v>
      </c>
      <c r="AS206" s="235">
        <f>352.319-SUM(AP206:AR206)</f>
        <v>114.31299999999999</v>
      </c>
      <c r="AT206" s="235"/>
      <c r="AU206" s="242">
        <v>118.384</v>
      </c>
      <c r="AV206" s="242">
        <v>139.14099999999999</v>
      </c>
      <c r="AW206" s="242">
        <v>187.416</v>
      </c>
      <c r="AX206" s="294">
        <f>661.483-SUM(AU206:AW206)</f>
        <v>216.54199999999997</v>
      </c>
      <c r="AY206" s="242"/>
      <c r="AZ206" s="242">
        <v>148.75</v>
      </c>
      <c r="BA206" s="235">
        <v>161.05799999999999</v>
      </c>
      <c r="BB206" s="235">
        <v>198.15100000000001</v>
      </c>
      <c r="BC206" s="235">
        <f>710.353-SUM(AZ206:BB206)</f>
        <v>202.39399999999995</v>
      </c>
      <c r="BD206" s="235"/>
      <c r="BE206" s="277"/>
      <c r="BF206" s="277"/>
      <c r="BG206" s="277"/>
      <c r="BH206" s="277"/>
      <c r="BI206" s="277"/>
      <c r="BJ206" s="277"/>
      <c r="BK206" s="277"/>
      <c r="BL206" s="277"/>
      <c r="BM206" s="277"/>
      <c r="BN206" s="277"/>
      <c r="BO206" s="277"/>
      <c r="BP206" s="277"/>
      <c r="BQ206" s="277"/>
      <c r="BR206" s="277"/>
      <c r="BS206" s="277"/>
      <c r="BT206" s="277"/>
      <c r="BU206" s="277"/>
      <c r="BV206" s="277"/>
      <c r="BW206" s="277"/>
      <c r="BX206" s="277"/>
      <c r="BY206" s="277"/>
      <c r="BZ206" s="277"/>
      <c r="CA206" s="277"/>
      <c r="CB206" s="278"/>
      <c r="CC206" s="277"/>
      <c r="CD206" s="277"/>
      <c r="CE206" s="277"/>
      <c r="CF206" s="277"/>
      <c r="CG206" s="277"/>
      <c r="CH206" s="277"/>
      <c r="CI206" s="277"/>
      <c r="CJ206" s="277"/>
      <c r="CK206" s="277"/>
      <c r="CL206" s="277"/>
      <c r="CM206" s="277"/>
      <c r="CN206" s="277"/>
      <c r="CO206" s="277"/>
      <c r="CP206" s="277"/>
      <c r="CQ206" s="277"/>
      <c r="CR206" s="277"/>
      <c r="CS206" s="277"/>
      <c r="CT206" s="277"/>
      <c r="CU206" s="277"/>
      <c r="CV206" s="277"/>
      <c r="CW206" s="277"/>
      <c r="CX206" s="277"/>
      <c r="CY206" s="277"/>
      <c r="CZ206" s="277"/>
      <c r="DA206" s="277"/>
      <c r="DB206" s="275"/>
      <c r="DC206" s="286"/>
      <c r="DH206" s="286"/>
      <c r="DR206" s="286"/>
      <c r="DW206" s="286"/>
      <c r="EB206" s="286"/>
      <c r="EG206" s="286"/>
    </row>
    <row r="207" spans="1:140" hidden="1" outlineLevel="2">
      <c r="A207" s="171" t="s">
        <v>496</v>
      </c>
      <c r="B207" s="149"/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  <c r="R207" s="149"/>
      <c r="S207" s="149"/>
      <c r="T207" s="149"/>
      <c r="U207" s="149"/>
      <c r="V207" s="229"/>
      <c r="W207" s="229"/>
      <c r="X207" s="229">
        <v>0.28000000000000003</v>
      </c>
      <c r="Y207" s="229">
        <v>0.28000000000000003</v>
      </c>
      <c r="Z207" s="229"/>
      <c r="AA207" s="229">
        <v>0.28000000000000003</v>
      </c>
      <c r="AB207" s="229">
        <v>0.28000000000000003</v>
      </c>
      <c r="AC207" s="229">
        <v>0.28000000000000003</v>
      </c>
      <c r="AD207" s="229">
        <v>0.28000000000000003</v>
      </c>
      <c r="AE207" s="229"/>
      <c r="AF207" s="229">
        <v>0.28000000000000003</v>
      </c>
      <c r="AG207" s="229">
        <v>0.28000000000000003</v>
      </c>
      <c r="AH207" s="229">
        <v>0.3</v>
      </c>
      <c r="AI207" s="229">
        <v>0.32</v>
      </c>
      <c r="AJ207" s="229"/>
      <c r="AK207" s="229">
        <v>0.34</v>
      </c>
      <c r="AL207" s="229">
        <v>0.34</v>
      </c>
      <c r="AM207" s="229">
        <v>0.34</v>
      </c>
      <c r="AN207" s="229">
        <v>0.34</v>
      </c>
      <c r="AO207" s="229"/>
      <c r="AP207" s="229">
        <v>0.37</v>
      </c>
      <c r="AQ207" s="229">
        <v>0.38</v>
      </c>
      <c r="AR207" s="229">
        <v>0.37</v>
      </c>
      <c r="AS207" s="229">
        <v>0.39</v>
      </c>
      <c r="AT207" s="229"/>
      <c r="AU207" s="304">
        <v>0.4</v>
      </c>
      <c r="AV207" s="304">
        <v>0.39</v>
      </c>
      <c r="AW207" s="304">
        <v>0.39</v>
      </c>
      <c r="AX207" s="305">
        <v>0.39</v>
      </c>
      <c r="AY207" s="304"/>
      <c r="AZ207" s="304">
        <v>0.39</v>
      </c>
      <c r="BA207" s="229">
        <v>0.39</v>
      </c>
      <c r="BB207" s="229">
        <v>0.38500000000000001</v>
      </c>
      <c r="BC207" s="304">
        <v>0.38</v>
      </c>
      <c r="BD207" s="304"/>
      <c r="BE207" s="272"/>
      <c r="BF207" s="272"/>
      <c r="BG207" s="272"/>
      <c r="BH207" s="272"/>
      <c r="BI207" s="272"/>
      <c r="BJ207" s="272"/>
      <c r="BK207" s="272"/>
      <c r="BL207" s="272"/>
      <c r="BM207" s="272"/>
      <c r="BN207" s="272"/>
      <c r="BO207" s="272"/>
      <c r="BP207" s="272"/>
      <c r="BQ207" s="272"/>
      <c r="BR207" s="272"/>
      <c r="BS207" s="272"/>
      <c r="BT207" s="272"/>
      <c r="BU207" s="272"/>
      <c r="BV207" s="272"/>
      <c r="BW207" s="272"/>
      <c r="BX207" s="272"/>
      <c r="BY207" s="272"/>
      <c r="BZ207" s="272"/>
      <c r="CA207" s="272"/>
      <c r="CB207" s="273"/>
      <c r="CC207" s="272"/>
      <c r="CD207" s="272"/>
      <c r="CE207" s="272"/>
      <c r="CF207" s="272"/>
      <c r="CG207" s="272"/>
      <c r="CH207" s="272"/>
      <c r="CI207" s="272"/>
      <c r="CJ207" s="272"/>
      <c r="CK207" s="272"/>
      <c r="CL207" s="272"/>
      <c r="CM207" s="272"/>
      <c r="CN207" s="272"/>
      <c r="CO207" s="272"/>
      <c r="CP207" s="272"/>
      <c r="CQ207" s="272"/>
      <c r="CR207" s="272"/>
      <c r="CS207" s="272"/>
      <c r="CT207" s="272"/>
      <c r="CU207" s="272"/>
      <c r="CV207" s="272"/>
      <c r="CW207" s="272"/>
      <c r="CX207" s="272"/>
      <c r="CY207" s="272"/>
      <c r="CZ207" s="272"/>
      <c r="DA207" s="272"/>
      <c r="DB207" s="275"/>
      <c r="DC207" s="286"/>
      <c r="DH207" s="286"/>
      <c r="DR207" s="286"/>
      <c r="DW207" s="286"/>
      <c r="EB207" s="286"/>
      <c r="EG207" s="286"/>
    </row>
    <row r="208" spans="1:140" hidden="1" outlineLevel="2">
      <c r="A208" s="171" t="s">
        <v>391</v>
      </c>
      <c r="B208" s="186"/>
      <c r="C208" s="186"/>
      <c r="D208" s="186"/>
      <c r="E208" s="186"/>
      <c r="F208" s="186"/>
      <c r="G208" s="186"/>
      <c r="H208" s="186"/>
      <c r="I208" s="186"/>
      <c r="J208" s="186"/>
      <c r="K208" s="186"/>
      <c r="L208" s="186"/>
      <c r="M208" s="186"/>
      <c r="N208" s="186"/>
      <c r="O208" s="186"/>
      <c r="P208" s="186"/>
      <c r="Q208" s="186"/>
      <c r="R208" s="186"/>
      <c r="S208" s="186"/>
      <c r="T208" s="186"/>
      <c r="U208" s="186"/>
      <c r="V208" s="186">
        <f t="shared" ref="V208:BC208" si="219">V207*V206</f>
        <v>0</v>
      </c>
      <c r="W208" s="186">
        <f t="shared" si="219"/>
        <v>0</v>
      </c>
      <c r="X208" s="186">
        <f t="shared" si="219"/>
        <v>0.26880000000000004</v>
      </c>
      <c r="Y208" s="186">
        <f t="shared" si="219"/>
        <v>0.80640000000000001</v>
      </c>
      <c r="Z208" s="186"/>
      <c r="AA208" s="186">
        <f t="shared" si="219"/>
        <v>1.7920000000000003</v>
      </c>
      <c r="AB208" s="186">
        <f t="shared" si="219"/>
        <v>1.4784000000000002</v>
      </c>
      <c r="AC208" s="186">
        <f t="shared" si="219"/>
        <v>2.4640000000000004</v>
      </c>
      <c r="AD208" s="186">
        <f t="shared" si="219"/>
        <v>3.08</v>
      </c>
      <c r="AE208" s="186"/>
      <c r="AF208" s="186">
        <f t="shared" si="219"/>
        <v>5.5440000000000005</v>
      </c>
      <c r="AG208" s="186">
        <f t="shared" si="219"/>
        <v>9.5200000000000014</v>
      </c>
      <c r="AH208" s="186">
        <f t="shared" si="219"/>
        <v>16.32</v>
      </c>
      <c r="AI208" s="186">
        <f t="shared" si="219"/>
        <v>16</v>
      </c>
      <c r="AJ208" s="186"/>
      <c r="AK208" s="186">
        <f t="shared" si="219"/>
        <v>11.214560000000004</v>
      </c>
      <c r="AL208" s="186">
        <f t="shared" si="219"/>
        <v>10.323760000000002</v>
      </c>
      <c r="AM208" s="186">
        <f t="shared" si="219"/>
        <v>14.412939999999997</v>
      </c>
      <c r="AN208" s="186">
        <f t="shared" si="219"/>
        <v>20.332680000000007</v>
      </c>
      <c r="AO208" s="186"/>
      <c r="AP208" s="186">
        <f t="shared" si="219"/>
        <v>26.567850000000004</v>
      </c>
      <c r="AQ208" s="186">
        <f t="shared" si="219"/>
        <v>28.83136</v>
      </c>
      <c r="AR208" s="186">
        <f t="shared" si="219"/>
        <v>33.421729999999997</v>
      </c>
      <c r="AS208" s="186">
        <f t="shared" si="219"/>
        <v>44.582069999999995</v>
      </c>
      <c r="AT208" s="186"/>
      <c r="AU208" s="186">
        <f t="shared" si="219"/>
        <v>47.3536</v>
      </c>
      <c r="AV208" s="186">
        <f t="shared" si="219"/>
        <v>54.264989999999997</v>
      </c>
      <c r="AW208" s="186">
        <f t="shared" si="219"/>
        <v>73.092240000000004</v>
      </c>
      <c r="AX208" s="276">
        <f t="shared" si="219"/>
        <v>84.451379999999986</v>
      </c>
      <c r="AY208" s="186"/>
      <c r="AZ208" s="186">
        <f t="shared" si="219"/>
        <v>58.012500000000003</v>
      </c>
      <c r="BA208" s="186">
        <f t="shared" si="219"/>
        <v>62.812620000000003</v>
      </c>
      <c r="BB208" s="186">
        <f t="shared" si="219"/>
        <v>76.288135000000011</v>
      </c>
      <c r="BC208" s="186">
        <f t="shared" si="219"/>
        <v>76.909719999999979</v>
      </c>
      <c r="BD208" s="186"/>
      <c r="BE208" s="277"/>
      <c r="BF208" s="277"/>
      <c r="BG208" s="277"/>
      <c r="BH208" s="277"/>
      <c r="BI208" s="277"/>
      <c r="BJ208" s="277"/>
      <c r="BK208" s="277"/>
      <c r="BL208" s="277"/>
      <c r="BM208" s="277"/>
      <c r="BN208" s="277"/>
      <c r="BO208" s="277"/>
      <c r="BP208" s="277"/>
      <c r="BQ208" s="277"/>
      <c r="BR208" s="277"/>
      <c r="BS208" s="277"/>
      <c r="BT208" s="277"/>
      <c r="BU208" s="277"/>
      <c r="BV208" s="277"/>
      <c r="BW208" s="277"/>
      <c r="BX208" s="277"/>
      <c r="BY208" s="277"/>
      <c r="BZ208" s="277"/>
      <c r="CA208" s="277"/>
      <c r="CB208" s="278"/>
      <c r="CC208" s="277"/>
      <c r="CD208" s="277"/>
      <c r="CE208" s="277"/>
      <c r="CF208" s="277"/>
      <c r="CG208" s="277"/>
      <c r="CH208" s="277"/>
      <c r="CI208" s="277"/>
      <c r="CJ208" s="277"/>
      <c r="CK208" s="277"/>
      <c r="CL208" s="277"/>
      <c r="CM208" s="277"/>
      <c r="CN208" s="277"/>
      <c r="CO208" s="277"/>
      <c r="CP208" s="277"/>
      <c r="CQ208" s="277"/>
      <c r="CR208" s="277"/>
      <c r="CS208" s="277"/>
      <c r="CT208" s="277"/>
      <c r="CU208" s="277"/>
      <c r="CV208" s="277"/>
      <c r="CW208" s="277"/>
      <c r="CX208" s="277"/>
      <c r="CY208" s="277"/>
      <c r="CZ208" s="277"/>
      <c r="DA208" s="277"/>
      <c r="DB208" s="275"/>
      <c r="DC208" s="286"/>
      <c r="DH208" s="286"/>
      <c r="DR208" s="286"/>
      <c r="DW208" s="286"/>
      <c r="EB208" s="286"/>
      <c r="EG208" s="286"/>
    </row>
    <row r="209" spans="1:140" hidden="1" outlineLevel="2">
      <c r="A209" s="171" t="s">
        <v>497</v>
      </c>
      <c r="B209" s="149"/>
      <c r="C209" s="149"/>
      <c r="D209" s="149"/>
      <c r="E209" s="149"/>
      <c r="F209" s="149"/>
      <c r="G209" s="149"/>
      <c r="H209" s="149"/>
      <c r="I209" s="149"/>
      <c r="J209" s="149"/>
      <c r="K209" s="149"/>
      <c r="L209" s="149"/>
      <c r="M209" s="149"/>
      <c r="N209" s="149"/>
      <c r="O209" s="149"/>
      <c r="P209" s="149"/>
      <c r="Q209" s="149"/>
      <c r="R209" s="149"/>
      <c r="S209" s="149"/>
      <c r="T209" s="149"/>
      <c r="U209" s="149"/>
      <c r="V209" s="149"/>
      <c r="W209" s="149"/>
      <c r="X209" s="193"/>
      <c r="Y209" s="193"/>
      <c r="Z209" s="193"/>
      <c r="AA209" s="193"/>
      <c r="AB209" s="193"/>
      <c r="AC209" s="193"/>
      <c r="AD209" s="174"/>
      <c r="AE209" s="174"/>
      <c r="AF209" s="174"/>
      <c r="AG209" s="174"/>
      <c r="AK209" s="204">
        <f t="shared" ref="AK209:BA209" si="220">AK210/AK206</f>
        <v>-0.43133034198399217</v>
      </c>
      <c r="AL209" s="204">
        <f t="shared" si="220"/>
        <v>-0.54021209326834396</v>
      </c>
      <c r="AM209" s="204">
        <f t="shared" si="220"/>
        <v>-5.0506003632846561E-2</v>
      </c>
      <c r="AN209" s="204">
        <f t="shared" si="220"/>
        <v>0.10917695060365865</v>
      </c>
      <c r="AO209" s="204"/>
      <c r="AP209" s="204">
        <f t="shared" si="220"/>
        <v>9.6413898753568678E-2</v>
      </c>
      <c r="AQ209" s="204">
        <f t="shared" si="220"/>
        <v>7.0381695487136228E-2</v>
      </c>
      <c r="AR209" s="204">
        <f t="shared" si="220"/>
        <v>5.1046729178890499E-2</v>
      </c>
      <c r="AS209" s="204">
        <f t="shared" si="220"/>
        <v>0.13988785177538868</v>
      </c>
      <c r="AT209" s="204"/>
      <c r="AU209" s="204">
        <f t="shared" si="220"/>
        <v>2.5197661846195433E-2</v>
      </c>
      <c r="AV209" s="204">
        <f t="shared" si="220"/>
        <v>5.6511021194328062E-2</v>
      </c>
      <c r="AW209" s="204">
        <f t="shared" si="220"/>
        <v>0.14885068510692789</v>
      </c>
      <c r="AX209" s="313">
        <f t="shared" si="220"/>
        <v>0.18106879958622349</v>
      </c>
      <c r="AY209" s="204"/>
      <c r="AZ209" s="204">
        <f t="shared" si="220"/>
        <v>5.2699159663865548E-2</v>
      </c>
      <c r="BA209" s="204">
        <f t="shared" si="220"/>
        <v>7.69971066323933E-2</v>
      </c>
      <c r="BB209" s="204">
        <f>BB210/BB206</f>
        <v>8.5818391025026364E-2</v>
      </c>
      <c r="BC209" s="204">
        <f>BC210/BC206</f>
        <v>9.8663992015573576E-2</v>
      </c>
      <c r="BD209" s="204"/>
      <c r="BE209" s="288"/>
      <c r="BF209" s="288"/>
      <c r="BG209" s="288"/>
      <c r="BH209" s="288"/>
      <c r="BI209" s="288"/>
      <c r="BJ209" s="288"/>
      <c r="BK209" s="288"/>
      <c r="BL209" s="288"/>
      <c r="BM209" s="288"/>
      <c r="BN209" s="288"/>
      <c r="BO209" s="288"/>
      <c r="BP209" s="288"/>
      <c r="BQ209" s="288"/>
      <c r="BR209" s="288"/>
      <c r="BS209" s="288"/>
      <c r="BT209" s="288"/>
      <c r="BU209" s="288"/>
      <c r="BV209" s="288"/>
      <c r="BW209" s="288"/>
      <c r="BX209" s="288"/>
      <c r="BY209" s="288"/>
      <c r="BZ209" s="288"/>
      <c r="CA209" s="288"/>
      <c r="CB209" s="315"/>
      <c r="CC209" s="286"/>
      <c r="CD209" s="286"/>
      <c r="CE209" s="286"/>
      <c r="CF209" s="286"/>
      <c r="CG209" s="286"/>
      <c r="CH209" s="286"/>
      <c r="CI209" s="286"/>
      <c r="CJ209" s="286"/>
      <c r="CK209" s="286"/>
      <c r="CL209" s="286"/>
      <c r="CM209" s="286"/>
      <c r="CN209" s="286"/>
      <c r="CO209" s="286"/>
      <c r="CP209" s="286"/>
      <c r="CQ209" s="286"/>
      <c r="CR209" s="286"/>
      <c r="CS209" s="286"/>
      <c r="CT209" s="286"/>
      <c r="CU209" s="286"/>
      <c r="CV209" s="286"/>
      <c r="CW209" s="286"/>
      <c r="CX209" s="286"/>
      <c r="CY209" s="286"/>
      <c r="CZ209" s="286"/>
      <c r="DA209" s="286"/>
      <c r="DB209" s="275"/>
      <c r="DC209" s="286"/>
      <c r="DH209" s="286"/>
      <c r="DR209" s="286"/>
      <c r="DW209" s="286"/>
      <c r="EB209" s="286"/>
      <c r="EG209" s="286"/>
    </row>
    <row r="210" spans="1:140" hidden="1" outlineLevel="2">
      <c r="A210" s="171" t="s">
        <v>498</v>
      </c>
      <c r="V210" s="205"/>
      <c r="W210" s="205"/>
      <c r="X210" s="205"/>
      <c r="Y210" s="205"/>
      <c r="Z210" s="205"/>
      <c r="AA210" s="205"/>
      <c r="AB210" s="205"/>
      <c r="AC210" s="205"/>
      <c r="AD210" s="205"/>
      <c r="AE210" s="205"/>
      <c r="AF210" s="205"/>
      <c r="AG210" s="152"/>
      <c r="AH210" s="152"/>
      <c r="AI210" s="152"/>
      <c r="AJ210" s="152"/>
      <c r="AK210" s="242">
        <f>10.266-AL210-AL220-AK220</f>
        <v>-14.227000000000002</v>
      </c>
      <c r="AL210" s="242">
        <f>16.469-AL220</f>
        <v>-16.402999999999999</v>
      </c>
      <c r="AM210" s="242">
        <f>36.009-AM220</f>
        <v>-2.1409999999999982</v>
      </c>
      <c r="AN210" s="242">
        <f>66.454-SUM(AK220:AN220,AK210:AM210)</f>
        <v>6.5289999999999964</v>
      </c>
      <c r="AO210" s="242"/>
      <c r="AP210" s="242">
        <v>6.923</v>
      </c>
      <c r="AQ210" s="242">
        <v>5.34</v>
      </c>
      <c r="AR210" s="242">
        <v>4.6109999999999998</v>
      </c>
      <c r="AS210" s="242">
        <f>32.865-SUM(AP210:AR210)</f>
        <v>15.991000000000003</v>
      </c>
      <c r="AT210" s="242"/>
      <c r="AU210" s="242">
        <v>2.9830000000000001</v>
      </c>
      <c r="AV210" s="242">
        <v>7.8630000000000004</v>
      </c>
      <c r="AW210" s="242">
        <v>27.896999999999998</v>
      </c>
      <c r="AX210" s="294">
        <f>77.952-SUM(AU210:AW210)</f>
        <v>39.209000000000003</v>
      </c>
      <c r="AY210" s="242"/>
      <c r="AZ210" s="242">
        <v>7.8390000000000004</v>
      </c>
      <c r="BA210" s="242">
        <v>12.401</v>
      </c>
      <c r="BB210" s="242">
        <v>17.004999999999999</v>
      </c>
      <c r="BC210" s="242">
        <f>57.214-SUM(AZ210:BB210)</f>
        <v>19.968999999999994</v>
      </c>
      <c r="BD210" s="242"/>
      <c r="BE210" s="282"/>
      <c r="BF210" s="282"/>
      <c r="BG210" s="282"/>
      <c r="BH210" s="282"/>
      <c r="BI210" s="282"/>
      <c r="BJ210" s="282"/>
      <c r="BK210" s="282"/>
      <c r="BL210" s="286"/>
      <c r="BM210" s="282"/>
      <c r="BN210" s="282"/>
      <c r="BO210" s="282"/>
      <c r="BP210" s="282"/>
      <c r="BQ210" s="282"/>
      <c r="BR210" s="282"/>
      <c r="BS210" s="282"/>
      <c r="BT210" s="282"/>
      <c r="BU210" s="282"/>
      <c r="BV210" s="282"/>
      <c r="BW210" s="282"/>
      <c r="BX210" s="282"/>
      <c r="BY210" s="282"/>
      <c r="BZ210" s="282"/>
      <c r="CA210" s="282"/>
      <c r="CB210" s="315"/>
      <c r="CC210" s="286"/>
      <c r="CD210" s="286"/>
      <c r="CE210" s="286"/>
      <c r="CF210" s="286"/>
      <c r="CG210" s="286"/>
      <c r="CH210" s="286"/>
      <c r="CI210" s="286"/>
      <c r="CJ210" s="286"/>
      <c r="CK210" s="286"/>
      <c r="CL210" s="286"/>
      <c r="CM210" s="286"/>
      <c r="CN210" s="286"/>
      <c r="CO210" s="286"/>
      <c r="CP210" s="286"/>
      <c r="CQ210" s="286"/>
      <c r="CR210" s="286"/>
      <c r="CS210" s="286"/>
      <c r="CT210" s="286"/>
      <c r="CU210" s="286"/>
      <c r="CV210" s="286"/>
      <c r="CW210" s="286"/>
      <c r="CX210" s="286"/>
      <c r="CY210" s="286"/>
      <c r="CZ210" s="286"/>
      <c r="DA210" s="286"/>
      <c r="DB210" s="275"/>
      <c r="DC210" s="286"/>
      <c r="DH210" s="286"/>
      <c r="DR210" s="286"/>
      <c r="DW210" s="286"/>
      <c r="EB210" s="286"/>
      <c r="EG210" s="286"/>
    </row>
    <row r="211" spans="1:140" hidden="1" outlineLevel="2">
      <c r="AD211" s="148"/>
      <c r="AE211" s="148"/>
      <c r="AF211" s="148"/>
      <c r="AM211" s="334"/>
      <c r="AN211" s="334"/>
      <c r="AO211" s="334"/>
      <c r="AS211" s="204"/>
      <c r="AT211" s="204"/>
      <c r="AU211" s="336"/>
      <c r="AV211" s="336"/>
      <c r="AW211" s="336"/>
      <c r="AX211" s="337"/>
      <c r="AY211" s="336"/>
      <c r="AZ211" s="204"/>
      <c r="BA211" s="204"/>
      <c r="BB211" s="204"/>
      <c r="BC211" s="204"/>
      <c r="BD211" s="204"/>
      <c r="BE211" s="288"/>
      <c r="BF211" s="288"/>
      <c r="BG211" s="288"/>
      <c r="BH211" s="288"/>
      <c r="BI211" s="288"/>
      <c r="BJ211" s="288"/>
      <c r="BK211" s="288"/>
      <c r="BL211" s="288"/>
      <c r="BM211" s="288"/>
      <c r="BN211" s="288"/>
      <c r="BO211" s="288"/>
      <c r="BP211" s="288"/>
      <c r="BQ211" s="288"/>
      <c r="BR211" s="288"/>
      <c r="BS211" s="288"/>
      <c r="BT211" s="288"/>
      <c r="BU211" s="288"/>
      <c r="BV211" s="288"/>
      <c r="BW211" s="288"/>
      <c r="BX211" s="288"/>
      <c r="BY211" s="288"/>
      <c r="BZ211" s="288"/>
      <c r="CA211" s="292"/>
      <c r="CB211" s="291"/>
      <c r="CC211" s="288"/>
      <c r="CD211" s="288"/>
      <c r="CE211" s="288"/>
      <c r="CF211" s="288"/>
      <c r="CG211" s="288"/>
      <c r="CH211" s="288"/>
      <c r="CI211" s="288"/>
      <c r="CJ211" s="288"/>
      <c r="CK211" s="288"/>
      <c r="CL211" s="288"/>
      <c r="CM211" s="288"/>
      <c r="CN211" s="288"/>
      <c r="CO211" s="288"/>
      <c r="CP211" s="288"/>
      <c r="CQ211" s="288"/>
      <c r="CR211" s="288"/>
      <c r="CS211" s="288"/>
      <c r="CT211" s="288"/>
      <c r="CU211" s="288"/>
      <c r="CV211" s="288"/>
      <c r="CW211" s="288"/>
      <c r="CX211" s="288"/>
      <c r="CY211" s="288"/>
      <c r="CZ211" s="288"/>
      <c r="DA211" s="288"/>
      <c r="DB211" s="275"/>
      <c r="DC211" s="286"/>
      <c r="DH211" s="286"/>
      <c r="DR211" s="286"/>
      <c r="DW211" s="286"/>
      <c r="EB211" s="286"/>
      <c r="EG211" s="286"/>
    </row>
    <row r="212" spans="1:140" hidden="1" outlineLevel="2">
      <c r="A212" s="147" t="s">
        <v>504</v>
      </c>
      <c r="B212" s="149"/>
      <c r="C212" s="149"/>
      <c r="D212" s="149"/>
      <c r="E212" s="149"/>
      <c r="F212" s="149"/>
      <c r="G212" s="149"/>
      <c r="H212" s="149"/>
      <c r="I212" s="149"/>
      <c r="J212" s="149"/>
      <c r="K212" s="149"/>
      <c r="L212" s="149"/>
      <c r="M212" s="149"/>
      <c r="N212" s="149"/>
      <c r="O212" s="149"/>
      <c r="P212" s="149"/>
      <c r="Q212" s="149"/>
      <c r="R212" s="149"/>
      <c r="S212" s="149"/>
      <c r="T212" s="149"/>
      <c r="U212" s="149"/>
      <c r="V212" s="149"/>
      <c r="W212" s="149"/>
      <c r="X212" s="150"/>
      <c r="Y212" s="149"/>
      <c r="Z212" s="149"/>
      <c r="AA212" s="149"/>
      <c r="AB212" s="149"/>
      <c r="AC212" s="174"/>
      <c r="AD212" s="148"/>
      <c r="AE212" s="148"/>
      <c r="AF212" s="148"/>
      <c r="AH212" s="174"/>
      <c r="AI212" s="174"/>
      <c r="AJ212" s="174"/>
      <c r="AK212" s="174"/>
      <c r="AN212" s="334"/>
      <c r="AO212" s="334"/>
      <c r="AU212" s="187"/>
      <c r="AV212" s="187"/>
      <c r="AW212" s="187"/>
      <c r="AX212" s="337"/>
      <c r="AY212" s="336"/>
      <c r="BE212" s="286"/>
      <c r="BF212" s="286"/>
      <c r="BG212" s="286"/>
      <c r="BH212" s="286"/>
      <c r="BI212" s="286"/>
      <c r="BJ212" s="282"/>
      <c r="BK212" s="286"/>
      <c r="BL212" s="286"/>
      <c r="BM212" s="286"/>
      <c r="BN212" s="286"/>
      <c r="BO212" s="282"/>
      <c r="BP212" s="286"/>
      <c r="BQ212" s="286"/>
      <c r="BR212" s="286"/>
      <c r="BS212" s="286"/>
      <c r="BT212" s="282"/>
      <c r="BU212" s="282"/>
      <c r="BV212" s="282"/>
      <c r="BW212" s="286"/>
      <c r="BX212" s="286"/>
      <c r="BY212" s="286"/>
      <c r="BZ212" s="286"/>
      <c r="CA212" s="292"/>
      <c r="CB212" s="307"/>
      <c r="CC212" s="282"/>
      <c r="CD212" s="286"/>
      <c r="CE212" s="286"/>
      <c r="CF212" s="286"/>
      <c r="CG212" s="286"/>
      <c r="CH212" s="286"/>
      <c r="CI212" s="282"/>
      <c r="CJ212" s="286"/>
      <c r="CK212" s="286"/>
      <c r="CL212" s="286"/>
      <c r="CM212" s="286"/>
      <c r="CN212" s="282"/>
      <c r="CO212" s="282"/>
      <c r="CP212" s="286"/>
      <c r="CQ212" s="286"/>
      <c r="CR212" s="286"/>
      <c r="CS212" s="282"/>
      <c r="CT212" s="286"/>
      <c r="CU212" s="286"/>
      <c r="CV212" s="286"/>
      <c r="CW212" s="286"/>
      <c r="CX212" s="282"/>
      <c r="CY212" s="286"/>
      <c r="CZ212" s="286"/>
      <c r="DA212" s="286"/>
      <c r="DB212" s="275"/>
      <c r="DC212" s="286"/>
      <c r="DH212" s="286"/>
      <c r="DR212" s="286"/>
      <c r="DW212" s="286"/>
      <c r="EB212" s="286"/>
      <c r="EG212" s="286"/>
    </row>
    <row r="213" spans="1:140" hidden="1" outlineLevel="2">
      <c r="A213" s="171" t="s">
        <v>505</v>
      </c>
      <c r="B213" s="149"/>
      <c r="C213" s="149"/>
      <c r="D213" s="149"/>
      <c r="E213" s="149"/>
      <c r="F213" s="149"/>
      <c r="G213" s="149"/>
      <c r="H213" s="149"/>
      <c r="I213" s="149"/>
      <c r="J213" s="149"/>
      <c r="K213" s="149"/>
      <c r="L213" s="149"/>
      <c r="M213" s="149"/>
      <c r="N213" s="149"/>
      <c r="O213" s="149"/>
      <c r="P213" s="149"/>
      <c r="Q213" s="149"/>
      <c r="R213" s="149"/>
      <c r="S213" s="149"/>
      <c r="T213" s="149"/>
      <c r="U213" s="149"/>
      <c r="V213" s="174"/>
      <c r="W213" s="174">
        <v>0.09</v>
      </c>
      <c r="X213" s="174">
        <v>0.96</v>
      </c>
      <c r="Y213" s="174">
        <v>1.5</v>
      </c>
      <c r="Z213" s="174"/>
      <c r="AA213" s="174">
        <v>2.2599999999999998</v>
      </c>
      <c r="AB213" s="174">
        <v>2.4</v>
      </c>
      <c r="AC213" s="174">
        <v>1.75</v>
      </c>
      <c r="AD213" s="174">
        <v>1.1000000000000001</v>
      </c>
      <c r="AE213" s="174"/>
      <c r="AF213" s="174">
        <v>0.9</v>
      </c>
      <c r="AG213" s="174">
        <v>1.65</v>
      </c>
      <c r="AH213" s="174">
        <f t="shared" ref="AH213:AN213" si="221">AH216/AH214</f>
        <v>2.4799438775510203</v>
      </c>
      <c r="AI213" s="174">
        <f t="shared" si="221"/>
        <v>0.67057978723404266</v>
      </c>
      <c r="AJ213" s="174"/>
      <c r="AK213" s="174">
        <f t="shared" si="221"/>
        <v>0.52864444444444447</v>
      </c>
      <c r="AL213" s="174">
        <f t="shared" si="221"/>
        <v>2.0167906976744185</v>
      </c>
      <c r="AM213" s="174">
        <f t="shared" si="221"/>
        <v>2.7250000000000001</v>
      </c>
      <c r="AN213" s="174">
        <f t="shared" si="221"/>
        <v>1.0263157894736843</v>
      </c>
      <c r="AO213" s="174"/>
      <c r="AP213" s="174">
        <f>(AP216-AP215)/AP214</f>
        <v>1.1862631578947369</v>
      </c>
      <c r="AQ213" s="174">
        <v>1.9</v>
      </c>
      <c r="AR213" s="338"/>
      <c r="AS213" s="339"/>
      <c r="AT213" s="339"/>
      <c r="AU213" s="339"/>
      <c r="AV213" s="339"/>
      <c r="AW213" s="152">
        <f>(AW216-AW215)/AW214</f>
        <v>0</v>
      </c>
      <c r="AX213" s="281">
        <f>(AX216-AX215)/AX214</f>
        <v>2.268499999999996</v>
      </c>
      <c r="AY213" s="152"/>
      <c r="AZ213" s="152">
        <f>(AZ216-AZ215)/AZ214</f>
        <v>2.8629274999999996</v>
      </c>
      <c r="BA213" s="152">
        <f>(BA216-BA215)/BA214</f>
        <v>1.4926600000000008</v>
      </c>
      <c r="BB213" s="152">
        <v>3</v>
      </c>
      <c r="BC213" s="152">
        <v>4</v>
      </c>
      <c r="BD213" s="152"/>
      <c r="BE213" s="282"/>
      <c r="BF213" s="282"/>
      <c r="BG213" s="282"/>
      <c r="BH213" s="282"/>
      <c r="BI213" s="282"/>
      <c r="BJ213" s="282"/>
      <c r="BK213" s="282"/>
      <c r="BL213" s="282"/>
      <c r="BM213" s="282"/>
      <c r="BN213" s="282"/>
      <c r="BO213" s="282"/>
      <c r="BP213" s="282"/>
      <c r="BQ213" s="282"/>
      <c r="BR213" s="282"/>
      <c r="BS213" s="282"/>
      <c r="BT213" s="282"/>
      <c r="BU213" s="282"/>
      <c r="BV213" s="282"/>
      <c r="BW213" s="282"/>
      <c r="BX213" s="282"/>
      <c r="BY213" s="282"/>
      <c r="BZ213" s="282"/>
      <c r="CA213" s="282"/>
      <c r="CB213" s="307"/>
      <c r="CC213" s="282"/>
      <c r="CD213" s="282"/>
      <c r="CE213" s="282"/>
      <c r="CF213" s="282"/>
      <c r="CG213" s="282"/>
      <c r="CH213" s="282"/>
      <c r="CI213" s="282"/>
      <c r="CJ213" s="282"/>
      <c r="CK213" s="282"/>
      <c r="CL213" s="282"/>
      <c r="CM213" s="282"/>
      <c r="CN213" s="282"/>
      <c r="CO213" s="282"/>
      <c r="CP213" s="282"/>
      <c r="CQ213" s="282"/>
      <c r="CR213" s="282"/>
      <c r="CS213" s="282"/>
      <c r="CT213" s="282"/>
      <c r="CU213" s="282"/>
      <c r="CV213" s="282"/>
      <c r="CW213" s="282"/>
      <c r="CX213" s="282"/>
      <c r="CY213" s="282"/>
      <c r="CZ213" s="282"/>
      <c r="DA213" s="282"/>
      <c r="DB213" s="275"/>
      <c r="DC213" s="286"/>
      <c r="DH213" s="286"/>
      <c r="DR213" s="286"/>
      <c r="DW213" s="286"/>
      <c r="EB213" s="286"/>
      <c r="EG213" s="286"/>
    </row>
    <row r="214" spans="1:140" hidden="1" outlineLevel="2">
      <c r="A214" s="171" t="s">
        <v>492</v>
      </c>
      <c r="B214" s="334"/>
      <c r="C214" s="334"/>
      <c r="D214" s="334"/>
      <c r="E214" s="334"/>
      <c r="F214" s="334"/>
      <c r="G214" s="334"/>
      <c r="H214" s="334"/>
      <c r="I214" s="334"/>
      <c r="J214" s="334"/>
      <c r="K214" s="334"/>
      <c r="L214" s="334"/>
      <c r="M214" s="334"/>
      <c r="N214" s="334"/>
      <c r="O214" s="334"/>
      <c r="P214" s="334"/>
      <c r="Q214" s="334"/>
      <c r="R214" s="334"/>
      <c r="S214" s="334"/>
      <c r="T214" s="334"/>
      <c r="U214" s="334"/>
      <c r="V214" s="187"/>
      <c r="W214" s="187">
        <f>W216/W213</f>
        <v>0</v>
      </c>
      <c r="X214" s="187">
        <f>X216/X213</f>
        <v>0</v>
      </c>
      <c r="Y214" s="187">
        <f>Y216/Y213</f>
        <v>0</v>
      </c>
      <c r="Z214" s="187"/>
      <c r="AA214" s="187">
        <v>55</v>
      </c>
      <c r="AB214" s="187">
        <v>55</v>
      </c>
      <c r="AC214" s="187">
        <v>50</v>
      </c>
      <c r="AD214" s="187">
        <v>50</v>
      </c>
      <c r="AE214" s="187"/>
      <c r="AF214" s="187">
        <v>53</v>
      </c>
      <c r="AG214" s="187">
        <v>52.5</v>
      </c>
      <c r="AH214" s="187">
        <v>49</v>
      </c>
      <c r="AI214" s="187">
        <v>47</v>
      </c>
      <c r="AJ214" s="187"/>
      <c r="AK214" s="187">
        <v>45</v>
      </c>
      <c r="AL214" s="187">
        <v>43</v>
      </c>
      <c r="AM214" s="187">
        <v>40</v>
      </c>
      <c r="AN214" s="187">
        <v>38</v>
      </c>
      <c r="AO214" s="187"/>
      <c r="AP214" s="187">
        <v>38</v>
      </c>
      <c r="AQ214" s="187">
        <v>38</v>
      </c>
      <c r="AR214" s="339"/>
      <c r="AS214" s="339"/>
      <c r="AT214" s="339"/>
      <c r="AU214" s="339"/>
      <c r="AV214" s="339"/>
      <c r="AW214" s="187">
        <v>4</v>
      </c>
      <c r="AX214" s="246">
        <v>4</v>
      </c>
      <c r="AY214" s="187"/>
      <c r="AZ214" s="187">
        <v>4</v>
      </c>
      <c r="BA214" s="187">
        <v>4</v>
      </c>
      <c r="BB214" s="187">
        <v>4</v>
      </c>
      <c r="BC214" s="187">
        <v>4</v>
      </c>
      <c r="BD214" s="187"/>
      <c r="BE214" s="247"/>
      <c r="BF214" s="247"/>
      <c r="BG214" s="247"/>
      <c r="BH214" s="247"/>
      <c r="BI214" s="247"/>
      <c r="BJ214" s="247"/>
      <c r="BK214" s="247"/>
      <c r="BL214" s="247"/>
      <c r="BM214" s="247"/>
      <c r="BN214" s="247"/>
      <c r="BO214" s="247"/>
      <c r="BP214" s="247"/>
      <c r="BQ214" s="247"/>
      <c r="BR214" s="247"/>
      <c r="BS214" s="247"/>
      <c r="BT214" s="247"/>
      <c r="BU214" s="247"/>
      <c r="BV214" s="247"/>
      <c r="BW214" s="247"/>
      <c r="BX214" s="247"/>
      <c r="BY214" s="247"/>
      <c r="BZ214" s="247"/>
      <c r="CA214" s="247"/>
      <c r="CB214" s="273"/>
      <c r="CC214" s="272"/>
      <c r="CD214" s="247"/>
      <c r="CE214" s="247"/>
      <c r="CF214" s="247"/>
      <c r="CG214" s="247"/>
      <c r="CH214" s="247"/>
      <c r="CI214" s="247"/>
      <c r="CJ214" s="247"/>
      <c r="CK214" s="247"/>
      <c r="CL214" s="247"/>
      <c r="CM214" s="247"/>
      <c r="CN214" s="247"/>
      <c r="CO214" s="247"/>
      <c r="CP214" s="247"/>
      <c r="CQ214" s="247"/>
      <c r="CR214" s="247"/>
      <c r="CS214" s="247"/>
      <c r="CT214" s="247"/>
      <c r="CU214" s="247"/>
      <c r="CV214" s="247"/>
      <c r="CW214" s="247"/>
      <c r="CX214" s="247"/>
      <c r="CY214" s="247"/>
      <c r="CZ214" s="247"/>
      <c r="DA214" s="247"/>
      <c r="DB214" s="275"/>
      <c r="DC214" s="286"/>
      <c r="DH214" s="286"/>
      <c r="DR214" s="286"/>
      <c r="DW214" s="286"/>
      <c r="EB214" s="286"/>
      <c r="EG214" s="286"/>
    </row>
    <row r="215" spans="1:140" hidden="1" outlineLevel="2">
      <c r="A215" s="171" t="s">
        <v>506</v>
      </c>
      <c r="B215" s="205"/>
      <c r="C215" s="205"/>
      <c r="D215" s="205"/>
      <c r="E215" s="205"/>
      <c r="F215" s="205"/>
      <c r="G215" s="205"/>
      <c r="H215" s="205"/>
      <c r="I215" s="205"/>
      <c r="J215" s="205"/>
      <c r="K215" s="205"/>
      <c r="L215" s="205"/>
      <c r="M215" s="205"/>
      <c r="N215" s="205"/>
      <c r="O215" s="205"/>
      <c r="P215" s="205"/>
      <c r="Q215" s="205"/>
      <c r="R215" s="205"/>
      <c r="S215" s="205"/>
      <c r="T215" s="205"/>
      <c r="U215" s="205"/>
      <c r="V215" s="205"/>
      <c r="W215" s="205"/>
      <c r="X215" s="205"/>
      <c r="Y215" s="205"/>
      <c r="Z215" s="205"/>
      <c r="AA215" s="205"/>
      <c r="AB215" s="205"/>
      <c r="AC215" s="205"/>
      <c r="AD215" s="205"/>
      <c r="AE215" s="205"/>
      <c r="AF215" s="205"/>
      <c r="AG215" s="152"/>
      <c r="AH215" s="152"/>
      <c r="AI215" s="152"/>
      <c r="AJ215" s="152"/>
      <c r="AK215" s="152"/>
      <c r="AL215" s="152"/>
      <c r="AM215" s="152"/>
      <c r="AN215" s="152"/>
      <c r="AO215" s="152"/>
      <c r="AP215" s="152">
        <v>13</v>
      </c>
      <c r="AQ215" s="152">
        <v>7.5</v>
      </c>
      <c r="AR215" s="152">
        <f>AR216</f>
        <v>9.9290000000000003</v>
      </c>
      <c r="AS215" s="152">
        <v>20</v>
      </c>
      <c r="AT215" s="152"/>
      <c r="AU215" s="340">
        <f>AU216</f>
        <v>26.161999999999999</v>
      </c>
      <c r="AV215" s="340">
        <f>AV216</f>
        <v>27.821000000000002</v>
      </c>
      <c r="AW215" s="340">
        <f>AW216</f>
        <v>22.257000000000001</v>
      </c>
      <c r="AX215" s="341">
        <v>11</v>
      </c>
      <c r="AY215" s="340"/>
      <c r="AZ215" s="152">
        <v>10</v>
      </c>
      <c r="BA215" s="152">
        <v>10</v>
      </c>
      <c r="BB215" s="152">
        <v>10</v>
      </c>
      <c r="BC215" s="152">
        <v>10</v>
      </c>
      <c r="BD215" s="152"/>
      <c r="BE215" s="282"/>
      <c r="BF215" s="282"/>
      <c r="BG215" s="282"/>
      <c r="BH215" s="282"/>
      <c r="BI215" s="282"/>
      <c r="BJ215" s="282"/>
      <c r="BK215" s="282"/>
      <c r="BL215" s="282"/>
      <c r="BM215" s="282"/>
      <c r="BN215" s="282"/>
      <c r="BO215" s="282"/>
      <c r="BP215" s="282"/>
      <c r="BQ215" s="282"/>
      <c r="BR215" s="282"/>
      <c r="BS215" s="282"/>
      <c r="BT215" s="282"/>
      <c r="BU215" s="282"/>
      <c r="BV215" s="282"/>
      <c r="BW215" s="282"/>
      <c r="BX215" s="282"/>
      <c r="BY215" s="282"/>
      <c r="BZ215" s="282"/>
      <c r="CA215" s="282"/>
      <c r="CB215" s="278"/>
      <c r="CC215" s="277"/>
      <c r="CD215" s="282"/>
      <c r="CE215" s="282"/>
      <c r="CF215" s="282"/>
      <c r="CG215" s="282"/>
      <c r="CH215" s="282"/>
      <c r="CI215" s="282"/>
      <c r="CJ215" s="282"/>
      <c r="CK215" s="282"/>
      <c r="CL215" s="282"/>
      <c r="CM215" s="282"/>
      <c r="CN215" s="282"/>
      <c r="CO215" s="282"/>
      <c r="CP215" s="282"/>
      <c r="CQ215" s="282"/>
      <c r="CR215" s="282"/>
      <c r="CS215" s="282"/>
      <c r="CT215" s="282"/>
      <c r="CU215" s="282"/>
      <c r="CV215" s="282"/>
      <c r="CW215" s="282"/>
      <c r="CX215" s="282"/>
      <c r="CY215" s="282"/>
      <c r="CZ215" s="282"/>
      <c r="DA215" s="282"/>
      <c r="DB215" s="275"/>
      <c r="DC215" s="286"/>
      <c r="DH215" s="286"/>
      <c r="DR215" s="286"/>
      <c r="DW215" s="286"/>
      <c r="EB215" s="286"/>
      <c r="EG215" s="286"/>
    </row>
    <row r="216" spans="1:140" hidden="1" outlineLevel="2">
      <c r="A216" s="171" t="s">
        <v>493</v>
      </c>
      <c r="B216" s="152"/>
      <c r="C216" s="152"/>
      <c r="D216" s="152"/>
      <c r="E216" s="152"/>
      <c r="F216" s="152"/>
      <c r="G216" s="152"/>
      <c r="H216" s="152"/>
      <c r="I216" s="152"/>
      <c r="J216" s="152"/>
      <c r="K216" s="152"/>
      <c r="L216" s="152"/>
      <c r="M216" s="152"/>
      <c r="N216" s="152"/>
      <c r="O216" s="152"/>
      <c r="P216" s="152"/>
      <c r="Q216" s="152"/>
      <c r="R216" s="152"/>
      <c r="S216" s="152"/>
      <c r="T216" s="152"/>
      <c r="U216" s="152"/>
      <c r="V216" s="152">
        <f>V241*V255</f>
        <v>0</v>
      </c>
      <c r="W216" s="152">
        <f>W241*W255</f>
        <v>0</v>
      </c>
      <c r="X216" s="152">
        <f>X241*X255</f>
        <v>0</v>
      </c>
      <c r="Y216" s="152">
        <f>Y241*Y255</f>
        <v>0</v>
      </c>
      <c r="Z216" s="152"/>
      <c r="AA216" s="152">
        <f t="shared" ref="AA216:AG216" si="222">AA214*AA213</f>
        <v>124.29999999999998</v>
      </c>
      <c r="AB216" s="152">
        <f t="shared" si="222"/>
        <v>132</v>
      </c>
      <c r="AC216" s="152">
        <f t="shared" si="222"/>
        <v>87.5</v>
      </c>
      <c r="AD216" s="152">
        <f t="shared" si="222"/>
        <v>55.000000000000007</v>
      </c>
      <c r="AE216" s="152"/>
      <c r="AF216" s="152">
        <f t="shared" si="222"/>
        <v>47.7</v>
      </c>
      <c r="AG216" s="152">
        <f t="shared" si="222"/>
        <v>86.625</v>
      </c>
      <c r="AH216" s="152">
        <f>0.25*AH7</f>
        <v>121.51725</v>
      </c>
      <c r="AI216" s="152">
        <f>AH216-90</f>
        <v>31.517250000000004</v>
      </c>
      <c r="AJ216" s="152"/>
      <c r="AK216" s="242">
        <v>23.789000000000001</v>
      </c>
      <c r="AL216" s="242">
        <v>86.721999999999994</v>
      </c>
      <c r="AM216" s="152">
        <v>109</v>
      </c>
      <c r="AN216" s="152">
        <f>AM216-70</f>
        <v>39</v>
      </c>
      <c r="AO216" s="152"/>
      <c r="AP216" s="242">
        <v>58.078000000000003</v>
      </c>
      <c r="AQ216" s="242">
        <v>81.543000000000006</v>
      </c>
      <c r="AR216" s="242">
        <v>9.9290000000000003</v>
      </c>
      <c r="AS216" s="242">
        <f>170.222-SUM(AP216:AR216)</f>
        <v>20.671999999999997</v>
      </c>
      <c r="AT216" s="242"/>
      <c r="AU216" s="242">
        <v>26.161999999999999</v>
      </c>
      <c r="AV216" s="242">
        <v>27.821000000000002</v>
      </c>
      <c r="AW216" s="242">
        <v>22.257000000000001</v>
      </c>
      <c r="AX216" s="294">
        <f>96.314-SUM(AU216:AW216)</f>
        <v>20.073999999999984</v>
      </c>
      <c r="AY216" s="242"/>
      <c r="AZ216" s="242">
        <f>67.226-AZ225</f>
        <v>21.451709999999999</v>
      </c>
      <c r="BA216" s="242">
        <f>62.182-BA225</f>
        <v>15.970640000000003</v>
      </c>
      <c r="BB216" s="242">
        <f>65.873-BB225</f>
        <v>21.873000000000005</v>
      </c>
      <c r="BC216" s="242">
        <f>251.137-SUM(AZ216:BB216)-SUM(AZ225:BC225)</f>
        <v>15.855999999999995</v>
      </c>
      <c r="BD216" s="242"/>
      <c r="BE216" s="282"/>
      <c r="BF216" s="282"/>
      <c r="BG216" s="282"/>
      <c r="BH216" s="282"/>
      <c r="BI216" s="282"/>
      <c r="BJ216" s="282"/>
      <c r="BK216" s="282"/>
      <c r="BL216" s="282"/>
      <c r="BM216" s="282"/>
      <c r="BN216" s="282"/>
      <c r="BO216" s="282"/>
      <c r="BP216" s="282"/>
      <c r="BQ216" s="282"/>
      <c r="BR216" s="282"/>
      <c r="BS216" s="282"/>
      <c r="BT216" s="282"/>
      <c r="BU216" s="282"/>
      <c r="BV216" s="282"/>
      <c r="BW216" s="282"/>
      <c r="BX216" s="282"/>
      <c r="BY216" s="282"/>
      <c r="BZ216" s="282"/>
      <c r="CA216" s="282"/>
      <c r="CB216" s="248"/>
      <c r="CC216" s="247"/>
      <c r="CD216" s="282"/>
      <c r="CE216" s="282"/>
      <c r="CF216" s="282"/>
      <c r="CG216" s="282"/>
      <c r="CH216" s="282"/>
      <c r="CI216" s="282"/>
      <c r="CJ216" s="282"/>
      <c r="CK216" s="282"/>
      <c r="CL216" s="282"/>
      <c r="CM216" s="282"/>
      <c r="CN216" s="282"/>
      <c r="CO216" s="282"/>
      <c r="CP216" s="282"/>
      <c r="CQ216" s="282"/>
      <c r="CR216" s="282"/>
      <c r="CS216" s="282"/>
      <c r="CT216" s="282"/>
      <c r="CU216" s="282"/>
      <c r="CV216" s="282"/>
      <c r="CW216" s="282"/>
      <c r="CX216" s="282"/>
      <c r="CY216" s="282"/>
      <c r="CZ216" s="282"/>
      <c r="DA216" s="282"/>
      <c r="DB216" s="275"/>
      <c r="DC216" s="286"/>
      <c r="DH216" s="286"/>
      <c r="DR216" s="286"/>
      <c r="DW216" s="286"/>
      <c r="EB216" s="286"/>
      <c r="EG216" s="286"/>
    </row>
    <row r="217" spans="1:140" hidden="1" outlineLevel="2">
      <c r="A217" s="171" t="s">
        <v>496</v>
      </c>
      <c r="B217" s="149"/>
      <c r="C217" s="149"/>
      <c r="D217" s="149"/>
      <c r="E217" s="149"/>
      <c r="F217" s="149"/>
      <c r="G217" s="149"/>
      <c r="H217" s="149"/>
      <c r="I217" s="149"/>
      <c r="J217" s="149"/>
      <c r="K217" s="149"/>
      <c r="L217" s="149"/>
      <c r="M217" s="149"/>
      <c r="N217" s="149"/>
      <c r="O217" s="149"/>
      <c r="P217" s="149"/>
      <c r="Q217" s="149"/>
      <c r="R217" s="149"/>
      <c r="S217" s="149"/>
      <c r="T217" s="149"/>
      <c r="U217" s="149"/>
      <c r="V217" s="229"/>
      <c r="W217" s="229">
        <v>0.25</v>
      </c>
      <c r="X217" s="229">
        <v>0.25</v>
      </c>
      <c r="Y217" s="229">
        <v>0.25</v>
      </c>
      <c r="Z217" s="229"/>
      <c r="AA217" s="229">
        <v>0.217</v>
      </c>
      <c r="AB217" s="229">
        <v>0.2</v>
      </c>
      <c r="AC217" s="229">
        <v>0.2</v>
      </c>
      <c r="AD217" s="229">
        <v>0.2</v>
      </c>
      <c r="AE217" s="229"/>
      <c r="AF217" s="229">
        <v>0.3</v>
      </c>
      <c r="AG217" s="229">
        <v>0.32</v>
      </c>
      <c r="AH217" s="229">
        <v>0.34</v>
      </c>
      <c r="AI217" s="229">
        <v>0.36</v>
      </c>
      <c r="AJ217" s="229"/>
      <c r="AK217" s="229">
        <v>0.38</v>
      </c>
      <c r="AL217" s="229">
        <v>0.38</v>
      </c>
      <c r="AM217" s="229">
        <v>0.38</v>
      </c>
      <c r="AN217" s="229">
        <v>0.38</v>
      </c>
      <c r="AO217" s="229"/>
      <c r="AP217" s="229">
        <f>AP218/AP216</f>
        <v>0.4068604290781363</v>
      </c>
      <c r="AQ217" s="229">
        <f>AQ218/AQ216</f>
        <v>0.38244852409158353</v>
      </c>
      <c r="AR217" s="229">
        <v>0.5</v>
      </c>
      <c r="AS217" s="229">
        <v>0.75</v>
      </c>
      <c r="AT217" s="229"/>
      <c r="AU217" s="304">
        <v>0.75</v>
      </c>
      <c r="AV217" s="304">
        <v>0.75</v>
      </c>
      <c r="AW217" s="304">
        <v>0.83299999999999996</v>
      </c>
      <c r="AX217" s="305">
        <v>0.99</v>
      </c>
      <c r="AY217" s="304"/>
      <c r="AZ217" s="229">
        <v>1</v>
      </c>
      <c r="BA217" s="229">
        <f>AZ217</f>
        <v>1</v>
      </c>
      <c r="BB217" s="229">
        <f>BA217</f>
        <v>1</v>
      </c>
      <c r="BC217" s="229">
        <f>BB217</f>
        <v>1</v>
      </c>
      <c r="BD217" s="229"/>
      <c r="BE217" s="272"/>
      <c r="BF217" s="272"/>
      <c r="BG217" s="272"/>
      <c r="BH217" s="272"/>
      <c r="BI217" s="272"/>
      <c r="BJ217" s="272"/>
      <c r="BK217" s="272"/>
      <c r="BL217" s="272"/>
      <c r="BM217" s="272"/>
      <c r="BN217" s="272"/>
      <c r="BO217" s="272"/>
      <c r="BP217" s="272"/>
      <c r="BQ217" s="272"/>
      <c r="BR217" s="272"/>
      <c r="BS217" s="272"/>
      <c r="BT217" s="272"/>
      <c r="BU217" s="272"/>
      <c r="BV217" s="272"/>
      <c r="BW217" s="272"/>
      <c r="BX217" s="272"/>
      <c r="BY217" s="272"/>
      <c r="BZ217" s="272"/>
      <c r="CA217" s="272"/>
      <c r="CB217" s="278"/>
      <c r="CC217" s="277"/>
      <c r="CD217" s="272"/>
      <c r="CE217" s="272"/>
      <c r="CF217" s="272"/>
      <c r="CG217" s="272"/>
      <c r="CH217" s="272"/>
      <c r="CI217" s="272"/>
      <c r="CJ217" s="272"/>
      <c r="CK217" s="272"/>
      <c r="CL217" s="272"/>
      <c r="CM217" s="272"/>
      <c r="CN217" s="272"/>
      <c r="CO217" s="272"/>
      <c r="CP217" s="272"/>
      <c r="CQ217" s="272"/>
      <c r="CR217" s="272"/>
      <c r="CS217" s="272"/>
      <c r="CT217" s="272"/>
      <c r="CU217" s="272"/>
      <c r="CV217" s="272"/>
      <c r="CW217" s="272"/>
      <c r="CX217" s="272"/>
      <c r="CY217" s="272"/>
      <c r="CZ217" s="272"/>
      <c r="DA217" s="272"/>
      <c r="DB217" s="275"/>
      <c r="DC217" s="286"/>
      <c r="DH217" s="286"/>
      <c r="DR217" s="286"/>
      <c r="DW217" s="286"/>
      <c r="EB217" s="286"/>
      <c r="EG217" s="286"/>
    </row>
    <row r="218" spans="1:140" hidden="1" outlineLevel="2">
      <c r="A218" s="171" t="s">
        <v>391</v>
      </c>
      <c r="B218" s="152"/>
      <c r="C218" s="152"/>
      <c r="D218" s="152"/>
      <c r="E218" s="152"/>
      <c r="F218" s="152"/>
      <c r="G218" s="152"/>
      <c r="H218" s="152"/>
      <c r="I218" s="152"/>
      <c r="J218" s="152"/>
      <c r="K218" s="152"/>
      <c r="L218" s="152"/>
      <c r="M218" s="152"/>
      <c r="N218" s="152"/>
      <c r="O218" s="152"/>
      <c r="P218" s="152"/>
      <c r="Q218" s="152"/>
      <c r="R218" s="152"/>
      <c r="S218" s="152"/>
      <c r="T218" s="152"/>
      <c r="U218" s="152"/>
      <c r="V218" s="152">
        <f t="shared" ref="V218:AN218" si="223">V217*V216</f>
        <v>0</v>
      </c>
      <c r="W218" s="152">
        <f t="shared" si="223"/>
        <v>0</v>
      </c>
      <c r="X218" s="152">
        <f t="shared" si="223"/>
        <v>0</v>
      </c>
      <c r="Y218" s="152">
        <f t="shared" si="223"/>
        <v>0</v>
      </c>
      <c r="Z218" s="152"/>
      <c r="AA218" s="152">
        <f t="shared" si="223"/>
        <v>26.973099999999995</v>
      </c>
      <c r="AB218" s="152">
        <f t="shared" si="223"/>
        <v>26.400000000000002</v>
      </c>
      <c r="AC218" s="152">
        <f t="shared" si="223"/>
        <v>17.5</v>
      </c>
      <c r="AD218" s="152">
        <f t="shared" si="223"/>
        <v>11.000000000000002</v>
      </c>
      <c r="AE218" s="152"/>
      <c r="AF218" s="152">
        <f t="shared" si="223"/>
        <v>14.31</v>
      </c>
      <c r="AG218" s="152">
        <f t="shared" si="223"/>
        <v>27.72</v>
      </c>
      <c r="AH218" s="152">
        <f t="shared" si="223"/>
        <v>41.315865000000002</v>
      </c>
      <c r="AI218" s="152">
        <f t="shared" si="223"/>
        <v>11.346210000000001</v>
      </c>
      <c r="AJ218" s="152"/>
      <c r="AK218" s="152">
        <f t="shared" si="223"/>
        <v>9.0398200000000006</v>
      </c>
      <c r="AL218" s="152">
        <f t="shared" si="223"/>
        <v>32.954360000000001</v>
      </c>
      <c r="AM218" s="152">
        <f t="shared" si="223"/>
        <v>41.42</v>
      </c>
      <c r="AN218" s="152">
        <f t="shared" si="223"/>
        <v>14.82</v>
      </c>
      <c r="AO218" s="152"/>
      <c r="AP218" s="152">
        <f>0.38*AP213*AP214+0.5*AP215</f>
        <v>23.629640000000002</v>
      </c>
      <c r="AQ218" s="152">
        <f>0.38*AQ213*AQ214+0.5*AQ215</f>
        <v>31.186</v>
      </c>
      <c r="AR218" s="152">
        <f t="shared" ref="AR218:BC218" si="224">AR217*AR216</f>
        <v>4.9645000000000001</v>
      </c>
      <c r="AS218" s="152">
        <f t="shared" si="224"/>
        <v>15.503999999999998</v>
      </c>
      <c r="AT218" s="152"/>
      <c r="AU218" s="152">
        <f t="shared" si="224"/>
        <v>19.621499999999997</v>
      </c>
      <c r="AV218" s="152">
        <f t="shared" si="224"/>
        <v>20.865750000000002</v>
      </c>
      <c r="AW218" s="152">
        <f t="shared" si="224"/>
        <v>18.540081000000001</v>
      </c>
      <c r="AX218" s="281">
        <f t="shared" si="224"/>
        <v>19.873259999999984</v>
      </c>
      <c r="AY218" s="152"/>
      <c r="AZ218" s="152">
        <f t="shared" si="224"/>
        <v>21.451709999999999</v>
      </c>
      <c r="BA218" s="152">
        <f t="shared" si="224"/>
        <v>15.970640000000003</v>
      </c>
      <c r="BB218" s="152">
        <f t="shared" si="224"/>
        <v>21.873000000000005</v>
      </c>
      <c r="BC218" s="152">
        <f t="shared" si="224"/>
        <v>15.855999999999995</v>
      </c>
      <c r="BD218" s="152"/>
      <c r="BE218" s="282"/>
      <c r="BF218" s="282"/>
      <c r="BG218" s="282"/>
      <c r="BH218" s="282"/>
      <c r="BI218" s="282"/>
      <c r="BJ218" s="282"/>
      <c r="BK218" s="282"/>
      <c r="BL218" s="282"/>
      <c r="BM218" s="282"/>
      <c r="BN218" s="282"/>
      <c r="BO218" s="282"/>
      <c r="BP218" s="282"/>
      <c r="BQ218" s="282"/>
      <c r="BR218" s="282"/>
      <c r="BS218" s="282"/>
      <c r="BT218" s="282"/>
      <c r="BU218" s="282"/>
      <c r="BV218" s="282"/>
      <c r="BW218" s="282"/>
      <c r="BX218" s="282"/>
      <c r="BY218" s="282"/>
      <c r="BZ218" s="282"/>
      <c r="CA218" s="282"/>
      <c r="CB218" s="273"/>
      <c r="CC218" s="272"/>
      <c r="CD218" s="282"/>
      <c r="CE218" s="282"/>
      <c r="CF218" s="282"/>
      <c r="CG218" s="282"/>
      <c r="CH218" s="282"/>
      <c r="CI218" s="282"/>
      <c r="CJ218" s="282"/>
      <c r="CK218" s="282"/>
      <c r="CL218" s="282"/>
      <c r="CM218" s="282"/>
      <c r="CN218" s="282"/>
      <c r="CO218" s="282"/>
      <c r="CP218" s="282"/>
      <c r="CQ218" s="282"/>
      <c r="CR218" s="282"/>
      <c r="CS218" s="282"/>
      <c r="CT218" s="282"/>
      <c r="CU218" s="282"/>
      <c r="CV218" s="282"/>
      <c r="CW218" s="282"/>
      <c r="CX218" s="282"/>
      <c r="CY218" s="282"/>
      <c r="CZ218" s="282"/>
      <c r="DA218" s="282"/>
      <c r="DB218" s="275"/>
      <c r="DC218" s="286"/>
      <c r="DH218" s="286"/>
      <c r="DR218" s="286"/>
      <c r="DW218" s="286"/>
      <c r="EB218" s="286"/>
      <c r="EG218" s="286"/>
    </row>
    <row r="219" spans="1:140" hidden="1" outlineLevel="2">
      <c r="A219" s="171" t="s">
        <v>497</v>
      </c>
      <c r="AD219" s="148"/>
      <c r="AE219" s="148"/>
      <c r="AF219" s="148"/>
      <c r="AH219" s="204"/>
      <c r="AI219" s="204"/>
      <c r="AJ219" s="204"/>
      <c r="AK219" s="204">
        <f>AK220/AK216</f>
        <v>0.33729875152381344</v>
      </c>
      <c r="AL219" s="204">
        <f>AL220/AL216</f>
        <v>0.37905029865547385</v>
      </c>
      <c r="AM219" s="204">
        <v>0.35</v>
      </c>
      <c r="AN219" s="204">
        <v>0.35</v>
      </c>
      <c r="AO219" s="204"/>
      <c r="AP219" s="204">
        <f t="shared" ref="AP219:AX219" si="225">AP220/AP216</f>
        <v>0.49831261407073241</v>
      </c>
      <c r="AQ219" s="204">
        <f t="shared" si="225"/>
        <v>0.50019008375948881</v>
      </c>
      <c r="AR219" s="204">
        <f t="shared" si="225"/>
        <v>0.18954577500251787</v>
      </c>
      <c r="AS219" s="204">
        <f t="shared" si="225"/>
        <v>0.59360487616099089</v>
      </c>
      <c r="AT219" s="204"/>
      <c r="AU219" s="204">
        <f t="shared" si="225"/>
        <v>0.74046326733430168</v>
      </c>
      <c r="AV219" s="204">
        <f t="shared" si="225"/>
        <v>0.7594622766974588</v>
      </c>
      <c r="AW219" s="204">
        <f t="shared" si="225"/>
        <v>0.73001752257716679</v>
      </c>
      <c r="AX219" s="313">
        <f t="shared" si="225"/>
        <v>1.3738168775530541</v>
      </c>
      <c r="AY219" s="204"/>
      <c r="AZ219" s="204">
        <v>0.9</v>
      </c>
      <c r="BA219" s="204">
        <v>0.9</v>
      </c>
      <c r="BB219" s="204">
        <v>0.9</v>
      </c>
      <c r="BC219" s="204">
        <v>0.9</v>
      </c>
      <c r="BD219" s="204"/>
      <c r="BE219" s="288"/>
      <c r="BF219" s="288"/>
      <c r="BG219" s="288"/>
      <c r="BH219" s="288"/>
      <c r="BI219" s="288"/>
      <c r="BJ219" s="288"/>
      <c r="BK219" s="288"/>
      <c r="BL219" s="288"/>
      <c r="BM219" s="288"/>
      <c r="BN219" s="288"/>
      <c r="BO219" s="288"/>
      <c r="BP219" s="288"/>
      <c r="BQ219" s="288"/>
      <c r="BR219" s="288"/>
      <c r="BS219" s="288"/>
      <c r="BT219" s="288"/>
      <c r="BU219" s="288"/>
      <c r="BV219" s="288"/>
      <c r="BW219" s="288"/>
      <c r="BX219" s="288"/>
      <c r="BY219" s="288"/>
      <c r="BZ219" s="288"/>
      <c r="CA219" s="288"/>
      <c r="CB219" s="278"/>
      <c r="CC219" s="277"/>
      <c r="CD219" s="286"/>
      <c r="CE219" s="286"/>
      <c r="CF219" s="286"/>
      <c r="CG219" s="286"/>
      <c r="CH219" s="286"/>
      <c r="CI219" s="286"/>
      <c r="CJ219" s="286"/>
      <c r="CK219" s="286"/>
      <c r="CL219" s="286"/>
      <c r="CM219" s="286"/>
      <c r="CN219" s="286"/>
      <c r="CO219" s="286"/>
      <c r="CP219" s="286"/>
      <c r="CQ219" s="286"/>
      <c r="CR219" s="286"/>
      <c r="CS219" s="286"/>
      <c r="CT219" s="286"/>
      <c r="CU219" s="286"/>
      <c r="CV219" s="286"/>
      <c r="CW219" s="286"/>
      <c r="CX219" s="286"/>
      <c r="CY219" s="286"/>
      <c r="CZ219" s="286"/>
      <c r="DA219" s="286"/>
      <c r="DB219" s="275"/>
      <c r="DC219" s="286"/>
      <c r="DH219" s="286"/>
      <c r="DR219" s="286"/>
      <c r="DW219" s="286"/>
      <c r="EB219" s="286"/>
      <c r="EG219" s="286"/>
    </row>
    <row r="220" spans="1:140" hidden="1" outlineLevel="2">
      <c r="A220" s="171" t="s">
        <v>498</v>
      </c>
      <c r="AD220" s="148"/>
      <c r="AE220" s="148"/>
      <c r="AF220" s="148"/>
      <c r="AH220" s="152"/>
      <c r="AI220" s="152"/>
      <c r="AJ220" s="152"/>
      <c r="AK220" s="242">
        <v>8.0239999999999991</v>
      </c>
      <c r="AL220" s="242">
        <v>32.872</v>
      </c>
      <c r="AM220" s="152">
        <f>AM219*AM216</f>
        <v>38.15</v>
      </c>
      <c r="AN220" s="152">
        <f>AN219*AN216</f>
        <v>13.649999999999999</v>
      </c>
      <c r="AO220" s="152"/>
      <c r="AP220" s="242">
        <v>28.940999999999999</v>
      </c>
      <c r="AQ220" s="242">
        <v>40.786999999999999</v>
      </c>
      <c r="AR220" s="242">
        <v>1.8819999999999999</v>
      </c>
      <c r="AS220" s="242">
        <f>83.881-SUM(AP220:AR220)</f>
        <v>12.271000000000001</v>
      </c>
      <c r="AT220" s="242"/>
      <c r="AU220" s="242">
        <v>19.372</v>
      </c>
      <c r="AV220" s="242">
        <v>21.129000000000001</v>
      </c>
      <c r="AW220" s="242">
        <v>16.248000000000001</v>
      </c>
      <c r="AX220" s="294">
        <f>84.327-SUM(AU220:AW220)</f>
        <v>27.577999999999989</v>
      </c>
      <c r="AY220" s="242"/>
      <c r="AZ220" s="242">
        <f>AZ219*AZ216</f>
        <v>19.306539000000001</v>
      </c>
      <c r="BA220" s="242">
        <f>BA219*BA216</f>
        <v>14.373576000000003</v>
      </c>
      <c r="BB220" s="242">
        <f>BB219*BB216</f>
        <v>19.685700000000004</v>
      </c>
      <c r="BC220" s="242">
        <f>BC219*BC216</f>
        <v>14.270399999999995</v>
      </c>
      <c r="BD220" s="242"/>
      <c r="BE220" s="282"/>
      <c r="BF220" s="282"/>
      <c r="BG220" s="282"/>
      <c r="BH220" s="282"/>
      <c r="BI220" s="282"/>
      <c r="BJ220" s="282"/>
      <c r="BK220" s="282"/>
      <c r="BL220" s="282"/>
      <c r="BM220" s="282"/>
      <c r="BN220" s="282"/>
      <c r="BO220" s="282"/>
      <c r="BP220" s="282"/>
      <c r="BQ220" s="282"/>
      <c r="BR220" s="282"/>
      <c r="BS220" s="282"/>
      <c r="BT220" s="282"/>
      <c r="BU220" s="282"/>
      <c r="BV220" s="282"/>
      <c r="BW220" s="282"/>
      <c r="BX220" s="282"/>
      <c r="BY220" s="282"/>
      <c r="BZ220" s="282"/>
      <c r="CA220" s="282"/>
      <c r="CB220" s="315"/>
      <c r="CC220" s="286"/>
      <c r="CD220" s="286"/>
      <c r="CE220" s="286"/>
      <c r="CF220" s="286"/>
      <c r="CG220" s="286"/>
      <c r="CH220" s="286"/>
      <c r="CI220" s="286"/>
      <c r="CJ220" s="286"/>
      <c r="CK220" s="286"/>
      <c r="CL220" s="286"/>
      <c r="CM220" s="286"/>
      <c r="CN220" s="286"/>
      <c r="CO220" s="286"/>
      <c r="CP220" s="286"/>
      <c r="CQ220" s="286"/>
      <c r="CR220" s="286"/>
      <c r="CS220" s="286"/>
      <c r="CT220" s="286"/>
      <c r="CU220" s="286"/>
      <c r="CV220" s="286"/>
      <c r="CW220" s="286"/>
      <c r="CX220" s="286"/>
      <c r="CY220" s="286"/>
      <c r="CZ220" s="286"/>
      <c r="DA220" s="286"/>
      <c r="DB220" s="275"/>
      <c r="DC220" s="286"/>
      <c r="DH220" s="286"/>
      <c r="DR220" s="286"/>
      <c r="DW220" s="286"/>
      <c r="EB220" s="286"/>
      <c r="EG220" s="286"/>
    </row>
    <row r="221" spans="1:140" s="344" customFormat="1" hidden="1" outlineLevel="2">
      <c r="A221" s="342"/>
      <c r="B221" s="343"/>
      <c r="C221" s="343"/>
      <c r="D221" s="343"/>
      <c r="E221" s="343"/>
      <c r="F221" s="343"/>
      <c r="G221" s="343"/>
      <c r="H221" s="343"/>
      <c r="I221" s="343"/>
      <c r="J221" s="343"/>
      <c r="K221" s="343"/>
      <c r="L221" s="343"/>
      <c r="M221" s="343"/>
      <c r="N221" s="343"/>
      <c r="O221" s="343"/>
      <c r="P221" s="343"/>
      <c r="Q221" s="343"/>
      <c r="R221" s="343"/>
      <c r="S221" s="343"/>
      <c r="T221" s="343"/>
      <c r="U221" s="343"/>
      <c r="V221" s="343"/>
      <c r="W221" s="343"/>
      <c r="X221" s="343"/>
      <c r="Y221" s="343"/>
      <c r="Z221" s="343"/>
      <c r="AA221" s="343"/>
      <c r="AB221" s="343"/>
      <c r="AC221" s="343"/>
      <c r="AD221" s="343"/>
      <c r="AE221" s="343"/>
      <c r="AF221" s="343"/>
      <c r="AK221" s="345"/>
      <c r="AL221" s="345"/>
      <c r="AM221" s="345"/>
      <c r="AN221" s="346"/>
      <c r="AO221" s="346"/>
      <c r="AP221" s="346"/>
      <c r="AQ221" s="346"/>
      <c r="AR221" s="346"/>
      <c r="AS221" s="346"/>
      <c r="AT221" s="346"/>
      <c r="AU221" s="346"/>
      <c r="AV221" s="346"/>
      <c r="AW221" s="346"/>
      <c r="AX221" s="347"/>
      <c r="AY221" s="345"/>
      <c r="BE221" s="348"/>
      <c r="BF221" s="348"/>
      <c r="BG221" s="348"/>
      <c r="BH221" s="348"/>
      <c r="BI221" s="348"/>
      <c r="BJ221" s="348"/>
      <c r="BK221" s="348"/>
      <c r="BL221" s="348"/>
      <c r="BM221" s="348"/>
      <c r="BN221" s="348"/>
      <c r="BO221" s="348"/>
      <c r="BP221" s="348"/>
      <c r="BQ221" s="348"/>
      <c r="BR221" s="348"/>
      <c r="BS221" s="348"/>
      <c r="BT221" s="348"/>
      <c r="BU221" s="348"/>
      <c r="BV221" s="348"/>
      <c r="BW221" s="348"/>
      <c r="BX221" s="348"/>
      <c r="BY221" s="348"/>
      <c r="BZ221" s="348"/>
      <c r="CA221" s="348"/>
      <c r="CB221" s="349"/>
      <c r="CC221" s="348"/>
      <c r="CD221" s="350"/>
      <c r="CE221" s="348"/>
      <c r="CF221" s="348"/>
      <c r="CG221" s="348"/>
      <c r="CH221" s="348"/>
      <c r="CI221" s="351"/>
      <c r="CJ221" s="352"/>
      <c r="CK221" s="353"/>
      <c r="CL221" s="351"/>
      <c r="CM221" s="351"/>
      <c r="CN221" s="351"/>
      <c r="CO221" s="351"/>
      <c r="CP221" s="348"/>
      <c r="CQ221" s="348"/>
      <c r="CR221" s="348"/>
      <c r="CS221" s="351"/>
      <c r="CT221" s="348"/>
      <c r="CU221" s="348"/>
      <c r="CV221" s="348"/>
      <c r="CW221" s="348"/>
      <c r="CX221" s="351"/>
      <c r="CY221" s="348"/>
      <c r="CZ221" s="348"/>
      <c r="DA221" s="348"/>
      <c r="DB221" s="354"/>
      <c r="DC221" s="348"/>
      <c r="DH221" s="348"/>
      <c r="DR221" s="348"/>
      <c r="DW221" s="348"/>
      <c r="EB221" s="348"/>
      <c r="EG221" s="348"/>
    </row>
    <row r="222" spans="1:140" hidden="1" outlineLevel="1">
      <c r="A222" s="147" t="s">
        <v>507</v>
      </c>
      <c r="AD222" s="148"/>
      <c r="AE222" s="148"/>
      <c r="AF222" s="148"/>
      <c r="AM222" s="177"/>
      <c r="AN222" s="204"/>
      <c r="AO222" s="204"/>
      <c r="AS222" s="152"/>
      <c r="AT222" s="152"/>
      <c r="AV222" s="152"/>
      <c r="AW222" s="152"/>
      <c r="AX222" s="281"/>
      <c r="AY222" s="152"/>
      <c r="AZ222" s="152"/>
      <c r="BA222" s="152"/>
      <c r="BB222" s="152"/>
      <c r="BC222" s="152"/>
      <c r="BD222" s="152"/>
      <c r="BE222" s="282"/>
      <c r="BF222" s="282"/>
      <c r="BG222" s="282"/>
      <c r="BH222" s="282"/>
      <c r="BI222" s="282"/>
      <c r="BJ222" s="282"/>
      <c r="BK222" s="282"/>
      <c r="BL222" s="282"/>
      <c r="BM222" s="282"/>
      <c r="BN222" s="282"/>
      <c r="BO222" s="282"/>
      <c r="BP222" s="282"/>
      <c r="BQ222" s="282"/>
      <c r="BR222" s="282"/>
      <c r="BS222" s="282"/>
      <c r="BT222" s="282"/>
      <c r="BU222" s="282"/>
      <c r="BV222" s="282"/>
      <c r="BW222" s="282"/>
      <c r="BX222" s="282"/>
      <c r="BY222" s="282"/>
      <c r="BZ222" s="282"/>
      <c r="CA222" s="282"/>
      <c r="CB222" s="307"/>
      <c r="CC222" s="282"/>
      <c r="CD222" s="282"/>
      <c r="CE222" s="282"/>
      <c r="CF222" s="355"/>
      <c r="CG222" s="288"/>
      <c r="CH222" s="288"/>
      <c r="CI222" s="355"/>
      <c r="CJ222" s="355"/>
      <c r="CK222" s="355"/>
      <c r="CL222" s="288"/>
      <c r="CM222" s="288"/>
      <c r="CN222" s="282"/>
      <c r="CO222" s="282"/>
      <c r="CP222" s="282"/>
      <c r="CQ222" s="288"/>
      <c r="CR222" s="288"/>
      <c r="CS222" s="282"/>
      <c r="CT222" s="282"/>
      <c r="CU222" s="282"/>
      <c r="CV222" s="288"/>
      <c r="CW222" s="288"/>
      <c r="CX222" s="282"/>
      <c r="CY222" s="282"/>
      <c r="CZ222" s="282"/>
      <c r="DA222" s="288"/>
      <c r="DB222" s="275"/>
      <c r="DC222" s="286"/>
      <c r="DH222" s="286"/>
      <c r="DR222" s="286"/>
      <c r="DW222" s="286"/>
      <c r="EB222" s="286"/>
      <c r="EG222" s="286"/>
    </row>
    <row r="223" spans="1:140" hidden="1" outlineLevel="1">
      <c r="A223" s="171" t="s">
        <v>500</v>
      </c>
      <c r="B223" s="205"/>
      <c r="C223" s="205"/>
      <c r="D223" s="205"/>
      <c r="E223" s="205"/>
      <c r="F223" s="205"/>
      <c r="G223" s="205"/>
      <c r="H223" s="205"/>
      <c r="I223" s="205"/>
      <c r="J223" s="205"/>
      <c r="K223" s="205"/>
      <c r="L223" s="205"/>
      <c r="M223" s="205"/>
      <c r="N223" s="205"/>
      <c r="O223" s="205"/>
      <c r="P223" s="205"/>
      <c r="Q223" s="205"/>
      <c r="R223" s="205"/>
      <c r="S223" s="205"/>
      <c r="T223" s="205"/>
      <c r="U223" s="205"/>
      <c r="V223" s="205"/>
      <c r="W223" s="205"/>
      <c r="X223" s="205"/>
      <c r="Y223" s="205"/>
      <c r="Z223" s="205"/>
      <c r="AA223" s="205"/>
      <c r="AB223" s="205"/>
      <c r="AC223" s="205"/>
      <c r="AD223" s="205"/>
      <c r="AE223" s="205"/>
      <c r="AF223" s="205"/>
      <c r="AG223" s="152"/>
      <c r="AH223" s="152">
        <v>0.6</v>
      </c>
      <c r="AI223" s="152">
        <v>0.9</v>
      </c>
      <c r="AJ223" s="152"/>
      <c r="AK223" s="152">
        <f t="shared" ref="AK223:BC223" si="226">AK225/AK224</f>
        <v>0.70725000000000005</v>
      </c>
      <c r="AL223" s="152">
        <f t="shared" si="226"/>
        <v>0.65012499999999995</v>
      </c>
      <c r="AM223" s="152">
        <f t="shared" si="226"/>
        <v>1.3863749999999999</v>
      </c>
      <c r="AN223" s="152">
        <f t="shared" si="226"/>
        <v>2.996375</v>
      </c>
      <c r="AO223" s="152"/>
      <c r="AP223" s="152">
        <f t="shared" si="226"/>
        <v>0.97024999999999995</v>
      </c>
      <c r="AQ223" s="152">
        <f t="shared" si="226"/>
        <v>0.26687499999999997</v>
      </c>
      <c r="AR223" s="152">
        <f t="shared" si="226"/>
        <v>2.8992499999999999</v>
      </c>
      <c r="AS223" s="152">
        <f t="shared" si="226"/>
        <v>3.2067500000000004</v>
      </c>
      <c r="AT223" s="152"/>
      <c r="AU223" s="152">
        <f t="shared" si="226"/>
        <v>3.840125</v>
      </c>
      <c r="AV223" s="152">
        <f t="shared" si="226"/>
        <v>3.4180000000000001</v>
      </c>
      <c r="AW223" s="152">
        <f t="shared" si="226"/>
        <v>3.4159210526315791</v>
      </c>
      <c r="AX223" s="281">
        <f t="shared" si="226"/>
        <v>3.4957142857142856</v>
      </c>
      <c r="AY223" s="152"/>
      <c r="AZ223" s="152">
        <f t="shared" si="226"/>
        <v>6.5391842857142857</v>
      </c>
      <c r="BA223" s="152">
        <f t="shared" si="226"/>
        <v>6.601622857142857</v>
      </c>
      <c r="BB223" s="152">
        <f t="shared" si="226"/>
        <v>6.2857142857142856</v>
      </c>
      <c r="BC223" s="152">
        <f t="shared" si="226"/>
        <v>5.882352941176471</v>
      </c>
      <c r="BD223" s="152"/>
      <c r="BE223" s="282"/>
      <c r="BF223" s="282"/>
      <c r="BG223" s="282"/>
      <c r="BH223" s="282"/>
      <c r="BI223" s="282"/>
      <c r="BJ223" s="282"/>
      <c r="BK223" s="282"/>
      <c r="BL223" s="282"/>
      <c r="BM223" s="282"/>
      <c r="BN223" s="282"/>
      <c r="BO223" s="282"/>
      <c r="BP223" s="282"/>
      <c r="BQ223" s="282"/>
      <c r="BR223" s="282"/>
      <c r="BS223" s="282"/>
      <c r="BT223" s="282"/>
      <c r="BU223" s="282"/>
      <c r="BV223" s="282"/>
      <c r="BW223" s="328"/>
      <c r="BX223" s="328"/>
      <c r="BY223" s="328"/>
      <c r="BZ223" s="328"/>
      <c r="CA223" s="328"/>
      <c r="CB223" s="356"/>
      <c r="CC223" s="328"/>
      <c r="CD223" s="328"/>
      <c r="CE223" s="328"/>
      <c r="CF223" s="328"/>
      <c r="CG223" s="328"/>
      <c r="CH223" s="328"/>
      <c r="CI223" s="328"/>
      <c r="CJ223" s="328"/>
      <c r="CK223" s="328"/>
      <c r="CL223" s="328"/>
      <c r="CM223" s="328"/>
      <c r="CN223" s="357"/>
      <c r="CO223" s="357"/>
      <c r="CP223" s="357"/>
      <c r="CQ223" s="357"/>
      <c r="CR223" s="288"/>
      <c r="CS223" s="316"/>
      <c r="CT223" s="316"/>
      <c r="CU223" s="316"/>
      <c r="CV223" s="316"/>
      <c r="CW223" s="288"/>
      <c r="CX223" s="316"/>
      <c r="CY223" s="316"/>
      <c r="CZ223" s="316"/>
      <c r="DA223" s="316"/>
      <c r="DB223" s="275"/>
      <c r="DC223" s="316"/>
      <c r="DD223" s="316"/>
      <c r="DE223" s="316"/>
      <c r="DF223" s="316"/>
      <c r="DH223" s="316"/>
      <c r="DI223" s="316"/>
      <c r="DJ223" s="316"/>
      <c r="DK223" s="316"/>
      <c r="DM223" s="316"/>
      <c r="DN223" s="316"/>
      <c r="DO223" s="316"/>
      <c r="DP223" s="316"/>
      <c r="DR223" s="316"/>
      <c r="DS223" s="316"/>
      <c r="DT223" s="316"/>
      <c r="DU223" s="316"/>
      <c r="DW223" s="316"/>
      <c r="DX223" s="316"/>
      <c r="DY223" s="316"/>
      <c r="DZ223" s="316"/>
      <c r="EB223" s="316"/>
      <c r="EC223" s="316"/>
      <c r="ED223" s="316"/>
      <c r="EE223" s="316"/>
      <c r="EG223" s="316"/>
      <c r="EH223" s="316"/>
      <c r="EI223" s="316"/>
      <c r="EJ223" s="316"/>
    </row>
    <row r="224" spans="1:140" hidden="1" outlineLevel="1">
      <c r="A224" s="171" t="s">
        <v>492</v>
      </c>
      <c r="AD224" s="148"/>
      <c r="AE224" s="148"/>
      <c r="AF224" s="358"/>
      <c r="AG224" s="204"/>
      <c r="AH224" s="187">
        <v>8</v>
      </c>
      <c r="AI224" s="187">
        <v>8</v>
      </c>
      <c r="AJ224" s="187"/>
      <c r="AK224" s="187">
        <v>8</v>
      </c>
      <c r="AL224" s="187">
        <v>8</v>
      </c>
      <c r="AM224" s="187">
        <v>8</v>
      </c>
      <c r="AN224" s="187">
        <v>8</v>
      </c>
      <c r="AO224" s="187"/>
      <c r="AP224" s="187">
        <v>8</v>
      </c>
      <c r="AQ224" s="187">
        <v>8</v>
      </c>
      <c r="AR224" s="187">
        <v>8</v>
      </c>
      <c r="AS224" s="187">
        <v>8</v>
      </c>
      <c r="AT224" s="187"/>
      <c r="AU224" s="295">
        <v>8</v>
      </c>
      <c r="AV224" s="295">
        <v>8</v>
      </c>
      <c r="AW224" s="295">
        <f>AV224*0.95</f>
        <v>7.6</v>
      </c>
      <c r="AX224" s="335">
        <v>7</v>
      </c>
      <c r="AY224" s="295"/>
      <c r="AZ224" s="187">
        <v>7</v>
      </c>
      <c r="BA224" s="187">
        <v>7</v>
      </c>
      <c r="BB224" s="187">
        <v>7</v>
      </c>
      <c r="BC224" s="187">
        <v>6.8</v>
      </c>
      <c r="BD224" s="187"/>
      <c r="BE224" s="247"/>
      <c r="BF224" s="247"/>
      <c r="BG224" s="247"/>
      <c r="BH224" s="247"/>
      <c r="BI224" s="247"/>
      <c r="BJ224" s="247"/>
      <c r="BK224" s="247"/>
      <c r="BL224" s="247"/>
      <c r="BM224" s="247"/>
      <c r="BN224" s="247"/>
      <c r="BO224" s="247"/>
      <c r="BP224" s="247"/>
      <c r="BQ224" s="247"/>
      <c r="BR224" s="247"/>
      <c r="BS224" s="247"/>
      <c r="BT224" s="247"/>
      <c r="BU224" s="247"/>
      <c r="BV224" s="247"/>
      <c r="BW224" s="247"/>
      <c r="BX224" s="247"/>
      <c r="BY224" s="247"/>
      <c r="BZ224" s="247"/>
      <c r="CA224" s="247"/>
      <c r="CB224" s="248"/>
      <c r="CC224" s="247"/>
      <c r="CD224" s="247"/>
      <c r="CE224" s="247"/>
      <c r="CF224" s="247"/>
      <c r="CG224" s="247"/>
      <c r="CH224" s="247"/>
      <c r="CI224" s="247"/>
      <c r="CJ224" s="247"/>
      <c r="CK224" s="247"/>
      <c r="CL224" s="247"/>
      <c r="CM224" s="247"/>
      <c r="CN224" s="247"/>
      <c r="CO224" s="247"/>
      <c r="CP224" s="247"/>
      <c r="CQ224" s="247"/>
      <c r="CR224" s="288"/>
      <c r="CS224" s="296"/>
      <c r="CT224" s="296"/>
      <c r="CU224" s="296"/>
      <c r="CV224" s="296"/>
      <c r="CW224" s="288"/>
      <c r="CX224" s="296"/>
      <c r="CY224" s="296"/>
      <c r="CZ224" s="296"/>
      <c r="DA224" s="296"/>
      <c r="DB224" s="275"/>
      <c r="DC224" s="296"/>
      <c r="DD224" s="296"/>
      <c r="DE224" s="296"/>
      <c r="DF224" s="296"/>
      <c r="DH224" s="296"/>
      <c r="DI224" s="296"/>
      <c r="DJ224" s="296"/>
      <c r="DK224" s="296"/>
      <c r="DM224" s="296"/>
      <c r="DN224" s="296"/>
      <c r="DO224" s="296"/>
      <c r="DP224" s="296"/>
      <c r="DR224" s="296"/>
      <c r="DS224" s="296"/>
      <c r="DT224" s="296"/>
      <c r="DU224" s="296"/>
      <c r="DW224" s="296"/>
      <c r="DX224" s="296"/>
      <c r="DY224" s="296"/>
      <c r="DZ224" s="296"/>
      <c r="EB224" s="296"/>
      <c r="EC224" s="296"/>
      <c r="ED224" s="296"/>
      <c r="EE224" s="296"/>
      <c r="EG224" s="296"/>
      <c r="EH224" s="296"/>
      <c r="EI224" s="296"/>
      <c r="EJ224" s="296"/>
    </row>
    <row r="225" spans="1:140" s="261" customFormat="1" hidden="1" outlineLevel="1">
      <c r="A225" s="250" t="s">
        <v>493</v>
      </c>
      <c r="B225" s="359"/>
      <c r="C225" s="359"/>
      <c r="D225" s="359"/>
      <c r="E225" s="359"/>
      <c r="F225" s="359"/>
      <c r="G225" s="359"/>
      <c r="H225" s="359"/>
      <c r="I225" s="359"/>
      <c r="J225" s="359"/>
      <c r="K225" s="359"/>
      <c r="L225" s="359"/>
      <c r="M225" s="359"/>
      <c r="N225" s="359"/>
      <c r="O225" s="359"/>
      <c r="P225" s="359"/>
      <c r="Q225" s="359"/>
      <c r="R225" s="359"/>
      <c r="S225" s="359"/>
      <c r="T225" s="359"/>
      <c r="U225" s="359"/>
      <c r="V225" s="359"/>
      <c r="W225" s="359"/>
      <c r="X225" s="359"/>
      <c r="Y225" s="359"/>
      <c r="Z225" s="359"/>
      <c r="AA225" s="359"/>
      <c r="AB225" s="359"/>
      <c r="AC225" s="359"/>
      <c r="AD225" s="359"/>
      <c r="AE225" s="359"/>
      <c r="AF225" s="360"/>
      <c r="AG225" s="360"/>
      <c r="AH225" s="251">
        <f>AH223*AH224</f>
        <v>4.8</v>
      </c>
      <c r="AI225" s="251">
        <f>AI223*AI224</f>
        <v>7.2</v>
      </c>
      <c r="AJ225" s="251"/>
      <c r="AK225" s="361">
        <f>10.859-AL225</f>
        <v>5.6580000000000004</v>
      </c>
      <c r="AL225" s="361">
        <v>5.2009999999999996</v>
      </c>
      <c r="AM225" s="361">
        <v>11.090999999999999</v>
      </c>
      <c r="AN225" s="361">
        <f>45.921-SUM(AK225:AM225)</f>
        <v>23.971</v>
      </c>
      <c r="AO225" s="361"/>
      <c r="AP225" s="361">
        <v>7.7619999999999996</v>
      </c>
      <c r="AQ225" s="361">
        <v>2.1349999999999998</v>
      </c>
      <c r="AR225" s="361">
        <v>23.193999999999999</v>
      </c>
      <c r="AS225" s="320">
        <f>58.745-SUM(AP225:AR225)</f>
        <v>25.654000000000003</v>
      </c>
      <c r="AT225" s="320"/>
      <c r="AU225" s="361">
        <v>30.721</v>
      </c>
      <c r="AV225" s="361">
        <v>27.344000000000001</v>
      </c>
      <c r="AW225" s="361">
        <v>25.960999999999999</v>
      </c>
      <c r="AX225" s="362">
        <f>108.496-SUM(AU225:AW225)</f>
        <v>24.47</v>
      </c>
      <c r="AY225" s="361"/>
      <c r="AZ225" s="320">
        <f>AU225*1.49</f>
        <v>45.774290000000001</v>
      </c>
      <c r="BA225" s="320">
        <f>AV225*1.69</f>
        <v>46.211359999999999</v>
      </c>
      <c r="BB225" s="320">
        <v>44</v>
      </c>
      <c r="BC225" s="320">
        <v>40</v>
      </c>
      <c r="BD225" s="320"/>
      <c r="BE225" s="254"/>
      <c r="BF225" s="254"/>
      <c r="BG225" s="254"/>
      <c r="BH225" s="254"/>
      <c r="BI225" s="254"/>
      <c r="BJ225" s="254"/>
      <c r="BK225" s="254"/>
      <c r="BL225" s="254"/>
      <c r="BM225" s="302"/>
      <c r="BN225" s="302"/>
      <c r="BO225" s="302"/>
      <c r="BP225" s="302"/>
      <c r="BQ225" s="302"/>
      <c r="BR225" s="302"/>
      <c r="BS225" s="302"/>
      <c r="BT225" s="302"/>
      <c r="BU225" s="302"/>
      <c r="BV225" s="302"/>
      <c r="BW225" s="255"/>
      <c r="BX225" s="255"/>
      <c r="BY225" s="255"/>
      <c r="BZ225" s="255"/>
      <c r="CA225" s="255"/>
      <c r="CB225" s="363"/>
      <c r="CC225" s="255"/>
      <c r="CD225" s="255"/>
      <c r="CE225" s="255"/>
      <c r="CF225" s="255"/>
      <c r="CG225" s="255"/>
      <c r="CH225" s="255"/>
      <c r="CI225" s="255"/>
      <c r="CJ225" s="255"/>
      <c r="CK225" s="255"/>
      <c r="CL225" s="255"/>
      <c r="CM225" s="255"/>
      <c r="CN225" s="364"/>
      <c r="CO225" s="364"/>
      <c r="CP225" s="364"/>
      <c r="CQ225" s="364"/>
      <c r="CR225" s="254"/>
      <c r="CS225" s="258"/>
      <c r="CT225" s="258"/>
      <c r="CU225" s="258"/>
      <c r="CV225" s="258"/>
      <c r="CW225" s="254"/>
      <c r="CX225" s="258"/>
      <c r="CY225" s="258"/>
      <c r="CZ225" s="258"/>
      <c r="DA225" s="258"/>
      <c r="DB225" s="365"/>
      <c r="DC225" s="258"/>
      <c r="DD225" s="260"/>
      <c r="DE225" s="260"/>
      <c r="DF225" s="260"/>
      <c r="DH225" s="258"/>
      <c r="DI225" s="260"/>
      <c r="DJ225" s="260"/>
      <c r="DK225" s="260"/>
      <c r="DM225" s="260"/>
      <c r="DN225" s="260"/>
      <c r="DO225" s="260"/>
      <c r="DP225" s="260"/>
      <c r="DR225" s="258"/>
      <c r="DS225" s="260"/>
      <c r="DT225" s="260"/>
      <c r="DU225" s="260"/>
      <c r="DW225" s="258"/>
      <c r="DX225" s="260"/>
      <c r="DY225" s="260"/>
      <c r="DZ225" s="260"/>
      <c r="EB225" s="258"/>
      <c r="EC225" s="260"/>
      <c r="ED225" s="260"/>
      <c r="EE225" s="260"/>
      <c r="EG225" s="258"/>
      <c r="EH225" s="260"/>
      <c r="EI225" s="260"/>
      <c r="EJ225" s="260"/>
    </row>
    <row r="226" spans="1:140" hidden="1" outlineLevel="1">
      <c r="A226" s="171" t="s">
        <v>496</v>
      </c>
      <c r="J226" s="366"/>
      <c r="K226" s="366"/>
      <c r="L226" s="366"/>
      <c r="M226" s="366"/>
      <c r="N226" s="366"/>
      <c r="O226" s="366"/>
      <c r="P226" s="366"/>
      <c r="Q226" s="366"/>
      <c r="R226" s="366"/>
      <c r="S226" s="366"/>
      <c r="T226" s="366"/>
      <c r="U226" s="366"/>
      <c r="V226" s="366"/>
      <c r="W226" s="366"/>
      <c r="X226" s="366"/>
      <c r="Y226" s="366"/>
      <c r="Z226" s="366"/>
      <c r="AA226" s="366"/>
      <c r="AB226" s="366"/>
      <c r="AC226" s="366"/>
      <c r="AD226" s="366"/>
      <c r="AE226" s="366"/>
      <c r="AF226" s="366"/>
      <c r="AG226" s="229"/>
      <c r="AH226" s="229">
        <v>0.25</v>
      </c>
      <c r="AI226" s="229">
        <v>0.25</v>
      </c>
      <c r="AJ226" s="229"/>
      <c r="AK226" s="229">
        <f>AI226+0.005</f>
        <v>0.255</v>
      </c>
      <c r="AL226" s="229">
        <f>AK226+0.005</f>
        <v>0.26</v>
      </c>
      <c r="AM226" s="229">
        <f>AL226+0.005</f>
        <v>0.26500000000000001</v>
      </c>
      <c r="AN226" s="229">
        <f>AM226+0.005</f>
        <v>0.27</v>
      </c>
      <c r="AO226" s="229"/>
      <c r="AP226" s="229">
        <v>0.25</v>
      </c>
      <c r="AQ226" s="229">
        <v>0.25</v>
      </c>
      <c r="AR226" s="229">
        <v>0.25</v>
      </c>
      <c r="AS226" s="229">
        <v>0.32</v>
      </c>
      <c r="AT226" s="229"/>
      <c r="AU226" s="229">
        <v>0.4</v>
      </c>
      <c r="AV226" s="229">
        <v>0.4</v>
      </c>
      <c r="AW226" s="229">
        <v>0.38</v>
      </c>
      <c r="AX226" s="241">
        <v>0.38</v>
      </c>
      <c r="AY226" s="229"/>
      <c r="AZ226" s="229">
        <v>0.4</v>
      </c>
      <c r="BA226" s="229">
        <v>0.4</v>
      </c>
      <c r="BB226" s="229">
        <v>0.4</v>
      </c>
      <c r="BC226" s="229">
        <v>0.4</v>
      </c>
      <c r="BD226" s="229"/>
      <c r="BE226" s="272"/>
      <c r="BF226" s="272"/>
      <c r="BG226" s="272"/>
      <c r="BH226" s="272"/>
      <c r="BI226" s="272"/>
      <c r="BJ226" s="272"/>
      <c r="BK226" s="272"/>
      <c r="BL226" s="272"/>
      <c r="BM226" s="272"/>
      <c r="BN226" s="272"/>
      <c r="BO226" s="272"/>
      <c r="BP226" s="272"/>
      <c r="BQ226" s="272"/>
      <c r="BR226" s="272"/>
      <c r="BS226" s="272"/>
      <c r="BT226" s="272"/>
      <c r="BU226" s="272"/>
      <c r="BV226" s="272"/>
      <c r="BW226" s="272"/>
      <c r="BX226" s="272"/>
      <c r="BY226" s="272"/>
      <c r="BZ226" s="272"/>
      <c r="CA226" s="272"/>
      <c r="CB226" s="273"/>
      <c r="CC226" s="272"/>
      <c r="CD226" s="272"/>
      <c r="CE226" s="272"/>
      <c r="CF226" s="272"/>
      <c r="CG226" s="272"/>
      <c r="CH226" s="272"/>
      <c r="CI226" s="272"/>
      <c r="CJ226" s="272"/>
      <c r="CK226" s="272"/>
      <c r="CL226" s="272"/>
      <c r="CM226" s="272"/>
      <c r="CN226" s="288"/>
      <c r="CO226" s="288"/>
      <c r="CP226" s="288"/>
      <c r="CQ226" s="288"/>
      <c r="CR226" s="288"/>
      <c r="CS226" s="310"/>
      <c r="CT226" s="310"/>
      <c r="CU226" s="310"/>
      <c r="CV226" s="310"/>
      <c r="CW226" s="288"/>
      <c r="CX226" s="310"/>
      <c r="CY226" s="310"/>
      <c r="CZ226" s="310"/>
      <c r="DA226" s="310"/>
      <c r="DB226" s="275"/>
      <c r="DC226" s="310"/>
      <c r="DD226" s="308"/>
      <c r="DE226" s="308"/>
      <c r="DF226" s="308"/>
      <c r="DH226" s="310"/>
      <c r="DI226" s="308"/>
      <c r="DJ226" s="308"/>
      <c r="DK226" s="308"/>
      <c r="DM226" s="308"/>
      <c r="DN226" s="308"/>
      <c r="DO226" s="308"/>
      <c r="DP226" s="308"/>
      <c r="DR226" s="310"/>
      <c r="DS226" s="308"/>
      <c r="DT226" s="308"/>
      <c r="DU226" s="308"/>
      <c r="DW226" s="310"/>
      <c r="DX226" s="308"/>
      <c r="DY226" s="308"/>
      <c r="DZ226" s="308"/>
      <c r="EB226" s="310"/>
      <c r="EC226" s="308"/>
      <c r="ED226" s="308"/>
      <c r="EE226" s="308"/>
      <c r="EG226" s="310"/>
      <c r="EH226" s="308"/>
      <c r="EI226" s="308"/>
      <c r="EJ226" s="308"/>
    </row>
    <row r="227" spans="1:140" hidden="1" outlineLevel="1">
      <c r="A227" s="171" t="s">
        <v>391</v>
      </c>
      <c r="B227" s="149"/>
      <c r="C227" s="149"/>
      <c r="D227" s="149"/>
      <c r="E227" s="149"/>
      <c r="F227" s="149"/>
      <c r="G227" s="149"/>
      <c r="H227" s="149"/>
      <c r="I227" s="149"/>
      <c r="J227" s="149"/>
      <c r="K227" s="149"/>
      <c r="L227" s="149"/>
      <c r="M227" s="149"/>
      <c r="N227" s="149"/>
      <c r="O227" s="149"/>
      <c r="P227" s="149"/>
      <c r="Q227" s="149"/>
      <c r="R227" s="149"/>
      <c r="S227" s="149"/>
      <c r="T227" s="149"/>
      <c r="U227" s="149"/>
      <c r="V227" s="149"/>
      <c r="W227" s="149"/>
      <c r="X227" s="149"/>
      <c r="Y227" s="149"/>
      <c r="Z227" s="149"/>
      <c r="AA227" s="149"/>
      <c r="AB227" s="149"/>
      <c r="AC227" s="149"/>
      <c r="AD227" s="204"/>
      <c r="AE227" s="204"/>
      <c r="AF227" s="207"/>
      <c r="AG227" s="150"/>
      <c r="AH227" s="152">
        <f t="shared" ref="AH227:BC227" si="227">AH226*AH225</f>
        <v>1.2</v>
      </c>
      <c r="AI227" s="152">
        <f t="shared" si="227"/>
        <v>1.8</v>
      </c>
      <c r="AJ227" s="152"/>
      <c r="AK227" s="152">
        <f t="shared" si="227"/>
        <v>1.44279</v>
      </c>
      <c r="AL227" s="152">
        <f t="shared" si="227"/>
        <v>1.35226</v>
      </c>
      <c r="AM227" s="152">
        <f t="shared" si="227"/>
        <v>2.9391150000000001</v>
      </c>
      <c r="AN227" s="152">
        <f t="shared" si="227"/>
        <v>6.4721700000000002</v>
      </c>
      <c r="AO227" s="152"/>
      <c r="AP227" s="152">
        <f t="shared" si="227"/>
        <v>1.9404999999999999</v>
      </c>
      <c r="AQ227" s="152">
        <f t="shared" si="227"/>
        <v>0.53374999999999995</v>
      </c>
      <c r="AR227" s="152">
        <f t="shared" si="227"/>
        <v>5.7984999999999998</v>
      </c>
      <c r="AS227" s="152">
        <f t="shared" si="227"/>
        <v>8.2092800000000015</v>
      </c>
      <c r="AT227" s="152"/>
      <c r="AU227" s="152">
        <f t="shared" si="227"/>
        <v>12.288400000000001</v>
      </c>
      <c r="AV227" s="152">
        <f t="shared" si="227"/>
        <v>10.937600000000002</v>
      </c>
      <c r="AW227" s="152">
        <f t="shared" si="227"/>
        <v>9.8651799999999987</v>
      </c>
      <c r="AX227" s="281">
        <f t="shared" si="227"/>
        <v>9.2986000000000004</v>
      </c>
      <c r="AY227" s="152"/>
      <c r="AZ227" s="152">
        <f t="shared" si="227"/>
        <v>18.309716000000002</v>
      </c>
      <c r="BA227" s="152">
        <f t="shared" si="227"/>
        <v>18.484544</v>
      </c>
      <c r="BB227" s="152">
        <f t="shared" si="227"/>
        <v>17.600000000000001</v>
      </c>
      <c r="BC227" s="152">
        <f t="shared" si="227"/>
        <v>16</v>
      </c>
      <c r="BD227" s="152"/>
      <c r="BE227" s="282"/>
      <c r="BF227" s="282"/>
      <c r="BG227" s="282"/>
      <c r="BH227" s="282"/>
      <c r="BI227" s="282"/>
      <c r="BJ227" s="282"/>
      <c r="BK227" s="282"/>
      <c r="BL227" s="282"/>
      <c r="BM227" s="282"/>
      <c r="BN227" s="282"/>
      <c r="BO227" s="282"/>
      <c r="BP227" s="282"/>
      <c r="BQ227" s="282"/>
      <c r="BR227" s="282"/>
      <c r="BS227" s="282"/>
      <c r="BT227" s="282"/>
      <c r="BU227" s="282"/>
      <c r="BV227" s="282"/>
      <c r="BW227" s="282"/>
      <c r="BX227" s="282"/>
      <c r="BY227" s="282"/>
      <c r="BZ227" s="282"/>
      <c r="CA227" s="282"/>
      <c r="CB227" s="307"/>
      <c r="CC227" s="282"/>
      <c r="CD227" s="282"/>
      <c r="CE227" s="282"/>
      <c r="CF227" s="282"/>
      <c r="CG227" s="282"/>
      <c r="CH227" s="282"/>
      <c r="CI227" s="282"/>
      <c r="CJ227" s="282"/>
      <c r="CK227" s="282"/>
      <c r="CL227" s="282"/>
      <c r="CM227" s="282"/>
      <c r="CN227" s="282"/>
      <c r="CO227" s="282"/>
      <c r="CP227" s="282"/>
      <c r="CQ227" s="282"/>
      <c r="CR227" s="282"/>
      <c r="CS227" s="282"/>
      <c r="CT227" s="282"/>
      <c r="CU227" s="282"/>
      <c r="CV227" s="282"/>
      <c r="CW227" s="282"/>
      <c r="CX227" s="282"/>
      <c r="CY227" s="282"/>
      <c r="CZ227" s="282"/>
      <c r="DA227" s="282"/>
      <c r="DB227" s="275"/>
      <c r="DC227" s="282"/>
      <c r="DD227" s="152"/>
      <c r="DE227" s="152"/>
      <c r="DF227" s="152"/>
      <c r="DH227" s="282"/>
      <c r="DI227" s="152"/>
      <c r="DJ227" s="152"/>
      <c r="DK227" s="152"/>
      <c r="DM227" s="152"/>
      <c r="DN227" s="152"/>
      <c r="DO227" s="152"/>
      <c r="DP227" s="152"/>
      <c r="DR227" s="282"/>
      <c r="DS227" s="152"/>
      <c r="DT227" s="152"/>
      <c r="DU227" s="152"/>
      <c r="DW227" s="282"/>
      <c r="DX227" s="152"/>
      <c r="DY227" s="152"/>
      <c r="DZ227" s="152"/>
      <c r="EB227" s="282"/>
      <c r="EC227" s="152"/>
      <c r="ED227" s="152"/>
      <c r="EE227" s="152"/>
      <c r="EG227" s="282"/>
      <c r="EH227" s="152"/>
      <c r="EI227" s="152"/>
      <c r="EJ227" s="152"/>
    </row>
    <row r="228" spans="1:140" hidden="1" outlineLevel="1">
      <c r="A228" s="171" t="s">
        <v>497</v>
      </c>
      <c r="AD228" s="148"/>
      <c r="AE228" s="148"/>
      <c r="AF228" s="148"/>
      <c r="AK228" s="204">
        <f t="shared" ref="AK228:AX228" si="228">AK229/AK225</f>
        <v>-1.2004241781548253</v>
      </c>
      <c r="AL228" s="204">
        <f t="shared" si="228"/>
        <v>-1.7800422995577774</v>
      </c>
      <c r="AM228" s="204">
        <f t="shared" si="228"/>
        <v>-1.2410062212604815</v>
      </c>
      <c r="AN228" s="204">
        <f t="shared" si="228"/>
        <v>-0.32197238329648309</v>
      </c>
      <c r="AO228" s="204"/>
      <c r="AP228" s="204">
        <f t="shared" si="228"/>
        <v>-2.0088894614790003</v>
      </c>
      <c r="AQ228" s="204">
        <f t="shared" si="228"/>
        <v>-4.7377049180327875</v>
      </c>
      <c r="AR228" s="204">
        <f t="shared" si="228"/>
        <v>-0.17211347762352333</v>
      </c>
      <c r="AS228" s="204">
        <f t="shared" si="228"/>
        <v>-0.20355500116940817</v>
      </c>
      <c r="AT228" s="204"/>
      <c r="AU228" s="204">
        <f t="shared" si="228"/>
        <v>-4.6352657791087527E-2</v>
      </c>
      <c r="AV228" s="204">
        <f t="shared" si="228"/>
        <v>-0.15765798712697482</v>
      </c>
      <c r="AW228" s="204">
        <f t="shared" si="228"/>
        <v>-0.42405916567158436</v>
      </c>
      <c r="AX228" s="313">
        <f t="shared" si="228"/>
        <v>-1.0075602778912955</v>
      </c>
      <c r="AY228" s="204"/>
      <c r="AZ228" s="204">
        <f>AZ229/AZ225</f>
        <v>-0.19964348982802357</v>
      </c>
      <c r="BA228" s="204">
        <f>BA229/BA225</f>
        <v>-0.25116283095758279</v>
      </c>
      <c r="BB228" s="204">
        <f>BB229/BB225</f>
        <v>-0.38451590909090921</v>
      </c>
      <c r="BC228" s="204">
        <f>BC229/BC225</f>
        <v>-0.28758499999999987</v>
      </c>
      <c r="BD228" s="204"/>
      <c r="BE228" s="288"/>
      <c r="BF228" s="288"/>
      <c r="BG228" s="288"/>
      <c r="BH228" s="288"/>
      <c r="BI228" s="288"/>
      <c r="BJ228" s="288"/>
      <c r="BK228" s="288"/>
      <c r="BL228" s="288"/>
      <c r="BM228" s="288"/>
      <c r="BN228" s="288"/>
      <c r="BO228" s="288"/>
      <c r="BP228" s="288"/>
      <c r="BQ228" s="288"/>
      <c r="BR228" s="288"/>
      <c r="BS228" s="288"/>
      <c r="BT228" s="288"/>
      <c r="BU228" s="288"/>
      <c r="BV228" s="288"/>
      <c r="BW228" s="288"/>
      <c r="BX228" s="288"/>
      <c r="BY228" s="288"/>
      <c r="BZ228" s="288"/>
      <c r="CA228" s="288"/>
      <c r="CB228" s="291"/>
      <c r="CC228" s="288"/>
      <c r="CD228" s="288"/>
      <c r="CE228" s="288"/>
      <c r="CF228" s="288"/>
      <c r="CG228" s="288"/>
      <c r="CH228" s="288"/>
      <c r="CI228" s="288"/>
      <c r="CJ228" s="288"/>
      <c r="CK228" s="288"/>
      <c r="CL228" s="288"/>
      <c r="CM228" s="288"/>
      <c r="CN228" s="288"/>
      <c r="CO228" s="288"/>
      <c r="CP228" s="288"/>
      <c r="CQ228" s="286"/>
      <c r="CR228" s="286"/>
      <c r="CS228" s="286"/>
      <c r="CT228" s="286"/>
      <c r="CU228" s="286"/>
      <c r="CV228" s="286"/>
      <c r="CW228" s="286"/>
      <c r="CX228" s="286"/>
      <c r="CY228" s="286"/>
      <c r="CZ228" s="286"/>
      <c r="DA228" s="286"/>
      <c r="DB228" s="275"/>
      <c r="DC228" s="286"/>
      <c r="DH228" s="286"/>
      <c r="DR228" s="286"/>
      <c r="DW228" s="286"/>
      <c r="EB228" s="286"/>
      <c r="EG228" s="286"/>
    </row>
    <row r="229" spans="1:140" hidden="1" outlineLevel="1">
      <c r="A229" s="171" t="s">
        <v>498</v>
      </c>
      <c r="AD229" s="148"/>
      <c r="AE229" s="148"/>
      <c r="AF229" s="148"/>
      <c r="AK229" s="242">
        <f>-16.05-AL229</f>
        <v>-6.7920000000000016</v>
      </c>
      <c r="AL229" s="242">
        <v>-9.2579999999999991</v>
      </c>
      <c r="AM229" s="242">
        <v>-13.763999999999999</v>
      </c>
      <c r="AN229" s="242">
        <f>-37.532-SUM(AK229:AM229)</f>
        <v>-7.7179999999999964</v>
      </c>
      <c r="AO229" s="242"/>
      <c r="AP229" s="242">
        <v>-15.593</v>
      </c>
      <c r="AQ229" s="242">
        <v>-10.115</v>
      </c>
      <c r="AR229" s="242">
        <v>-3.992</v>
      </c>
      <c r="AS229" s="242">
        <f>-34.922-SUM(AP229:AR229)</f>
        <v>-5.2219999999999978</v>
      </c>
      <c r="AT229" s="242"/>
      <c r="AU229" s="242">
        <v>-1.4239999999999999</v>
      </c>
      <c r="AV229" s="242">
        <v>-4.3109999999999999</v>
      </c>
      <c r="AW229" s="242">
        <v>-11.009</v>
      </c>
      <c r="AX229" s="294">
        <f>-41.399-SUM(AU229:AW229)</f>
        <v>-24.655000000000001</v>
      </c>
      <c r="AY229" s="242"/>
      <c r="AZ229" s="235">
        <f>10.168-AZ220</f>
        <v>-9.1385390000000015</v>
      </c>
      <c r="BA229" s="235">
        <f>2.767-BA220</f>
        <v>-11.606576000000004</v>
      </c>
      <c r="BB229" s="235">
        <f>2.767-BB220</f>
        <v>-16.918700000000005</v>
      </c>
      <c r="BC229" s="235">
        <f>2.767-BC220</f>
        <v>-11.503399999999996</v>
      </c>
      <c r="BD229" s="235"/>
      <c r="BE229" s="277"/>
      <c r="BF229" s="277"/>
      <c r="BG229" s="277"/>
      <c r="BH229" s="277"/>
      <c r="BI229" s="277"/>
      <c r="BJ229" s="282"/>
      <c r="BK229" s="282"/>
      <c r="BL229" s="282"/>
      <c r="BM229" s="282"/>
      <c r="BN229" s="282"/>
      <c r="BO229" s="282"/>
      <c r="BP229" s="282"/>
      <c r="BQ229" s="282"/>
      <c r="BR229" s="282"/>
      <c r="BS229" s="282"/>
      <c r="BT229" s="282"/>
      <c r="BU229" s="282"/>
      <c r="BV229" s="282"/>
      <c r="BW229" s="282"/>
      <c r="BX229" s="282"/>
      <c r="BY229" s="282"/>
      <c r="BZ229" s="282"/>
      <c r="CA229" s="282"/>
      <c r="CB229" s="307"/>
      <c r="CC229" s="282"/>
      <c r="CD229" s="282"/>
      <c r="CE229" s="282"/>
      <c r="CF229" s="282"/>
      <c r="CG229" s="282"/>
      <c r="CH229" s="282"/>
      <c r="CI229" s="282"/>
      <c r="CJ229" s="282"/>
      <c r="CK229" s="282"/>
      <c r="CL229" s="282"/>
      <c r="CM229" s="282"/>
      <c r="CN229" s="282"/>
      <c r="CO229" s="282"/>
      <c r="CP229" s="282"/>
      <c r="CQ229" s="286"/>
      <c r="CR229" s="286"/>
      <c r="CS229" s="286"/>
      <c r="CT229" s="286"/>
      <c r="CU229" s="286"/>
      <c r="CV229" s="286"/>
      <c r="CW229" s="286"/>
      <c r="CX229" s="286"/>
      <c r="CY229" s="286"/>
      <c r="CZ229" s="286"/>
      <c r="DA229" s="286"/>
      <c r="DB229" s="275"/>
      <c r="DC229" s="286"/>
      <c r="DH229" s="286"/>
      <c r="DR229" s="286"/>
      <c r="DW229" s="286"/>
      <c r="EB229" s="286"/>
      <c r="EG229" s="286"/>
    </row>
    <row r="230" spans="1:140" hidden="1" outlineLevel="1">
      <c r="AD230" s="148"/>
      <c r="AE230" s="148"/>
      <c r="AF230" s="148"/>
      <c r="AV230" s="152"/>
      <c r="AX230" s="313"/>
      <c r="AY230" s="204"/>
      <c r="AZ230" s="186"/>
      <c r="BA230" s="186"/>
      <c r="BB230" s="152"/>
      <c r="BC230" s="204"/>
      <c r="BD230" s="204"/>
      <c r="BE230" s="288"/>
      <c r="BF230" s="282"/>
      <c r="BG230" s="282"/>
      <c r="BH230" s="282"/>
      <c r="BI230" s="282"/>
      <c r="BJ230" s="282"/>
      <c r="BK230" s="282"/>
      <c r="BL230" s="282"/>
      <c r="BM230" s="282"/>
      <c r="BN230" s="282"/>
      <c r="BO230" s="282"/>
      <c r="BP230" s="282"/>
      <c r="BQ230" s="282"/>
      <c r="BR230" s="282"/>
      <c r="BS230" s="282"/>
      <c r="BT230" s="282"/>
      <c r="BU230" s="292"/>
      <c r="BV230" s="292"/>
      <c r="BW230" s="283"/>
      <c r="BX230" s="283"/>
      <c r="BY230" s="283"/>
      <c r="BZ230" s="283"/>
      <c r="CA230" s="282"/>
      <c r="CB230" s="307"/>
      <c r="CC230" s="282"/>
      <c r="CD230" s="282"/>
      <c r="CE230" s="282"/>
      <c r="CF230" s="282"/>
      <c r="CG230" s="282"/>
      <c r="CH230" s="282"/>
      <c r="CI230" s="282"/>
      <c r="CJ230" s="282"/>
      <c r="CK230" s="282"/>
      <c r="CL230" s="282"/>
      <c r="CM230" s="282"/>
      <c r="CN230" s="282"/>
      <c r="CO230" s="282"/>
      <c r="CP230" s="282"/>
      <c r="CQ230" s="282"/>
      <c r="CR230" s="282"/>
      <c r="CS230" s="282"/>
      <c r="CT230" s="282"/>
      <c r="CU230" s="282"/>
      <c r="CV230" s="282"/>
      <c r="CW230" s="282"/>
      <c r="CX230" s="282"/>
      <c r="CY230" s="282"/>
      <c r="CZ230" s="282"/>
      <c r="DA230" s="282"/>
      <c r="DB230" s="275"/>
      <c r="DC230" s="286"/>
      <c r="DH230" s="286"/>
      <c r="DR230" s="286"/>
      <c r="DW230" s="286"/>
      <c r="EB230" s="286"/>
      <c r="EG230" s="286"/>
    </row>
    <row r="231" spans="1:140" hidden="1" outlineLevel="1">
      <c r="A231" s="147" t="s">
        <v>508</v>
      </c>
      <c r="AD231" s="148"/>
      <c r="AE231" s="148"/>
      <c r="AF231" s="148"/>
      <c r="AK231" s="204"/>
      <c r="AL231" s="204"/>
      <c r="AM231" s="204"/>
      <c r="AP231" s="204"/>
      <c r="AS231" s="229"/>
      <c r="AT231" s="229"/>
      <c r="AU231" s="229"/>
      <c r="AX231" s="367"/>
      <c r="AZ231" s="368"/>
      <c r="BE231" s="286"/>
      <c r="BF231" s="286"/>
      <c r="BG231" s="286"/>
      <c r="BH231" s="286"/>
      <c r="BI231" s="286"/>
      <c r="BJ231" s="286"/>
      <c r="BK231" s="286"/>
      <c r="BL231" s="286"/>
      <c r="BM231" s="286"/>
      <c r="BN231" s="286"/>
      <c r="BO231" s="286"/>
      <c r="BP231" s="286"/>
      <c r="BQ231" s="286"/>
      <c r="BR231" s="286"/>
      <c r="BS231" s="286"/>
      <c r="BT231" s="286"/>
      <c r="BU231" s="286"/>
      <c r="BV231" s="286"/>
      <c r="BW231" s="286"/>
      <c r="BX231" s="286"/>
      <c r="BY231" s="286"/>
      <c r="BZ231" s="286"/>
      <c r="CA231" s="286"/>
      <c r="CB231" s="315"/>
      <c r="CC231" s="286"/>
      <c r="CD231" s="286"/>
      <c r="CE231" s="286"/>
      <c r="CF231" s="286"/>
      <c r="CG231" s="286"/>
      <c r="CH231" s="286"/>
      <c r="CI231" s="286"/>
      <c r="CJ231" s="286"/>
      <c r="CK231" s="286"/>
      <c r="CL231" s="286"/>
      <c r="CM231" s="286"/>
      <c r="CN231" s="286"/>
      <c r="CO231" s="286"/>
      <c r="CP231" s="286"/>
      <c r="CQ231" s="286"/>
      <c r="CR231" s="286"/>
      <c r="CS231" s="286"/>
      <c r="CT231" s="286"/>
      <c r="CU231" s="286"/>
      <c r="CV231" s="286"/>
      <c r="CW231" s="286"/>
      <c r="CX231" s="286"/>
      <c r="CY231" s="286"/>
      <c r="CZ231" s="286"/>
      <c r="DA231" s="286"/>
      <c r="DB231" s="275"/>
      <c r="DC231" s="286"/>
      <c r="DH231" s="286"/>
      <c r="DR231" s="286"/>
      <c r="DW231" s="286"/>
      <c r="EB231" s="286"/>
      <c r="EG231" s="286"/>
    </row>
    <row r="232" spans="1:140" s="261" customFormat="1" hidden="1" outlineLevel="1">
      <c r="A232" s="250" t="s">
        <v>509</v>
      </c>
      <c r="B232" s="359"/>
      <c r="C232" s="359"/>
      <c r="D232" s="359"/>
      <c r="E232" s="359"/>
      <c r="F232" s="359"/>
      <c r="G232" s="359"/>
      <c r="H232" s="359"/>
      <c r="I232" s="359"/>
      <c r="J232" s="359"/>
      <c r="K232" s="359"/>
      <c r="L232" s="359"/>
      <c r="M232" s="359"/>
      <c r="N232" s="359"/>
      <c r="O232" s="359"/>
      <c r="P232" s="359"/>
      <c r="Q232" s="359"/>
      <c r="R232" s="359"/>
      <c r="S232" s="359"/>
      <c r="T232" s="359"/>
      <c r="U232" s="359"/>
      <c r="V232" s="359"/>
      <c r="W232" s="359"/>
      <c r="X232" s="359"/>
      <c r="Y232" s="359"/>
      <c r="Z232" s="359"/>
      <c r="AA232" s="359"/>
      <c r="AB232" s="359"/>
      <c r="AC232" s="359"/>
      <c r="AD232" s="359"/>
      <c r="AE232" s="359"/>
      <c r="AF232" s="359"/>
      <c r="AK232" s="361">
        <f>74.799-AL232</f>
        <v>32.31600000000001</v>
      </c>
      <c r="AL232" s="361">
        <v>42.482999999999997</v>
      </c>
      <c r="AM232" s="361">
        <v>51.735999999999997</v>
      </c>
      <c r="AN232" s="361">
        <f>179.709-SUM(AK232:AM232)</f>
        <v>53.174000000000007</v>
      </c>
      <c r="AO232" s="361"/>
      <c r="AP232" s="361">
        <v>36.274999999999999</v>
      </c>
      <c r="AQ232" s="361">
        <v>29.436</v>
      </c>
      <c r="AR232" s="361">
        <v>32.399000000000001</v>
      </c>
      <c r="AS232" s="361">
        <f>140.004-SUM(AP232:AR232)</f>
        <v>41.893999999999991</v>
      </c>
      <c r="AT232" s="361"/>
      <c r="AU232" s="361">
        <v>54.109000000000002</v>
      </c>
      <c r="AV232" s="361">
        <v>34.136000000000003</v>
      </c>
      <c r="AW232" s="361">
        <v>55.195</v>
      </c>
      <c r="AX232" s="362">
        <f>208.144-SUM(AU232:AW232)</f>
        <v>64.704000000000008</v>
      </c>
      <c r="AY232" s="361"/>
      <c r="AZ232" s="361">
        <v>3.9359999999999999</v>
      </c>
      <c r="BA232" s="361">
        <v>5.6580000000000004</v>
      </c>
      <c r="BB232" s="361">
        <v>9.5060000000000002</v>
      </c>
      <c r="BC232" s="361">
        <f>29.731-SUM(AZ232:BB232)</f>
        <v>10.631</v>
      </c>
      <c r="BD232" s="361"/>
      <c r="BE232" s="302"/>
      <c r="BF232" s="302"/>
      <c r="BG232" s="302"/>
      <c r="BH232" s="302"/>
      <c r="BI232" s="302"/>
      <c r="BJ232" s="302"/>
      <c r="BK232" s="302"/>
      <c r="BL232" s="302"/>
      <c r="BM232" s="255"/>
      <c r="BN232" s="255"/>
      <c r="BO232" s="255"/>
      <c r="BP232" s="255"/>
      <c r="BQ232" s="255"/>
      <c r="BR232" s="255"/>
      <c r="BS232" s="255"/>
      <c r="BT232" s="255"/>
      <c r="BU232" s="255"/>
      <c r="BV232" s="255"/>
      <c r="BW232" s="255"/>
      <c r="BX232" s="255"/>
      <c r="BY232" s="255"/>
      <c r="BZ232" s="255"/>
      <c r="CA232" s="255"/>
      <c r="CB232" s="363"/>
      <c r="CC232" s="255"/>
      <c r="CD232" s="255"/>
      <c r="CE232" s="255"/>
      <c r="CF232" s="255"/>
      <c r="CG232" s="255"/>
      <c r="CH232" s="255"/>
      <c r="CI232" s="255"/>
      <c r="CJ232" s="255"/>
      <c r="CK232" s="255"/>
      <c r="CL232" s="255"/>
      <c r="CM232" s="255"/>
      <c r="CN232" s="302"/>
      <c r="CO232" s="302"/>
      <c r="CP232" s="302"/>
      <c r="CQ232" s="302"/>
      <c r="CR232" s="254"/>
      <c r="CS232" s="302"/>
      <c r="CT232" s="302"/>
      <c r="CU232" s="302"/>
      <c r="CV232" s="302"/>
      <c r="CW232" s="254"/>
      <c r="CX232" s="302"/>
      <c r="CY232" s="302"/>
      <c r="CZ232" s="302"/>
      <c r="DA232" s="302"/>
      <c r="DB232" s="365"/>
      <c r="DC232" s="369"/>
      <c r="DH232" s="369"/>
      <c r="DR232" s="369"/>
      <c r="DW232" s="369"/>
      <c r="EB232" s="369"/>
      <c r="EG232" s="369"/>
    </row>
    <row r="233" spans="1:140" hidden="1" outlineLevel="1">
      <c r="A233" s="171" t="s">
        <v>496</v>
      </c>
      <c r="AD233" s="148"/>
      <c r="AE233" s="148"/>
      <c r="AF233" s="148"/>
      <c r="AK233" s="204">
        <v>0.1</v>
      </c>
      <c r="AL233" s="204">
        <v>0.1</v>
      </c>
      <c r="AM233" s="204">
        <v>0.1</v>
      </c>
      <c r="AN233" s="204">
        <v>0.1</v>
      </c>
      <c r="AO233" s="204"/>
      <c r="AP233" s="204">
        <v>0.1</v>
      </c>
      <c r="AQ233" s="204">
        <v>0.1</v>
      </c>
      <c r="AR233" s="204">
        <v>0.1</v>
      </c>
      <c r="AS233" s="204">
        <v>0.1</v>
      </c>
      <c r="AT233" s="204"/>
      <c r="AU233" s="204">
        <v>0.14284686607043226</v>
      </c>
      <c r="AV233" s="204">
        <v>0.1</v>
      </c>
      <c r="AW233" s="204">
        <v>0.1</v>
      </c>
      <c r="AX233" s="313">
        <v>0.1</v>
      </c>
      <c r="AY233" s="204"/>
      <c r="AZ233" s="204">
        <v>0.1</v>
      </c>
      <c r="BA233" s="204">
        <v>0.1</v>
      </c>
      <c r="BB233" s="204">
        <v>0.1</v>
      </c>
      <c r="BC233" s="204">
        <v>0.1</v>
      </c>
      <c r="BD233" s="204"/>
      <c r="BE233" s="288"/>
      <c r="BF233" s="288"/>
      <c r="BG233" s="288"/>
      <c r="BH233" s="288"/>
      <c r="BI233" s="288"/>
      <c r="BJ233" s="288"/>
      <c r="BK233" s="288"/>
      <c r="BL233" s="288"/>
      <c r="BM233" s="288"/>
      <c r="BN233" s="288"/>
      <c r="BO233" s="288"/>
      <c r="BP233" s="288"/>
      <c r="BQ233" s="288"/>
      <c r="BR233" s="288"/>
      <c r="BS233" s="288"/>
      <c r="BT233" s="288"/>
      <c r="BU233" s="288"/>
      <c r="BV233" s="288"/>
      <c r="BW233" s="288"/>
      <c r="BX233" s="288"/>
      <c r="BY233" s="288"/>
      <c r="BZ233" s="288"/>
      <c r="CA233" s="288"/>
      <c r="CB233" s="291"/>
      <c r="CC233" s="288"/>
      <c r="CD233" s="288"/>
      <c r="CE233" s="288"/>
      <c r="CF233" s="288"/>
      <c r="CG233" s="288"/>
      <c r="CH233" s="288"/>
      <c r="CI233" s="288"/>
      <c r="CJ233" s="288"/>
      <c r="CK233" s="288"/>
      <c r="CL233" s="288"/>
      <c r="CM233" s="288"/>
      <c r="CN233" s="288"/>
      <c r="CO233" s="288"/>
      <c r="CP233" s="288"/>
      <c r="CQ233" s="310"/>
      <c r="CR233" s="288"/>
      <c r="CS233" s="310"/>
      <c r="CT233" s="310"/>
      <c r="CU233" s="310"/>
      <c r="CV233" s="310"/>
      <c r="CW233" s="288"/>
      <c r="CX233" s="310"/>
      <c r="CY233" s="288"/>
      <c r="CZ233" s="288"/>
      <c r="DA233" s="288"/>
      <c r="DB233" s="275"/>
      <c r="DC233" s="286"/>
      <c r="DH233" s="286"/>
      <c r="DR233" s="286"/>
      <c r="DW233" s="286"/>
      <c r="EB233" s="286"/>
      <c r="EG233" s="286"/>
    </row>
    <row r="234" spans="1:140" hidden="1" outlineLevel="1">
      <c r="A234" s="171" t="s">
        <v>391</v>
      </c>
      <c r="AD234" s="148"/>
      <c r="AE234" s="148"/>
      <c r="AF234" s="148"/>
      <c r="AK234" s="150">
        <f t="shared" ref="AK234:BC234" si="229">AK233*AK232</f>
        <v>3.2316000000000011</v>
      </c>
      <c r="AL234" s="150">
        <f t="shared" si="229"/>
        <v>4.2482999999999995</v>
      </c>
      <c r="AM234" s="150">
        <f t="shared" si="229"/>
        <v>5.1736000000000004</v>
      </c>
      <c r="AN234" s="150">
        <f t="shared" si="229"/>
        <v>5.317400000000001</v>
      </c>
      <c r="AO234" s="150"/>
      <c r="AP234" s="150">
        <f t="shared" si="229"/>
        <v>3.6274999999999999</v>
      </c>
      <c r="AQ234" s="150">
        <f t="shared" si="229"/>
        <v>2.9436</v>
      </c>
      <c r="AR234" s="150">
        <f t="shared" si="229"/>
        <v>3.2399000000000004</v>
      </c>
      <c r="AS234" s="150">
        <f t="shared" si="229"/>
        <v>4.1893999999999991</v>
      </c>
      <c r="AT234" s="150"/>
      <c r="AU234" s="150">
        <f t="shared" si="229"/>
        <v>7.7293010762050196</v>
      </c>
      <c r="AV234" s="150">
        <f t="shared" si="229"/>
        <v>3.4136000000000006</v>
      </c>
      <c r="AW234" s="150">
        <f t="shared" si="229"/>
        <v>5.5195000000000007</v>
      </c>
      <c r="AX234" s="370">
        <f t="shared" si="229"/>
        <v>6.4704000000000015</v>
      </c>
      <c r="AY234" s="150"/>
      <c r="AZ234" s="150">
        <f t="shared" si="229"/>
        <v>0.39360000000000001</v>
      </c>
      <c r="BA234" s="150">
        <f t="shared" si="229"/>
        <v>0.56580000000000008</v>
      </c>
      <c r="BB234" s="150">
        <f t="shared" si="229"/>
        <v>0.95060000000000011</v>
      </c>
      <c r="BC234" s="150">
        <f t="shared" si="229"/>
        <v>1.0631000000000002</v>
      </c>
      <c r="BD234" s="150"/>
      <c r="BE234" s="283"/>
      <c r="BF234" s="283"/>
      <c r="BG234" s="283"/>
      <c r="BH234" s="283"/>
      <c r="BI234" s="283"/>
      <c r="BJ234" s="283"/>
      <c r="BK234" s="283"/>
      <c r="BL234" s="283"/>
      <c r="BM234" s="283"/>
      <c r="BN234" s="283"/>
      <c r="BO234" s="283"/>
      <c r="BP234" s="283"/>
      <c r="BQ234" s="283"/>
      <c r="BR234" s="283"/>
      <c r="BS234" s="283"/>
      <c r="BT234" s="283"/>
      <c r="BU234" s="283"/>
      <c r="BV234" s="283"/>
      <c r="BW234" s="283"/>
      <c r="BX234" s="283"/>
      <c r="BY234" s="283"/>
      <c r="BZ234" s="283"/>
      <c r="CA234" s="283"/>
      <c r="CB234" s="331"/>
      <c r="CC234" s="283"/>
      <c r="CD234" s="283"/>
      <c r="CE234" s="283"/>
      <c r="CF234" s="283"/>
      <c r="CG234" s="283"/>
      <c r="CH234" s="283"/>
      <c r="CI234" s="283"/>
      <c r="CJ234" s="283"/>
      <c r="CK234" s="283"/>
      <c r="CL234" s="283"/>
      <c r="CM234" s="283"/>
      <c r="CN234" s="282"/>
      <c r="CO234" s="282"/>
      <c r="CP234" s="282"/>
      <c r="CQ234" s="282"/>
      <c r="CR234" s="283"/>
      <c r="CS234" s="283"/>
      <c r="CT234" s="283"/>
      <c r="CU234" s="283"/>
      <c r="CV234" s="283"/>
      <c r="CW234" s="283"/>
      <c r="CX234" s="283"/>
      <c r="CY234" s="283"/>
      <c r="CZ234" s="283"/>
      <c r="DA234" s="283"/>
      <c r="DB234" s="275"/>
      <c r="DC234" s="286"/>
      <c r="DH234" s="286"/>
      <c r="DR234" s="286"/>
      <c r="DW234" s="286"/>
      <c r="EB234" s="286"/>
      <c r="EG234" s="286"/>
    </row>
    <row r="235" spans="1:140" hidden="1" outlineLevel="1">
      <c r="A235" s="171" t="s">
        <v>497</v>
      </c>
      <c r="AD235" s="148"/>
      <c r="AE235" s="148"/>
      <c r="AF235" s="148"/>
      <c r="AK235" s="204">
        <f t="shared" ref="AK235:BB235" si="230">AK236/AK232</f>
        <v>-0.79632380245079815</v>
      </c>
      <c r="AL235" s="204">
        <f t="shared" si="230"/>
        <v>-0.50982746039592308</v>
      </c>
      <c r="AM235" s="204">
        <f t="shared" si="230"/>
        <v>-0.49723596721818469</v>
      </c>
      <c r="AN235" s="204">
        <f t="shared" si="230"/>
        <v>-0.45616278632414331</v>
      </c>
      <c r="AO235" s="204"/>
      <c r="AP235" s="204">
        <f t="shared" si="230"/>
        <v>-0.60521019986216407</v>
      </c>
      <c r="AQ235" s="204">
        <f t="shared" si="230"/>
        <v>-0.97540426688408755</v>
      </c>
      <c r="AR235" s="204">
        <f t="shared" si="230"/>
        <v>-1.2913361523503812</v>
      </c>
      <c r="AS235" s="204">
        <f t="shared" si="230"/>
        <v>-0.4740296939895931</v>
      </c>
      <c r="AT235" s="204"/>
      <c r="AU235" s="204">
        <f t="shared" si="230"/>
        <v>-0.89227300449093494</v>
      </c>
      <c r="AV235" s="204">
        <f t="shared" si="230"/>
        <v>-1.6706995547222872</v>
      </c>
      <c r="AW235" s="204">
        <f t="shared" si="230"/>
        <v>-1.4084609113144306</v>
      </c>
      <c r="AX235" s="313">
        <f t="shared" si="230"/>
        <v>-1.054803412462908</v>
      </c>
      <c r="AY235" s="204"/>
      <c r="AZ235" s="204">
        <f t="shared" si="230"/>
        <v>-17.907774390243901</v>
      </c>
      <c r="BA235" s="204">
        <f t="shared" si="230"/>
        <v>-11.41728525980912</v>
      </c>
      <c r="BB235" s="204">
        <f t="shared" si="230"/>
        <v>-7.0557542604670731</v>
      </c>
      <c r="BC235" s="204">
        <f>BC236/BC232</f>
        <v>-6.6029536261875617</v>
      </c>
      <c r="BD235" s="204"/>
      <c r="BE235" s="288"/>
      <c r="BF235" s="288"/>
      <c r="BG235" s="288"/>
      <c r="BH235" s="288"/>
      <c r="BI235" s="288"/>
      <c r="BJ235" s="288"/>
      <c r="BK235" s="288"/>
      <c r="BL235" s="288"/>
      <c r="BM235" s="288"/>
      <c r="BN235" s="288"/>
      <c r="BO235" s="371"/>
      <c r="BP235" s="371"/>
      <c r="BQ235" s="371"/>
      <c r="BR235" s="371"/>
      <c r="BS235" s="371"/>
      <c r="BT235" s="371"/>
      <c r="BU235" s="371"/>
      <c r="BV235" s="371"/>
      <c r="BW235" s="371"/>
      <c r="BX235" s="371"/>
      <c r="BY235" s="371"/>
      <c r="BZ235" s="371"/>
      <c r="CA235" s="371"/>
      <c r="CB235" s="372"/>
      <c r="CC235" s="371"/>
      <c r="CD235" s="371"/>
      <c r="CE235" s="371"/>
      <c r="CF235" s="371"/>
      <c r="CG235" s="371"/>
      <c r="CH235" s="371"/>
      <c r="CI235" s="371"/>
      <c r="CJ235" s="371"/>
      <c r="CK235" s="371"/>
      <c r="CL235" s="371"/>
      <c r="CM235" s="371"/>
      <c r="CN235" s="371"/>
      <c r="CO235" s="371"/>
      <c r="CP235" s="371"/>
      <c r="CQ235" s="286"/>
      <c r="CR235" s="286"/>
      <c r="CS235" s="286"/>
      <c r="CT235" s="286"/>
      <c r="CU235" s="286"/>
      <c r="CV235" s="286"/>
      <c r="CW235" s="286"/>
      <c r="CX235" s="286"/>
      <c r="CY235" s="286"/>
      <c r="CZ235" s="286"/>
      <c r="DA235" s="286"/>
      <c r="DB235" s="275"/>
      <c r="DC235" s="286"/>
      <c r="DH235" s="286"/>
      <c r="DR235" s="286"/>
      <c r="DW235" s="286"/>
      <c r="EB235" s="286"/>
      <c r="EG235" s="286"/>
    </row>
    <row r="236" spans="1:140" hidden="1" outlineLevel="1">
      <c r="A236" s="171" t="s">
        <v>498</v>
      </c>
      <c r="AD236" s="148"/>
      <c r="AE236" s="148"/>
      <c r="AF236" s="148"/>
      <c r="AK236" s="242">
        <f>-47.393-AL236</f>
        <v>-25.734000000000002</v>
      </c>
      <c r="AL236" s="242">
        <v>-21.658999999999999</v>
      </c>
      <c r="AM236" s="242">
        <v>-25.725000000000001</v>
      </c>
      <c r="AN236" s="242">
        <f>-97.374-SUM(AK236:AM236)</f>
        <v>-24.256</v>
      </c>
      <c r="AO236" s="242"/>
      <c r="AP236" s="242">
        <v>-21.954000000000001</v>
      </c>
      <c r="AQ236" s="242">
        <v>-28.712</v>
      </c>
      <c r="AR236" s="242">
        <v>-41.838000000000001</v>
      </c>
      <c r="AS236" s="242">
        <f>+-112.363-SUM(AP236:AR236)</f>
        <v>-19.859000000000009</v>
      </c>
      <c r="AT236" s="242"/>
      <c r="AU236" s="242">
        <v>-48.28</v>
      </c>
      <c r="AV236" s="242">
        <v>-57.030999999999999</v>
      </c>
      <c r="AW236" s="242">
        <v>-77.739999999999995</v>
      </c>
      <c r="AX236" s="294">
        <f>-251.301-SUM(AU236:AW236)</f>
        <v>-68.25</v>
      </c>
      <c r="AY236" s="242"/>
      <c r="AZ236" s="242">
        <v>-70.484999999999999</v>
      </c>
      <c r="BA236" s="242">
        <v>-64.599000000000004</v>
      </c>
      <c r="BB236" s="242">
        <v>-67.072000000000003</v>
      </c>
      <c r="BC236" s="242">
        <f>-272.352-SUM(AZ236:BB236)</f>
        <v>-70.19599999999997</v>
      </c>
      <c r="BD236" s="242"/>
      <c r="BE236" s="282"/>
      <c r="BF236" s="282"/>
      <c r="BG236" s="282"/>
      <c r="BH236" s="282"/>
      <c r="BI236" s="282"/>
      <c r="BJ236" s="282"/>
      <c r="BK236" s="282"/>
      <c r="BL236" s="286"/>
      <c r="BM236" s="283"/>
      <c r="BN236" s="283"/>
      <c r="BO236" s="283"/>
      <c r="BP236" s="283"/>
      <c r="BQ236" s="283"/>
      <c r="BR236" s="283"/>
      <c r="BS236" s="283"/>
      <c r="BT236" s="283"/>
      <c r="BU236" s="283"/>
      <c r="BV236" s="283"/>
      <c r="BW236" s="283"/>
      <c r="BX236" s="283"/>
      <c r="BY236" s="283"/>
      <c r="BZ236" s="283"/>
      <c r="CA236" s="283"/>
      <c r="CB236" s="331"/>
      <c r="CC236" s="283"/>
      <c r="CD236" s="283"/>
      <c r="CE236" s="283"/>
      <c r="CF236" s="283"/>
      <c r="CG236" s="283"/>
      <c r="CH236" s="283"/>
      <c r="CI236" s="283"/>
      <c r="CJ236" s="283"/>
      <c r="CK236" s="283"/>
      <c r="CL236" s="283"/>
      <c r="CM236" s="283"/>
      <c r="CN236" s="282"/>
      <c r="CO236" s="282"/>
      <c r="CP236" s="282"/>
      <c r="CQ236" s="286"/>
      <c r="CR236" s="286"/>
      <c r="CS236" s="286"/>
      <c r="CT236" s="286"/>
      <c r="CU236" s="286"/>
      <c r="CV236" s="286"/>
      <c r="CW236" s="286"/>
      <c r="CX236" s="286"/>
      <c r="CY236" s="286"/>
      <c r="CZ236" s="286"/>
      <c r="DA236" s="286"/>
      <c r="DB236" s="275"/>
      <c r="DC236" s="286"/>
      <c r="DH236" s="286"/>
      <c r="DR236" s="286"/>
      <c r="DW236" s="286"/>
      <c r="EB236" s="286"/>
      <c r="EG236" s="286"/>
    </row>
    <row r="237" spans="1:140" hidden="1" outlineLevel="1">
      <c r="AD237" s="148"/>
      <c r="AE237" s="148"/>
      <c r="AF237" s="148"/>
      <c r="AK237" s="152"/>
      <c r="AL237" s="152"/>
      <c r="AM237" s="152"/>
      <c r="AN237" s="152"/>
      <c r="AO237" s="152"/>
      <c r="AP237" s="152"/>
      <c r="AQ237" s="152"/>
      <c r="AR237" s="152"/>
      <c r="AS237" s="152"/>
      <c r="AT237" s="152"/>
      <c r="AU237" s="152"/>
      <c r="AV237" s="152"/>
      <c r="AW237" s="152"/>
      <c r="AX237" s="281"/>
      <c r="AY237" s="152"/>
      <c r="AZ237" s="152"/>
      <c r="BA237" s="152"/>
      <c r="BB237" s="152"/>
      <c r="BC237" s="152"/>
      <c r="BD237" s="152"/>
      <c r="BE237" s="282"/>
      <c r="BF237" s="282"/>
      <c r="BG237" s="282"/>
      <c r="BH237" s="282"/>
      <c r="BI237" s="282"/>
      <c r="BJ237" s="282"/>
      <c r="BK237" s="282"/>
      <c r="BL237" s="286"/>
      <c r="BM237" s="283"/>
      <c r="BN237" s="283"/>
      <c r="BO237" s="283"/>
      <c r="BP237" s="283"/>
      <c r="BQ237" s="283"/>
      <c r="BR237" s="283"/>
      <c r="BS237" s="283"/>
      <c r="BT237" s="283"/>
      <c r="BU237" s="283"/>
      <c r="BV237" s="283"/>
      <c r="BW237" s="283"/>
      <c r="BX237" s="283"/>
      <c r="BY237" s="283"/>
      <c r="BZ237" s="283"/>
      <c r="CA237" s="283"/>
      <c r="CB237" s="331"/>
      <c r="CC237" s="283"/>
      <c r="CD237" s="283"/>
      <c r="CE237" s="283"/>
      <c r="CF237" s="286"/>
      <c r="CG237" s="286"/>
      <c r="CH237" s="286"/>
      <c r="CI237" s="286"/>
      <c r="CJ237" s="286"/>
      <c r="CK237" s="286"/>
      <c r="CL237" s="286"/>
      <c r="CM237" s="286"/>
      <c r="CN237" s="286"/>
      <c r="CO237" s="286"/>
      <c r="CP237" s="286"/>
      <c r="CQ237" s="286"/>
      <c r="CR237" s="286"/>
      <c r="CS237" s="286"/>
      <c r="CT237" s="286"/>
      <c r="CU237" s="286"/>
      <c r="CV237" s="286"/>
      <c r="CW237" s="286"/>
      <c r="CX237" s="286"/>
      <c r="CY237" s="286"/>
      <c r="CZ237" s="286"/>
      <c r="DA237" s="286"/>
      <c r="DB237" s="275"/>
      <c r="DC237" s="286"/>
      <c r="DH237" s="286"/>
      <c r="DR237" s="286"/>
      <c r="DW237" s="286"/>
      <c r="EB237" s="286"/>
      <c r="EG237" s="286"/>
    </row>
    <row r="238" spans="1:140" hidden="1" outlineLevel="1">
      <c r="A238" s="171" t="s">
        <v>510</v>
      </c>
      <c r="AD238" s="148"/>
      <c r="AE238" s="148"/>
      <c r="AF238" s="148"/>
      <c r="AK238" s="152"/>
      <c r="AL238" s="152"/>
      <c r="AM238" s="152"/>
      <c r="AN238" s="152"/>
      <c r="AO238" s="152"/>
      <c r="AP238" s="152"/>
      <c r="AQ238" s="152"/>
      <c r="AR238" s="152"/>
      <c r="AS238" s="152"/>
      <c r="AT238" s="152"/>
      <c r="AU238" s="152"/>
      <c r="AV238" s="152"/>
      <c r="AW238" s="152"/>
      <c r="AX238" s="281"/>
      <c r="AY238" s="152"/>
      <c r="AZ238" s="152"/>
      <c r="BA238" s="152"/>
      <c r="BB238" s="152"/>
      <c r="BC238" s="152"/>
      <c r="BD238" s="152"/>
      <c r="BE238" s="282"/>
      <c r="BF238" s="282"/>
      <c r="BG238" s="282"/>
      <c r="BH238" s="282"/>
      <c r="BI238" s="282"/>
      <c r="BJ238" s="282"/>
      <c r="BK238" s="282"/>
      <c r="BL238" s="286"/>
      <c r="BM238" s="283"/>
      <c r="BN238" s="283"/>
      <c r="BO238" s="283"/>
      <c r="BP238" s="283"/>
      <c r="BQ238" s="283"/>
      <c r="BR238" s="283"/>
      <c r="BS238" s="283"/>
      <c r="BT238" s="283"/>
      <c r="BU238" s="283"/>
      <c r="BV238" s="283"/>
      <c r="BW238" s="283"/>
      <c r="BX238" s="283"/>
      <c r="BY238" s="283"/>
      <c r="BZ238" s="283"/>
      <c r="CA238" s="283"/>
      <c r="CB238" s="331"/>
      <c r="CC238" s="283"/>
      <c r="CD238" s="283"/>
      <c r="CE238" s="283"/>
      <c r="CF238" s="283"/>
      <c r="CG238" s="283"/>
      <c r="CH238" s="283"/>
      <c r="CI238" s="283"/>
      <c r="CJ238" s="283"/>
      <c r="CK238" s="283"/>
      <c r="CL238" s="283"/>
      <c r="CM238" s="283"/>
      <c r="CN238" s="283"/>
      <c r="CO238" s="283"/>
      <c r="CP238" s="283"/>
      <c r="CQ238" s="286"/>
      <c r="CR238" s="286"/>
      <c r="CS238" s="286"/>
      <c r="CT238" s="286"/>
      <c r="CU238" s="286"/>
      <c r="CV238" s="286"/>
      <c r="CW238" s="286"/>
      <c r="CX238" s="286"/>
      <c r="CY238" s="286"/>
      <c r="CZ238" s="286"/>
      <c r="DA238" s="286"/>
      <c r="DB238" s="275"/>
      <c r="DC238" s="286"/>
      <c r="DH238" s="286"/>
      <c r="DR238" s="286"/>
      <c r="DW238" s="286"/>
      <c r="EB238" s="286"/>
      <c r="EG238" s="286"/>
    </row>
    <row r="239" spans="1:140" hidden="1" outlineLevel="1">
      <c r="A239" s="171" t="s">
        <v>511</v>
      </c>
      <c r="AD239" s="148"/>
      <c r="AE239" s="148"/>
      <c r="AF239" s="148"/>
      <c r="AK239" s="152"/>
      <c r="AL239" s="152"/>
      <c r="AM239" s="152"/>
      <c r="AN239" s="152"/>
      <c r="AO239" s="152"/>
      <c r="AP239" s="152"/>
      <c r="AQ239" s="152"/>
      <c r="AR239" s="152"/>
      <c r="AS239" s="152"/>
      <c r="AT239" s="152"/>
      <c r="AU239" s="152"/>
      <c r="AV239" s="152"/>
      <c r="AW239" s="152"/>
      <c r="AX239" s="281"/>
      <c r="AY239" s="152"/>
      <c r="AZ239" s="152"/>
      <c r="BA239" s="152"/>
      <c r="BB239" s="152"/>
      <c r="BC239" s="152"/>
      <c r="BD239" s="152"/>
      <c r="BE239" s="282"/>
      <c r="BF239" s="282"/>
      <c r="BG239" s="282"/>
      <c r="BH239" s="282"/>
      <c r="BI239" s="282"/>
      <c r="BJ239" s="282"/>
      <c r="BK239" s="282"/>
      <c r="BL239" s="286"/>
      <c r="BM239" s="283"/>
      <c r="BN239" s="283"/>
      <c r="BO239" s="283"/>
      <c r="BP239" s="283"/>
      <c r="BQ239" s="283"/>
      <c r="BR239" s="283"/>
      <c r="BS239" s="283"/>
      <c r="BT239" s="283"/>
      <c r="BU239" s="283"/>
      <c r="BV239" s="283"/>
      <c r="BW239" s="283"/>
      <c r="BX239" s="283"/>
      <c r="BY239" s="283"/>
      <c r="BZ239" s="283"/>
      <c r="CA239" s="283"/>
      <c r="CB239" s="331"/>
      <c r="CC239" s="283"/>
      <c r="CD239" s="283"/>
      <c r="CE239" s="283"/>
      <c r="CF239" s="283"/>
      <c r="CG239" s="283"/>
      <c r="CH239" s="283"/>
      <c r="CI239" s="283"/>
      <c r="CJ239" s="283"/>
      <c r="CK239" s="283"/>
      <c r="CL239" s="283"/>
      <c r="CM239" s="283"/>
      <c r="CN239" s="283"/>
      <c r="CO239" s="283"/>
      <c r="CP239" s="283"/>
      <c r="CQ239" s="286"/>
      <c r="CR239" s="286"/>
      <c r="CS239" s="286"/>
      <c r="CT239" s="286"/>
      <c r="CU239" s="286"/>
      <c r="CV239" s="286"/>
      <c r="CW239" s="286"/>
      <c r="CX239" s="286"/>
      <c r="CY239" s="286"/>
      <c r="CZ239" s="286"/>
      <c r="DA239" s="286"/>
      <c r="DB239" s="275"/>
      <c r="DC239" s="286"/>
      <c r="DH239" s="286"/>
      <c r="DR239" s="286"/>
      <c r="DW239" s="286"/>
      <c r="EB239" s="286"/>
      <c r="EG239" s="286"/>
    </row>
    <row r="240" spans="1:140" hidden="1" outlineLevel="1">
      <c r="AD240" s="148"/>
      <c r="AE240" s="148"/>
      <c r="AF240" s="148"/>
      <c r="AN240" s="152"/>
      <c r="AO240" s="152"/>
      <c r="AU240" s="150"/>
      <c r="AX240" s="373"/>
      <c r="AZ240" s="374"/>
      <c r="BA240" s="374"/>
      <c r="BB240" s="375"/>
      <c r="BC240" s="375"/>
      <c r="BD240" s="375"/>
      <c r="BE240" s="376"/>
      <c r="BF240" s="376"/>
      <c r="BG240" s="286"/>
      <c r="BH240" s="286"/>
      <c r="BI240" s="286"/>
      <c r="BJ240" s="286"/>
      <c r="BK240" s="286"/>
      <c r="BL240" s="286"/>
      <c r="BM240" s="376"/>
      <c r="BN240" s="286"/>
      <c r="BO240" s="286"/>
      <c r="BP240" s="286"/>
      <c r="BQ240" s="286"/>
      <c r="BR240" s="286"/>
      <c r="BS240" s="286"/>
      <c r="BT240" s="286"/>
      <c r="BU240" s="286"/>
      <c r="BV240" s="283"/>
      <c r="BW240" s="283"/>
      <c r="BX240" s="283"/>
      <c r="BY240" s="283"/>
      <c r="BZ240" s="283"/>
      <c r="CA240" s="283"/>
      <c r="CB240" s="331"/>
      <c r="CC240" s="283"/>
      <c r="CD240" s="283"/>
      <c r="CE240" s="283"/>
      <c r="CF240" s="283"/>
      <c r="CG240" s="283"/>
      <c r="CH240" s="283"/>
      <c r="CI240" s="283"/>
      <c r="CJ240" s="283"/>
      <c r="CK240" s="283"/>
      <c r="CL240" s="283"/>
      <c r="CM240" s="283"/>
      <c r="CN240" s="283"/>
      <c r="CO240" s="283"/>
      <c r="CP240" s="283"/>
      <c r="CQ240" s="283"/>
      <c r="CR240" s="283"/>
      <c r="CS240" s="283"/>
      <c r="CT240" s="283"/>
      <c r="CU240" s="283"/>
      <c r="CV240" s="283"/>
      <c r="CW240" s="283"/>
      <c r="CX240" s="283"/>
      <c r="CY240" s="283"/>
      <c r="CZ240" s="283"/>
      <c r="DA240" s="283"/>
      <c r="DB240" s="275"/>
      <c r="DC240" s="286"/>
      <c r="DH240" s="286"/>
      <c r="DR240" s="286"/>
      <c r="DW240" s="286"/>
      <c r="EB240" s="286"/>
      <c r="EG240" s="286"/>
    </row>
    <row r="241" spans="1:140" s="378" customFormat="1" hidden="1" outlineLevel="1">
      <c r="A241" s="377" t="s">
        <v>512</v>
      </c>
      <c r="V241" s="379">
        <f>V7</f>
        <v>240.93199999999999</v>
      </c>
      <c r="W241" s="379">
        <f>W7</f>
        <v>259.875</v>
      </c>
      <c r="X241" s="379">
        <f>X7</f>
        <v>364.976</v>
      </c>
      <c r="Y241" s="379">
        <f>Y7</f>
        <v>503.68799999999999</v>
      </c>
      <c r="Z241" s="379"/>
      <c r="AA241" s="379">
        <f>AA7</f>
        <v>582.90499999999997</v>
      </c>
      <c r="AB241" s="379">
        <f>AB7</f>
        <v>427.28500000000003</v>
      </c>
      <c r="AC241" s="379">
        <f>AC7</f>
        <v>430.30399999999997</v>
      </c>
      <c r="AD241" s="379">
        <f>AD7</f>
        <v>428.58799999999997</v>
      </c>
      <c r="AE241" s="379"/>
      <c r="AF241" s="379">
        <f>AF7</f>
        <v>404.983</v>
      </c>
      <c r="AG241" s="379">
        <f>AG7</f>
        <v>459.774</v>
      </c>
      <c r="AH241" s="379">
        <f>AH7</f>
        <v>486.06900000000002</v>
      </c>
      <c r="AI241" s="379">
        <f>AI7</f>
        <v>472.11900000000003</v>
      </c>
      <c r="AJ241" s="379"/>
      <c r="AK241" s="379">
        <f t="shared" ref="AK241:AX241" si="231">AK168+AK181+AK206+AK216+AK225+AK232</f>
        <v>471.90499999999997</v>
      </c>
      <c r="AL241" s="379">
        <f t="shared" si="231"/>
        <v>456.06099999999998</v>
      </c>
      <c r="AM241" s="379">
        <f t="shared" si="231"/>
        <v>515.59100000000001</v>
      </c>
      <c r="AN241" s="379">
        <f t="shared" si="231"/>
        <v>566.47600000000011</v>
      </c>
      <c r="AO241" s="379"/>
      <c r="AP241" s="380">
        <f t="shared" si="231"/>
        <v>583.84599999999989</v>
      </c>
      <c r="AQ241" s="379">
        <f t="shared" si="231"/>
        <v>574.81200000000001</v>
      </c>
      <c r="AR241" s="379">
        <f t="shared" si="231"/>
        <v>583.41499999999996</v>
      </c>
      <c r="AS241" s="379">
        <f t="shared" si="231"/>
        <v>633.61399999999981</v>
      </c>
      <c r="AT241" s="379"/>
      <c r="AU241" s="379">
        <f t="shared" si="231"/>
        <v>681.80700000000002</v>
      </c>
      <c r="AV241" s="379">
        <f t="shared" si="231"/>
        <v>687.51900000000001</v>
      </c>
      <c r="AW241" s="379">
        <f t="shared" si="231"/>
        <v>820.57200000000012</v>
      </c>
      <c r="AX241" s="379">
        <f t="shared" si="231"/>
        <v>878.87300000000005</v>
      </c>
      <c r="AY241" s="379"/>
      <c r="AZ241" s="379">
        <f>AZ168+AZ181+AZ192+AZ206+AZ216+AZ225+AZ232</f>
        <v>844.28</v>
      </c>
      <c r="BA241" s="379">
        <f>BA168+BA181+BA192+BA206+BA216+BA225+BA232</f>
        <v>935.25300000000004</v>
      </c>
      <c r="BB241" s="374">
        <f>BB168+BB181+BB192+BB206+BB216+BB225+BB232</f>
        <v>1115.5970000000002</v>
      </c>
      <c r="BC241" s="374">
        <f>BC168+BC181+BC192+BC206+BC216+BC225+BC232</f>
        <v>1202.73</v>
      </c>
      <c r="BD241" s="374"/>
      <c r="BE241" s="381"/>
      <c r="BF241" s="381"/>
      <c r="BG241" s="382"/>
      <c r="BH241" s="382"/>
      <c r="BI241" s="382"/>
      <c r="BJ241" s="382"/>
      <c r="BK241" s="382"/>
      <c r="BL241" s="382"/>
      <c r="BM241" s="382"/>
      <c r="BN241" s="382"/>
      <c r="BO241" s="382"/>
      <c r="BP241" s="382"/>
      <c r="BQ241" s="382"/>
      <c r="BR241" s="382"/>
      <c r="BS241" s="382"/>
      <c r="BT241" s="382"/>
      <c r="BU241" s="382"/>
      <c r="BV241" s="382"/>
      <c r="BW241" s="382"/>
      <c r="BX241" s="382"/>
      <c r="BY241" s="382"/>
      <c r="BZ241" s="382"/>
      <c r="CA241" s="382"/>
      <c r="CB241" s="383"/>
      <c r="CC241" s="382"/>
      <c r="CD241" s="382"/>
      <c r="CE241" s="382"/>
      <c r="CF241" s="382"/>
      <c r="CG241" s="382"/>
      <c r="CH241" s="382"/>
      <c r="CI241" s="382"/>
      <c r="CJ241" s="382"/>
      <c r="CK241" s="382"/>
      <c r="CL241" s="382"/>
      <c r="CM241" s="382"/>
      <c r="CN241" s="382"/>
      <c r="CO241" s="382"/>
      <c r="CP241" s="382"/>
      <c r="CQ241" s="382"/>
      <c r="CR241" s="382"/>
      <c r="CS241" s="382"/>
      <c r="CT241" s="382"/>
      <c r="CU241" s="382"/>
      <c r="CV241" s="382"/>
      <c r="CW241" s="382"/>
      <c r="CX241" s="382"/>
      <c r="CY241" s="382"/>
      <c r="CZ241" s="382"/>
      <c r="DA241" s="382"/>
      <c r="DB241" s="384"/>
      <c r="DC241" s="382"/>
      <c r="DD241" s="379"/>
      <c r="DE241" s="379"/>
      <c r="DF241" s="379"/>
      <c r="DH241" s="382"/>
      <c r="DI241" s="379"/>
      <c r="DJ241" s="379"/>
      <c r="DK241" s="379"/>
      <c r="DM241" s="379"/>
      <c r="DN241" s="379"/>
      <c r="DO241" s="379"/>
      <c r="DP241" s="379"/>
      <c r="DR241" s="382"/>
      <c r="DS241" s="379"/>
      <c r="DT241" s="379"/>
      <c r="DU241" s="379"/>
      <c r="DW241" s="382"/>
      <c r="DX241" s="379"/>
      <c r="DY241" s="379"/>
      <c r="DZ241" s="379"/>
      <c r="EB241" s="382"/>
      <c r="EC241" s="379"/>
      <c r="ED241" s="379"/>
      <c r="EE241" s="379"/>
      <c r="EG241" s="382"/>
      <c r="EH241" s="379"/>
      <c r="EI241" s="379"/>
      <c r="EJ241" s="379"/>
    </row>
    <row r="242" spans="1:140" hidden="1" outlineLevel="1">
      <c r="A242" s="171" t="s">
        <v>513</v>
      </c>
      <c r="B242" s="149"/>
      <c r="C242" s="149"/>
      <c r="D242" s="149"/>
      <c r="E242" s="149"/>
      <c r="F242" s="149"/>
      <c r="G242" s="149"/>
      <c r="H242" s="149"/>
      <c r="I242" s="149"/>
      <c r="J242" s="149"/>
      <c r="K242" s="149"/>
      <c r="L242" s="149"/>
      <c r="M242" s="149"/>
      <c r="N242" s="149"/>
      <c r="O242" s="149"/>
      <c r="P242" s="149"/>
      <c r="Q242" s="149"/>
      <c r="R242" s="149"/>
      <c r="S242" s="149"/>
      <c r="T242" s="149"/>
      <c r="U242" s="149"/>
      <c r="V242" s="229">
        <f>V8</f>
        <v>9.6161895575897605E-2</v>
      </c>
      <c r="W242" s="385">
        <f t="shared" ref="W242:BC242" si="232">W241/V241-1</f>
        <v>7.8623844072186477E-2</v>
      </c>
      <c r="X242" s="385">
        <f t="shared" si="232"/>
        <v>0.40442905242905236</v>
      </c>
      <c r="Y242" s="385">
        <f t="shared" si="232"/>
        <v>0.38005786681864007</v>
      </c>
      <c r="Z242" s="385"/>
      <c r="AA242" s="385">
        <f>AA241/Y241-1</f>
        <v>0.15727394736424127</v>
      </c>
      <c r="AB242" s="385">
        <f t="shared" si="232"/>
        <v>-0.26697317744743987</v>
      </c>
      <c r="AC242" s="385">
        <f t="shared" si="232"/>
        <v>7.0655417344394067E-3</v>
      </c>
      <c r="AD242" s="385">
        <f t="shared" si="232"/>
        <v>-3.987878337175621E-3</v>
      </c>
      <c r="AE242" s="385"/>
      <c r="AF242" s="385">
        <f>AF241/AD241-1</f>
        <v>-5.5076203720122785E-2</v>
      </c>
      <c r="AG242" s="385">
        <f t="shared" si="232"/>
        <v>0.13529209868068537</v>
      </c>
      <c r="AH242" s="385">
        <f t="shared" si="232"/>
        <v>5.7191141734852291E-2</v>
      </c>
      <c r="AI242" s="385">
        <f t="shared" si="232"/>
        <v>-2.8699629065009225E-2</v>
      </c>
      <c r="AJ242" s="385"/>
      <c r="AK242" s="385">
        <f>AK241/AI241-1</f>
        <v>-4.5327555129126562E-4</v>
      </c>
      <c r="AL242" s="385">
        <f t="shared" si="232"/>
        <v>-3.3574554200527684E-2</v>
      </c>
      <c r="AM242" s="385">
        <f t="shared" si="232"/>
        <v>0.13053078425912323</v>
      </c>
      <c r="AN242" s="385">
        <f t="shared" si="232"/>
        <v>9.8692568334203035E-2</v>
      </c>
      <c r="AO242" s="385"/>
      <c r="AP242" s="385">
        <f>AP241/AN241-1</f>
        <v>3.0663258461081755E-2</v>
      </c>
      <c r="AQ242" s="385">
        <f t="shared" si="232"/>
        <v>-1.547325835922464E-2</v>
      </c>
      <c r="AR242" s="385">
        <f t="shared" si="232"/>
        <v>1.4966632568561566E-2</v>
      </c>
      <c r="AS242" s="385">
        <f t="shared" si="232"/>
        <v>8.6043382497878573E-2</v>
      </c>
      <c r="AT242" s="385"/>
      <c r="AU242" s="385">
        <f>AU241/AS241-1</f>
        <v>7.6060503713617722E-2</v>
      </c>
      <c r="AV242" s="385">
        <f t="shared" si="232"/>
        <v>8.3777373948932254E-3</v>
      </c>
      <c r="AW242" s="385">
        <f t="shared" si="232"/>
        <v>0.19352628800076821</v>
      </c>
      <c r="AX242" s="385">
        <f t="shared" si="232"/>
        <v>7.1049219325056034E-2</v>
      </c>
      <c r="AY242" s="385"/>
      <c r="AZ242" s="385">
        <f>AZ241/AX241-1</f>
        <v>-3.9360635723250215E-2</v>
      </c>
      <c r="BA242" s="385">
        <f t="shared" si="232"/>
        <v>0.10775216752736072</v>
      </c>
      <c r="BB242" s="385">
        <f t="shared" si="232"/>
        <v>0.19282910613491766</v>
      </c>
      <c r="BC242" s="385">
        <f t="shared" si="232"/>
        <v>7.8104369230107107E-2</v>
      </c>
      <c r="BD242" s="385"/>
      <c r="BE242" s="386"/>
      <c r="BF242" s="386"/>
      <c r="BG242" s="386"/>
      <c r="BH242" s="386"/>
      <c r="BI242" s="386"/>
      <c r="BJ242" s="386"/>
      <c r="BK242" s="386"/>
      <c r="BL242" s="386"/>
      <c r="BM242" s="386"/>
      <c r="BN242" s="386"/>
      <c r="BO242" s="386"/>
      <c r="BP242" s="386"/>
      <c r="BQ242" s="386"/>
      <c r="BR242" s="386"/>
      <c r="BS242" s="386"/>
      <c r="BT242" s="386"/>
      <c r="BU242" s="386"/>
      <c r="BV242" s="386"/>
      <c r="BW242" s="386"/>
      <c r="BX242" s="386"/>
      <c r="BY242" s="386"/>
      <c r="BZ242" s="386"/>
      <c r="CA242" s="386"/>
      <c r="CB242" s="387"/>
      <c r="CC242" s="386"/>
      <c r="CD242" s="386"/>
      <c r="CE242" s="386"/>
      <c r="CF242" s="386"/>
      <c r="CG242" s="386"/>
      <c r="CH242" s="386"/>
      <c r="CI242" s="386"/>
      <c r="CJ242" s="386"/>
      <c r="CK242" s="386"/>
      <c r="CL242" s="386"/>
      <c r="CM242" s="386"/>
      <c r="CN242" s="386"/>
      <c r="CO242" s="386"/>
      <c r="CP242" s="386"/>
      <c r="CQ242" s="386"/>
      <c r="CR242" s="386"/>
      <c r="CS242" s="386"/>
      <c r="CT242" s="386"/>
      <c r="CU242" s="386"/>
      <c r="CV242" s="386"/>
      <c r="CW242" s="386"/>
      <c r="CX242" s="386"/>
      <c r="CY242" s="386"/>
      <c r="CZ242" s="386"/>
      <c r="DA242" s="386"/>
      <c r="DB242" s="275"/>
      <c r="DC242" s="386"/>
      <c r="DD242" s="385"/>
      <c r="DE242" s="385"/>
      <c r="DF242" s="385"/>
      <c r="DH242" s="386"/>
      <c r="DI242" s="385"/>
      <c r="DJ242" s="385"/>
      <c r="DK242" s="385"/>
      <c r="DM242" s="385"/>
      <c r="DN242" s="385"/>
      <c r="DO242" s="385"/>
      <c r="DP242" s="385"/>
      <c r="DR242" s="386"/>
      <c r="DS242" s="385"/>
      <c r="DT242" s="385"/>
      <c r="DU242" s="385"/>
      <c r="DW242" s="386"/>
      <c r="DX242" s="385"/>
      <c r="DY242" s="385"/>
      <c r="DZ242" s="385"/>
      <c r="EB242" s="386"/>
      <c r="EC242" s="385"/>
      <c r="ED242" s="385"/>
      <c r="EE242" s="385"/>
      <c r="EG242" s="386"/>
      <c r="EH242" s="385"/>
      <c r="EI242" s="385"/>
      <c r="EJ242" s="385"/>
    </row>
    <row r="243" spans="1:140" hidden="1" outlineLevel="1">
      <c r="A243" s="147"/>
      <c r="B243" s="149"/>
      <c r="C243" s="149"/>
      <c r="D243" s="149"/>
      <c r="E243" s="149"/>
      <c r="F243" s="149"/>
      <c r="G243" s="149"/>
      <c r="H243" s="149"/>
      <c r="I243" s="149"/>
      <c r="J243" s="149"/>
      <c r="K243" s="149"/>
      <c r="L243" s="149"/>
      <c r="M243" s="149"/>
      <c r="N243" s="149"/>
      <c r="O243" s="149"/>
      <c r="P243" s="149"/>
      <c r="Q243" s="149"/>
      <c r="R243" s="149"/>
      <c r="S243" s="149"/>
      <c r="T243" s="149"/>
      <c r="U243" s="149"/>
      <c r="V243" s="388"/>
      <c r="W243" s="388"/>
      <c r="X243" s="388"/>
      <c r="Y243" s="388"/>
      <c r="Z243" s="388"/>
      <c r="AA243" s="388"/>
      <c r="AB243" s="388"/>
      <c r="AC243" s="388"/>
      <c r="AD243" s="152"/>
      <c r="AE243" s="152"/>
      <c r="AF243" s="149"/>
      <c r="AG243" s="150"/>
      <c r="AH243" s="150"/>
      <c r="AI243" s="150"/>
      <c r="AJ243" s="150"/>
      <c r="AK243" s="389"/>
      <c r="AL243" s="389"/>
      <c r="AM243" s="389"/>
      <c r="AN243" s="389"/>
      <c r="AO243" s="389"/>
      <c r="AP243" s="390"/>
      <c r="AQ243" s="150"/>
      <c r="AR243" s="150"/>
      <c r="AS243" s="374"/>
      <c r="AT243" s="374"/>
      <c r="AU243" s="374"/>
      <c r="AV243" s="374"/>
      <c r="AW243" s="374"/>
      <c r="AX243" s="374"/>
      <c r="AY243" s="374"/>
      <c r="AZ243" s="374"/>
      <c r="BA243" s="374"/>
      <c r="BB243" s="374"/>
      <c r="BC243" s="374"/>
      <c r="BD243" s="374"/>
      <c r="BE243" s="381"/>
      <c r="BF243" s="381"/>
      <c r="BG243" s="381"/>
      <c r="BH243" s="381"/>
      <c r="BI243" s="381"/>
      <c r="BJ243" s="381"/>
      <c r="BK243" s="381"/>
      <c r="BL243" s="381"/>
      <c r="BM243" s="381"/>
      <c r="BN243" s="381"/>
      <c r="BO243" s="381"/>
      <c r="BP243" s="381"/>
      <c r="BQ243" s="381"/>
      <c r="BR243" s="381"/>
      <c r="BS243" s="381"/>
      <c r="BT243" s="381"/>
      <c r="BU243" s="381"/>
      <c r="BV243" s="381"/>
      <c r="BW243" s="381"/>
      <c r="BX243" s="381"/>
      <c r="BY243" s="381"/>
      <c r="BZ243" s="381"/>
      <c r="CA243" s="381"/>
      <c r="CB243" s="391"/>
      <c r="CC243" s="381"/>
      <c r="CD243" s="381"/>
      <c r="CE243" s="381"/>
      <c r="CF243" s="381"/>
      <c r="CG243" s="381"/>
      <c r="CH243" s="381"/>
      <c r="CI243" s="381"/>
      <c r="CJ243" s="381"/>
      <c r="CK243" s="381"/>
      <c r="CL243" s="381"/>
      <c r="CM243" s="381"/>
      <c r="CN243" s="381"/>
      <c r="CO243" s="381"/>
      <c r="CP243" s="381"/>
      <c r="CQ243" s="381"/>
      <c r="CR243" s="381"/>
      <c r="CS243" s="381"/>
      <c r="CT243" s="381"/>
      <c r="CU243" s="381"/>
      <c r="CV243" s="381"/>
      <c r="CW243" s="381"/>
      <c r="CX243" s="381"/>
      <c r="CY243" s="381"/>
      <c r="CZ243" s="381"/>
      <c r="DA243" s="381"/>
      <c r="DB243" s="275"/>
      <c r="DC243" s="286"/>
      <c r="DH243" s="286"/>
      <c r="DR243" s="286"/>
      <c r="DW243" s="286"/>
      <c r="EB243" s="286"/>
      <c r="EG243" s="286"/>
    </row>
    <row r="244" spans="1:140" hidden="1" outlineLevel="1">
      <c r="A244" s="147" t="s">
        <v>514</v>
      </c>
      <c r="B244" s="149"/>
      <c r="C244" s="149"/>
      <c r="D244" s="149"/>
      <c r="E244" s="149"/>
      <c r="F244" s="149"/>
      <c r="G244" s="149"/>
      <c r="H244" s="149"/>
      <c r="I244" s="149"/>
      <c r="J244" s="149"/>
      <c r="K244" s="149"/>
      <c r="L244" s="149"/>
      <c r="M244" s="149"/>
      <c r="N244" s="149"/>
      <c r="O244" s="149"/>
      <c r="P244" s="149"/>
      <c r="Q244" s="149"/>
      <c r="R244" s="149"/>
      <c r="S244" s="149"/>
      <c r="T244" s="149"/>
      <c r="U244" s="149"/>
      <c r="V244" s="392">
        <f t="shared" ref="V244:BA244" si="233">V245/V241</f>
        <v>0.39106469875317518</v>
      </c>
      <c r="W244" s="392">
        <f t="shared" si="233"/>
        <v>0.39341606541606544</v>
      </c>
      <c r="X244" s="392">
        <f t="shared" si="233"/>
        <v>0.36568979878128971</v>
      </c>
      <c r="Y244" s="392">
        <f t="shared" si="233"/>
        <v>0.37584973237400926</v>
      </c>
      <c r="Z244" s="392"/>
      <c r="AA244" s="392">
        <f t="shared" si="233"/>
        <v>0.35540096585206843</v>
      </c>
      <c r="AB244" s="392">
        <f t="shared" si="233"/>
        <v>0.28154978527212521</v>
      </c>
      <c r="AC244" s="392">
        <f t="shared" si="233"/>
        <v>0.25144548970030489</v>
      </c>
      <c r="AD244" s="392">
        <f t="shared" si="233"/>
        <v>0.29666252904887674</v>
      </c>
      <c r="AE244" s="392"/>
      <c r="AF244" s="392">
        <f t="shared" si="233"/>
        <v>0.31252669865154831</v>
      </c>
      <c r="AG244" s="392">
        <f t="shared" si="233"/>
        <v>0.28269106126053234</v>
      </c>
      <c r="AH244" s="392">
        <f t="shared" si="233"/>
        <v>0.27595053377195422</v>
      </c>
      <c r="AI244" s="392">
        <f t="shared" si="233"/>
        <v>0.29273339984198909</v>
      </c>
      <c r="AJ244" s="392"/>
      <c r="AK244" s="392">
        <f t="shared" si="233"/>
        <v>0.31539398819677678</v>
      </c>
      <c r="AL244" s="392">
        <f t="shared" si="233"/>
        <v>0.30718039911327644</v>
      </c>
      <c r="AM244" s="392">
        <f t="shared" si="233"/>
        <v>0.3233997490258752</v>
      </c>
      <c r="AN244" s="392">
        <f t="shared" si="233"/>
        <v>0.34214159117067616</v>
      </c>
      <c r="AO244" s="392"/>
      <c r="AP244" s="392">
        <f t="shared" si="233"/>
        <v>0.35994594464978796</v>
      </c>
      <c r="AQ244" s="392">
        <f t="shared" si="233"/>
        <v>0.3784437346471542</v>
      </c>
      <c r="AR244" s="392">
        <f t="shared" si="233"/>
        <v>0.39109039020251446</v>
      </c>
      <c r="AS244" s="392">
        <f t="shared" si="233"/>
        <v>0.40235853374451974</v>
      </c>
      <c r="AT244" s="392"/>
      <c r="AU244" s="392">
        <f t="shared" si="233"/>
        <v>0.42339401032843615</v>
      </c>
      <c r="AV244" s="392">
        <f t="shared" si="233"/>
        <v>0.42490171180723729</v>
      </c>
      <c r="AW244" s="392">
        <f t="shared" si="233"/>
        <v>0.42646105399648043</v>
      </c>
      <c r="AX244" s="392">
        <f t="shared" si="233"/>
        <v>0.43886431828034306</v>
      </c>
      <c r="AY244" s="392"/>
      <c r="AZ244" s="392">
        <f t="shared" si="233"/>
        <v>0.4502511015302979</v>
      </c>
      <c r="BA244" s="392">
        <f t="shared" si="233"/>
        <v>0.45334470993410342</v>
      </c>
      <c r="BB244" s="392">
        <f>BB245/BB241</f>
        <v>0.46213193473987463</v>
      </c>
      <c r="BC244" s="392">
        <f>BC245/BC241</f>
        <v>0.45695792073033836</v>
      </c>
      <c r="BD244" s="392"/>
      <c r="BE244" s="393"/>
      <c r="BF244" s="393"/>
      <c r="BG244" s="393"/>
      <c r="BH244" s="393"/>
      <c r="BI244" s="393"/>
      <c r="BJ244" s="393"/>
      <c r="BK244" s="393"/>
      <c r="BL244" s="393"/>
      <c r="BM244" s="393"/>
      <c r="BN244" s="393"/>
      <c r="BO244" s="393"/>
      <c r="BP244" s="393"/>
      <c r="BQ244" s="393"/>
      <c r="BR244" s="393"/>
      <c r="BS244" s="393"/>
      <c r="BT244" s="393"/>
      <c r="BU244" s="393"/>
      <c r="BV244" s="393"/>
      <c r="BW244" s="393"/>
      <c r="BX244" s="393"/>
      <c r="BY244" s="393"/>
      <c r="BZ244" s="393"/>
      <c r="CA244" s="393"/>
      <c r="CB244" s="394"/>
      <c r="CC244" s="393"/>
      <c r="CD244" s="393"/>
      <c r="CE244" s="393"/>
      <c r="CF244" s="393"/>
      <c r="CG244" s="393"/>
      <c r="CH244" s="393"/>
      <c r="CI244" s="393"/>
      <c r="CJ244" s="393"/>
      <c r="CK244" s="393"/>
      <c r="CL244" s="393"/>
      <c r="CM244" s="393"/>
      <c r="CN244" s="393"/>
      <c r="CO244" s="393"/>
      <c r="CP244" s="393"/>
      <c r="CQ244" s="393"/>
      <c r="CR244" s="393"/>
      <c r="CS244" s="393"/>
      <c r="CT244" s="393"/>
      <c r="CU244" s="393"/>
      <c r="CV244" s="393"/>
      <c r="CW244" s="393"/>
      <c r="CX244" s="393"/>
      <c r="CY244" s="393"/>
      <c r="CZ244" s="393"/>
      <c r="DA244" s="393"/>
      <c r="DB244" s="275"/>
      <c r="DC244" s="393"/>
      <c r="DD244" s="392"/>
      <c r="DE244" s="392"/>
      <c r="DF244" s="392"/>
      <c r="DH244" s="393"/>
      <c r="DI244" s="392"/>
      <c r="DJ244" s="392"/>
      <c r="DK244" s="392"/>
      <c r="DM244" s="392"/>
      <c r="DN244" s="392"/>
      <c r="DO244" s="392"/>
      <c r="DP244" s="392"/>
      <c r="DR244" s="393"/>
      <c r="DS244" s="392"/>
      <c r="DT244" s="392"/>
      <c r="DU244" s="392"/>
      <c r="DW244" s="393"/>
      <c r="DX244" s="392"/>
      <c r="DY244" s="392"/>
      <c r="DZ244" s="392"/>
      <c r="EB244" s="393"/>
      <c r="EC244" s="392"/>
      <c r="ED244" s="392"/>
      <c r="EE244" s="392"/>
      <c r="EG244" s="393"/>
      <c r="EH244" s="392"/>
      <c r="EI244" s="392"/>
      <c r="EJ244" s="392"/>
    </row>
    <row r="245" spans="1:140" hidden="1" outlineLevel="1">
      <c r="A245" s="171" t="s">
        <v>515</v>
      </c>
      <c r="B245" s="149"/>
      <c r="C245" s="149"/>
      <c r="D245" s="149"/>
      <c r="E245" s="149"/>
      <c r="F245" s="149"/>
      <c r="G245" s="149"/>
      <c r="H245" s="149"/>
      <c r="I245" s="149"/>
      <c r="J245" s="149"/>
      <c r="K245" s="149"/>
      <c r="L245" s="149"/>
      <c r="M245" s="149"/>
      <c r="N245" s="149"/>
      <c r="O245" s="149"/>
      <c r="P245" s="149"/>
      <c r="Q245" s="149"/>
      <c r="R245" s="149"/>
      <c r="S245" s="149"/>
      <c r="T245" s="149"/>
      <c r="U245" s="149"/>
      <c r="V245" s="152">
        <f t="shared" ref="V245:AG245" si="234">V172+V185+V208+V218</f>
        <v>94.22</v>
      </c>
      <c r="W245" s="152">
        <f t="shared" si="234"/>
        <v>102.239</v>
      </c>
      <c r="X245" s="152">
        <f t="shared" si="234"/>
        <v>133.46799999999999</v>
      </c>
      <c r="Y245" s="152">
        <f t="shared" si="234"/>
        <v>189.31099999999998</v>
      </c>
      <c r="Z245" s="152"/>
      <c r="AA245" s="152">
        <f t="shared" si="234"/>
        <v>207.16499999999994</v>
      </c>
      <c r="AB245" s="152">
        <f t="shared" si="234"/>
        <v>120.30200000000004</v>
      </c>
      <c r="AC245" s="152">
        <f t="shared" si="234"/>
        <v>108.19799999999998</v>
      </c>
      <c r="AD245" s="152">
        <f t="shared" si="234"/>
        <v>127.14599999999997</v>
      </c>
      <c r="AE245" s="152"/>
      <c r="AF245" s="152">
        <f t="shared" si="234"/>
        <v>126.568</v>
      </c>
      <c r="AG245" s="150">
        <f t="shared" si="234"/>
        <v>129.97399999999999</v>
      </c>
      <c r="AH245" s="150">
        <f>AH172+AH185+AH208+AH218+AH227</f>
        <v>134.13100000000003</v>
      </c>
      <c r="AI245" s="150">
        <f>AI172+AI185+AI208+AI218+AI227</f>
        <v>138.20500000000007</v>
      </c>
      <c r="AJ245" s="150"/>
      <c r="AK245" s="150">
        <f t="shared" ref="AK245:AX245" si="235">AK172+AK185+AK208+AK218+AK227+AK234</f>
        <v>148.83599999999993</v>
      </c>
      <c r="AL245" s="150">
        <f t="shared" si="235"/>
        <v>140.09299999999996</v>
      </c>
      <c r="AM245" s="150">
        <f t="shared" si="235"/>
        <v>166.74200000000002</v>
      </c>
      <c r="AN245" s="150">
        <f t="shared" si="235"/>
        <v>193.815</v>
      </c>
      <c r="AO245" s="150"/>
      <c r="AP245" s="150">
        <f t="shared" si="235"/>
        <v>210.15300000000005</v>
      </c>
      <c r="AQ245" s="150">
        <f t="shared" si="235"/>
        <v>217.53399999999999</v>
      </c>
      <c r="AR245" s="150">
        <f t="shared" si="235"/>
        <v>228.16799999999995</v>
      </c>
      <c r="AS245" s="150">
        <f t="shared" si="235"/>
        <v>254.94000000000005</v>
      </c>
      <c r="AT245" s="150"/>
      <c r="AU245" s="150">
        <f t="shared" si="235"/>
        <v>288.67300000000006</v>
      </c>
      <c r="AV245" s="150">
        <f t="shared" si="235"/>
        <v>292.12799999999999</v>
      </c>
      <c r="AW245" s="150">
        <f t="shared" si="235"/>
        <v>349.94200000000001</v>
      </c>
      <c r="AX245" s="150">
        <f t="shared" si="235"/>
        <v>385.70599999999996</v>
      </c>
      <c r="AY245" s="150"/>
      <c r="AZ245" s="150">
        <f>AZ172+AZ185+AZ197+AZ208+AZ218+AZ227+AZ234</f>
        <v>380.13799999999992</v>
      </c>
      <c r="BA245" s="150">
        <f>BA172+BA185+BA197+BA208+BA218+BA227+BA234</f>
        <v>423.99200000000002</v>
      </c>
      <c r="BB245" s="150">
        <f>BB172+BB185+BB197+BB208+BB218+BB227+BB234</f>
        <v>515.553</v>
      </c>
      <c r="BC245" s="150">
        <f>BC172+BC185+BC197+BC208+BC218+BC227+BC234</f>
        <v>549.59699999999987</v>
      </c>
      <c r="BD245" s="150"/>
      <c r="BE245" s="283"/>
      <c r="BF245" s="283"/>
      <c r="BG245" s="283"/>
      <c r="BH245" s="283"/>
      <c r="BI245" s="283"/>
      <c r="BJ245" s="283"/>
      <c r="BK245" s="283"/>
      <c r="BL245" s="283"/>
      <c r="BM245" s="283"/>
      <c r="BN245" s="283"/>
      <c r="BO245" s="283"/>
      <c r="BP245" s="283"/>
      <c r="BQ245" s="283"/>
      <c r="BR245" s="283"/>
      <c r="BS245" s="283"/>
      <c r="BT245" s="283"/>
      <c r="BU245" s="283"/>
      <c r="BV245" s="283"/>
      <c r="BW245" s="283"/>
      <c r="BX245" s="283"/>
      <c r="BY245" s="283"/>
      <c r="BZ245" s="283"/>
      <c r="CA245" s="283"/>
      <c r="CB245" s="331"/>
      <c r="CC245" s="283"/>
      <c r="CD245" s="283"/>
      <c r="CE245" s="283"/>
      <c r="CF245" s="283"/>
      <c r="CG245" s="283"/>
      <c r="CH245" s="283"/>
      <c r="CI245" s="283"/>
      <c r="CJ245" s="283"/>
      <c r="CK245" s="283"/>
      <c r="CL245" s="283"/>
      <c r="CM245" s="283"/>
      <c r="CN245" s="283"/>
      <c r="CO245" s="283"/>
      <c r="CP245" s="283"/>
      <c r="CQ245" s="283"/>
      <c r="CR245" s="283"/>
      <c r="CS245" s="283"/>
      <c r="CT245" s="283"/>
      <c r="CU245" s="283"/>
      <c r="CV245" s="283"/>
      <c r="CW245" s="283"/>
      <c r="CX245" s="283"/>
      <c r="CY245" s="283"/>
      <c r="CZ245" s="283"/>
      <c r="DA245" s="283"/>
      <c r="DB245" s="275"/>
      <c r="DC245" s="283"/>
      <c r="DD245" s="150"/>
      <c r="DE245" s="150"/>
      <c r="DF245" s="150"/>
      <c r="DH245" s="283"/>
      <c r="DI245" s="150"/>
      <c r="DJ245" s="150"/>
      <c r="DK245" s="150"/>
      <c r="DM245" s="150"/>
      <c r="DN245" s="150"/>
      <c r="DO245" s="150"/>
      <c r="DP245" s="150"/>
      <c r="DR245" s="283"/>
      <c r="DS245" s="150"/>
      <c r="DT245" s="150"/>
      <c r="DU245" s="150"/>
      <c r="DW245" s="283"/>
      <c r="DX245" s="150"/>
      <c r="DY245" s="150"/>
      <c r="DZ245" s="150"/>
      <c r="EB245" s="283"/>
      <c r="EC245" s="150"/>
      <c r="ED245" s="150"/>
      <c r="EE245" s="150"/>
      <c r="EG245" s="283"/>
      <c r="EH245" s="150"/>
      <c r="EI245" s="150"/>
      <c r="EJ245" s="150"/>
    </row>
    <row r="246" spans="1:140" hidden="1" outlineLevel="1">
      <c r="A246" s="147"/>
      <c r="B246" s="149"/>
      <c r="C246" s="149"/>
      <c r="D246" s="149"/>
      <c r="E246" s="149"/>
      <c r="F246" s="149"/>
      <c r="G246" s="149"/>
      <c r="H246" s="149"/>
      <c r="I246" s="149"/>
      <c r="J246" s="149"/>
      <c r="K246" s="149"/>
      <c r="L246" s="149"/>
      <c r="M246" s="149"/>
      <c r="N246" s="149"/>
      <c r="O246" s="149"/>
      <c r="P246" s="149"/>
      <c r="Q246" s="149"/>
      <c r="R246" s="149"/>
      <c r="S246" s="149"/>
      <c r="T246" s="149"/>
      <c r="U246" s="149"/>
      <c r="V246" s="392"/>
      <c r="W246" s="392"/>
      <c r="X246" s="392"/>
      <c r="Y246" s="392"/>
      <c r="Z246" s="392"/>
      <c r="AA246" s="392"/>
      <c r="AB246" s="392"/>
      <c r="AC246" s="392"/>
      <c r="AD246" s="392"/>
      <c r="AE246" s="392"/>
      <c r="AF246" s="392"/>
      <c r="AG246" s="392"/>
      <c r="AH246" s="392"/>
      <c r="AI246" s="392"/>
      <c r="AJ246" s="392"/>
      <c r="AK246" s="392"/>
      <c r="AL246" s="392"/>
      <c r="AM246" s="392"/>
      <c r="AN246" s="150"/>
      <c r="AO246" s="150"/>
      <c r="AP246" s="150"/>
      <c r="AQ246" s="150"/>
      <c r="AR246" s="150"/>
      <c r="AS246" s="150"/>
      <c r="AT246" s="150"/>
      <c r="AU246" s="150"/>
      <c r="AV246" s="150"/>
      <c r="AW246" s="150"/>
      <c r="AX246" s="150"/>
      <c r="AY246" s="150"/>
      <c r="AZ246" s="150"/>
      <c r="BA246" s="150"/>
      <c r="BB246" s="150"/>
      <c r="BC246" s="150"/>
      <c r="BD246" s="150"/>
      <c r="BE246" s="283"/>
      <c r="BF246" s="283"/>
      <c r="BG246" s="283"/>
      <c r="BH246" s="283"/>
      <c r="BI246" s="283"/>
      <c r="BJ246" s="283"/>
      <c r="BK246" s="283"/>
      <c r="BL246" s="283"/>
      <c r="BM246" s="283"/>
      <c r="BN246" s="283"/>
      <c r="BO246" s="283"/>
      <c r="BP246" s="283"/>
      <c r="BQ246" s="283"/>
      <c r="BR246" s="283"/>
      <c r="BS246" s="283"/>
      <c r="BT246" s="283"/>
      <c r="BU246" s="283"/>
      <c r="BV246" s="283"/>
      <c r="BW246" s="283"/>
      <c r="BX246" s="283"/>
      <c r="BY246" s="283"/>
      <c r="BZ246" s="283"/>
      <c r="CA246" s="283"/>
      <c r="CB246" s="331"/>
      <c r="CC246" s="283"/>
      <c r="CD246" s="283"/>
      <c r="CE246" s="283"/>
      <c r="CF246" s="283"/>
      <c r="CG246" s="283"/>
      <c r="CH246" s="283"/>
      <c r="CI246" s="283"/>
      <c r="CJ246" s="283"/>
      <c r="CK246" s="283"/>
      <c r="CL246" s="283"/>
      <c r="CM246" s="283"/>
      <c r="CN246" s="283"/>
      <c r="CO246" s="283"/>
      <c r="CP246" s="283"/>
      <c r="CQ246" s="283"/>
      <c r="CR246" s="283"/>
      <c r="CS246" s="283"/>
      <c r="CT246" s="283"/>
      <c r="CU246" s="283"/>
      <c r="CV246" s="283"/>
      <c r="CW246" s="283"/>
      <c r="CX246" s="283"/>
      <c r="CY246" s="283"/>
      <c r="CZ246" s="283"/>
      <c r="DA246" s="283"/>
      <c r="DB246" s="275"/>
      <c r="DC246" s="286"/>
      <c r="DH246" s="286"/>
      <c r="DR246" s="286"/>
      <c r="DW246" s="286"/>
      <c r="EB246" s="286"/>
      <c r="EG246" s="286"/>
    </row>
    <row r="247" spans="1:140" s="169" customFormat="1" hidden="1" outlineLevel="1">
      <c r="A247" s="147" t="s">
        <v>516</v>
      </c>
      <c r="B247" s="159"/>
      <c r="C247" s="159"/>
      <c r="D247" s="159"/>
      <c r="E247" s="159"/>
      <c r="F247" s="159"/>
      <c r="G247" s="159"/>
      <c r="H247" s="159"/>
      <c r="I247" s="159"/>
      <c r="J247" s="159"/>
      <c r="K247" s="159"/>
      <c r="L247" s="159"/>
      <c r="M247" s="159"/>
      <c r="N247" s="159"/>
      <c r="O247" s="159"/>
      <c r="P247" s="159"/>
      <c r="Q247" s="159"/>
      <c r="R247" s="159"/>
      <c r="S247" s="159"/>
      <c r="T247" s="159"/>
      <c r="U247" s="159"/>
      <c r="V247" s="159"/>
      <c r="W247" s="159"/>
      <c r="X247" s="159"/>
      <c r="Y247" s="159"/>
      <c r="Z247" s="159"/>
      <c r="AA247" s="159"/>
      <c r="AB247" s="159"/>
      <c r="AC247" s="159"/>
      <c r="AD247" s="159"/>
      <c r="AE247" s="159"/>
      <c r="AF247" s="159"/>
      <c r="AG247" s="159"/>
      <c r="AK247" s="388">
        <f t="shared" ref="AK247:AX247" si="236">AK248/AK241</f>
        <v>5.060340534641504E-2</v>
      </c>
      <c r="AL247" s="388">
        <f t="shared" si="236"/>
        <v>8.3300260272200499E-3</v>
      </c>
      <c r="AM247" s="388">
        <f t="shared" si="236"/>
        <v>5.5776768795421178E-2</v>
      </c>
      <c r="AN247" s="388">
        <f t="shared" si="236"/>
        <v>9.4810724549672029E-2</v>
      </c>
      <c r="AO247" s="388"/>
      <c r="AP247" s="388">
        <f t="shared" si="236"/>
        <v>0.13048303833545147</v>
      </c>
      <c r="AQ247" s="388">
        <f t="shared" si="236"/>
        <v>0.13924030813552954</v>
      </c>
      <c r="AR247" s="388">
        <f t="shared" si="236"/>
        <v>0.12261597662041601</v>
      </c>
      <c r="AS247" s="388">
        <f t="shared" si="236"/>
        <v>0.17730353180327457</v>
      </c>
      <c r="AT247" s="388"/>
      <c r="AU247" s="388">
        <f t="shared" si="236"/>
        <v>0.14888230833652341</v>
      </c>
      <c r="AV247" s="388">
        <f t="shared" si="236"/>
        <v>0.13936487573434331</v>
      </c>
      <c r="AW247" s="388">
        <f t="shared" si="236"/>
        <v>0.14333050603725206</v>
      </c>
      <c r="AX247" s="388">
        <f t="shared" si="236"/>
        <v>0.15760411344983871</v>
      </c>
      <c r="AY247" s="388"/>
      <c r="AZ247" s="388">
        <f>AZ248/AZ241</f>
        <v>8.5207514094850056E-2</v>
      </c>
      <c r="BA247" s="287">
        <f>BA248/BA241</f>
        <v>0.12659355276058995</v>
      </c>
      <c r="BB247" s="287">
        <f>BB248/BB241</f>
        <v>0.14399285763586667</v>
      </c>
      <c r="BC247" s="395">
        <f>BC248/BC241</f>
        <v>0.21441636942622194</v>
      </c>
      <c r="BD247" s="395"/>
      <c r="BE247" s="396"/>
      <c r="BF247" s="396"/>
      <c r="BG247" s="396"/>
      <c r="BH247" s="396"/>
      <c r="BI247" s="396"/>
      <c r="BJ247" s="396"/>
      <c r="BK247" s="396"/>
      <c r="BL247" s="396"/>
      <c r="BM247" s="396"/>
      <c r="BN247" s="396"/>
      <c r="BO247" s="396"/>
      <c r="BP247" s="396"/>
      <c r="BQ247" s="396"/>
      <c r="BR247" s="396"/>
      <c r="BS247" s="396"/>
      <c r="BT247" s="396"/>
      <c r="BU247" s="396"/>
      <c r="BV247" s="396"/>
      <c r="BW247" s="396"/>
      <c r="BX247" s="396"/>
      <c r="BY247" s="396"/>
      <c r="BZ247" s="396"/>
      <c r="CA247" s="396"/>
      <c r="CB247" s="397"/>
      <c r="CC247" s="396"/>
      <c r="CD247" s="396"/>
      <c r="CE247" s="396"/>
      <c r="CF247" s="396"/>
      <c r="CG247" s="396"/>
      <c r="CH247" s="396"/>
      <c r="CI247" s="396"/>
      <c r="CJ247" s="396"/>
      <c r="CK247" s="396"/>
      <c r="CL247" s="396"/>
      <c r="CM247" s="396"/>
      <c r="CN247" s="396"/>
      <c r="CO247" s="396"/>
      <c r="CP247" s="396"/>
      <c r="CQ247" s="396"/>
      <c r="CR247" s="398"/>
      <c r="CS247" s="398"/>
      <c r="CT247" s="398"/>
      <c r="CU247" s="398"/>
      <c r="CV247" s="398"/>
      <c r="CW247" s="398"/>
      <c r="CX247" s="398"/>
      <c r="CY247" s="398"/>
      <c r="CZ247" s="398"/>
      <c r="DA247" s="398"/>
      <c r="DB247" s="240"/>
      <c r="DC247" s="398"/>
      <c r="DH247" s="398"/>
      <c r="DR247" s="398"/>
      <c r="DW247" s="398"/>
      <c r="EB247" s="398"/>
      <c r="EG247" s="398"/>
    </row>
    <row r="248" spans="1:140" s="400" customFormat="1" ht="13.5" hidden="1" outlineLevel="1" thickBot="1">
      <c r="A248" s="399" t="s">
        <v>517</v>
      </c>
      <c r="V248" s="401"/>
      <c r="W248" s="401"/>
      <c r="X248" s="401"/>
      <c r="Y248" s="401"/>
      <c r="Z248" s="401"/>
      <c r="AA248" s="401"/>
      <c r="AB248" s="401"/>
      <c r="AC248" s="401"/>
      <c r="AD248" s="401"/>
      <c r="AE248" s="401"/>
      <c r="AF248" s="401"/>
      <c r="AG248" s="402"/>
      <c r="AH248" s="402"/>
      <c r="AI248" s="402"/>
      <c r="AJ248" s="402"/>
      <c r="AK248" s="402">
        <f t="shared" ref="AK248:BB248" si="237">AK174+AK210+AK187+AK220+AK229+AK236</f>
        <v>23.879999999999988</v>
      </c>
      <c r="AL248" s="402">
        <f t="shared" si="237"/>
        <v>3.799000000000003</v>
      </c>
      <c r="AM248" s="402">
        <f t="shared" si="237"/>
        <v>28.758000000000003</v>
      </c>
      <c r="AN248" s="402">
        <f t="shared" si="237"/>
        <v>53.708000000000027</v>
      </c>
      <c r="AO248" s="402"/>
      <c r="AP248" s="402">
        <f t="shared" si="237"/>
        <v>76.181999999999988</v>
      </c>
      <c r="AQ248" s="402">
        <f t="shared" si="237"/>
        <v>80.037000000000006</v>
      </c>
      <c r="AR248" s="402">
        <f t="shared" si="237"/>
        <v>71.536000000000001</v>
      </c>
      <c r="AS248" s="402">
        <f t="shared" si="237"/>
        <v>112.34199999999998</v>
      </c>
      <c r="AT248" s="402"/>
      <c r="AU248" s="402">
        <f t="shared" si="237"/>
        <v>101.50900000000001</v>
      </c>
      <c r="AV248" s="402">
        <f t="shared" si="237"/>
        <v>95.815999999999974</v>
      </c>
      <c r="AW248" s="402">
        <f t="shared" si="237"/>
        <v>117.61300000000001</v>
      </c>
      <c r="AX248" s="402">
        <f t="shared" si="237"/>
        <v>138.5140000000001</v>
      </c>
      <c r="AY248" s="402"/>
      <c r="AZ248" s="402">
        <f t="shared" si="237"/>
        <v>71.939000000000007</v>
      </c>
      <c r="BA248" s="402">
        <f t="shared" si="237"/>
        <v>118.39700000000003</v>
      </c>
      <c r="BB248" s="402">
        <f t="shared" si="237"/>
        <v>160.63799999999998</v>
      </c>
      <c r="BC248" s="402">
        <f>BC174+BC210+BC187+BC220+BC229+BC236+BC199</f>
        <v>257.88499999999993</v>
      </c>
      <c r="BD248" s="402"/>
      <c r="BE248" s="403"/>
      <c r="BF248" s="403"/>
      <c r="BG248" s="403"/>
      <c r="BH248" s="403"/>
      <c r="BI248" s="403"/>
      <c r="BJ248" s="403"/>
      <c r="BK248" s="403"/>
      <c r="BL248" s="403"/>
      <c r="BM248" s="403"/>
      <c r="BN248" s="403"/>
      <c r="BO248" s="403"/>
      <c r="BP248" s="403"/>
      <c r="BQ248" s="403"/>
      <c r="BR248" s="403"/>
      <c r="BS248" s="403"/>
      <c r="BT248" s="403"/>
      <c r="BU248" s="403"/>
      <c r="BV248" s="403"/>
      <c r="BW248" s="403"/>
      <c r="BX248" s="403"/>
      <c r="BY248" s="403"/>
      <c r="BZ248" s="403"/>
      <c r="CA248" s="403"/>
      <c r="CB248" s="404"/>
      <c r="CC248" s="403"/>
      <c r="CD248" s="403"/>
      <c r="CE248" s="403"/>
      <c r="CF248" s="403"/>
      <c r="CG248" s="403"/>
      <c r="CH248" s="403"/>
      <c r="CI248" s="403"/>
      <c r="CJ248" s="403"/>
      <c r="CK248" s="403"/>
      <c r="CL248" s="403"/>
      <c r="CM248" s="403"/>
      <c r="CN248" s="403"/>
      <c r="CO248" s="403"/>
      <c r="CP248" s="403"/>
      <c r="CQ248" s="403"/>
      <c r="CR248" s="403"/>
      <c r="CS248" s="403"/>
      <c r="CT248" s="403"/>
      <c r="CU248" s="403"/>
      <c r="CV248" s="403"/>
      <c r="CW248" s="403"/>
      <c r="CX248" s="403"/>
      <c r="CY248" s="403"/>
      <c r="CZ248" s="403"/>
      <c r="DA248" s="403"/>
      <c r="DB248" s="405"/>
      <c r="DC248" s="406"/>
      <c r="DH248" s="406"/>
      <c r="DR248" s="406"/>
      <c r="DW248" s="406"/>
      <c r="EB248" s="406"/>
      <c r="EG248" s="406"/>
    </row>
    <row r="249" spans="1:140" hidden="1" outlineLevel="1">
      <c r="AD249" s="148"/>
      <c r="AE249" s="148"/>
      <c r="AF249" s="148"/>
      <c r="AK249" s="212"/>
      <c r="AL249" s="212"/>
      <c r="AM249" s="212"/>
      <c r="AN249" s="212"/>
      <c r="AO249" s="212"/>
      <c r="AP249" s="212"/>
      <c r="AQ249" s="212"/>
      <c r="AR249" s="212"/>
      <c r="AS249" s="212"/>
      <c r="AT249" s="212"/>
      <c r="AU249" s="212"/>
      <c r="AV249" s="212"/>
      <c r="AW249" s="212"/>
      <c r="AX249" s="212"/>
      <c r="AY249" s="212"/>
      <c r="AZ249" s="212"/>
      <c r="BA249" s="212"/>
      <c r="BB249" s="212"/>
      <c r="BE249" s="286"/>
      <c r="BF249" s="286"/>
      <c r="BG249" s="286"/>
      <c r="BH249" s="286"/>
      <c r="BI249" s="286"/>
      <c r="BJ249" s="286"/>
      <c r="BK249" s="286"/>
      <c r="BL249" s="286"/>
      <c r="BM249" s="286"/>
      <c r="BN249" s="286"/>
      <c r="BO249" s="286"/>
      <c r="BP249" s="286"/>
      <c r="BQ249" s="286"/>
      <c r="BR249" s="286"/>
      <c r="BS249" s="286"/>
      <c r="BT249" s="286"/>
      <c r="BU249" s="286"/>
      <c r="BV249" s="286"/>
      <c r="BW249" s="286"/>
      <c r="BX249" s="286"/>
      <c r="BY249" s="286"/>
      <c r="BZ249" s="286"/>
      <c r="CA249" s="286"/>
      <c r="CB249" s="315"/>
      <c r="CC249" s="286"/>
      <c r="CD249" s="286"/>
      <c r="CE249" s="286"/>
      <c r="CF249" s="286"/>
      <c r="CG249" s="286"/>
      <c r="CH249" s="286"/>
      <c r="CI249" s="286"/>
      <c r="CJ249" s="286"/>
      <c r="CK249" s="286"/>
      <c r="CL249" s="286"/>
      <c r="CM249" s="286"/>
      <c r="CN249" s="283"/>
      <c r="CO249" s="286"/>
      <c r="CP249" s="286"/>
      <c r="CQ249" s="286"/>
      <c r="CR249" s="286"/>
      <c r="CS249" s="286"/>
      <c r="CT249" s="286"/>
      <c r="CU249" s="286"/>
      <c r="CV249" s="286"/>
      <c r="CW249" s="286"/>
      <c r="CX249" s="286"/>
      <c r="CY249" s="286"/>
      <c r="CZ249" s="286"/>
      <c r="DA249" s="286"/>
      <c r="DB249" s="275"/>
      <c r="DC249" s="286"/>
      <c r="DH249" s="286"/>
      <c r="DR249" s="286"/>
      <c r="DW249" s="286"/>
      <c r="EB249" s="286"/>
      <c r="EG249" s="286"/>
    </row>
    <row r="250" spans="1:140" hidden="1" outlineLevel="1">
      <c r="A250" s="147" t="s">
        <v>518</v>
      </c>
      <c r="B250" s="149"/>
      <c r="C250" s="149"/>
      <c r="D250" s="149"/>
      <c r="E250" s="149"/>
      <c r="F250" s="149"/>
      <c r="G250" s="149"/>
      <c r="H250" s="149"/>
      <c r="I250" s="149"/>
      <c r="J250" s="149"/>
      <c r="K250" s="149"/>
      <c r="L250" s="149"/>
      <c r="M250" s="149"/>
      <c r="N250" s="149"/>
      <c r="O250" s="149"/>
      <c r="P250" s="149"/>
      <c r="Q250" s="149"/>
      <c r="R250" s="149"/>
      <c r="S250" s="149"/>
      <c r="T250" s="149"/>
      <c r="U250" s="149"/>
      <c r="V250" s="149"/>
      <c r="W250" s="149"/>
      <c r="X250" s="149"/>
      <c r="Y250" s="149"/>
      <c r="Z250" s="149"/>
      <c r="AA250" s="149"/>
      <c r="AB250" s="149"/>
      <c r="AC250" s="149"/>
      <c r="AD250" s="149"/>
      <c r="AE250" s="149"/>
      <c r="AF250" s="149"/>
      <c r="AI250" s="192"/>
      <c r="AJ250" s="192"/>
      <c r="AK250" s="287"/>
      <c r="AL250" s="287"/>
      <c r="AM250" s="287"/>
      <c r="AN250" s="287"/>
      <c r="AO250" s="287"/>
      <c r="AP250" s="287"/>
      <c r="AQ250" s="192"/>
      <c r="AR250" s="192"/>
      <c r="AS250" s="192"/>
      <c r="AT250" s="192"/>
      <c r="AU250" s="192"/>
      <c r="AV250" s="192"/>
      <c r="AW250" s="192"/>
      <c r="AX250" s="192"/>
      <c r="AY250" s="192"/>
      <c r="AZ250" s="192"/>
      <c r="BA250" s="287"/>
      <c r="BB250" s="192"/>
      <c r="BC250" s="192"/>
      <c r="BD250" s="192"/>
      <c r="BE250" s="407"/>
      <c r="BF250" s="407"/>
      <c r="BG250" s="407"/>
      <c r="BH250" s="407"/>
      <c r="BI250" s="407"/>
      <c r="BJ250" s="407"/>
      <c r="BK250" s="407"/>
      <c r="BL250" s="407"/>
      <c r="BM250" s="407"/>
      <c r="BN250" s="407"/>
      <c r="BO250" s="407"/>
      <c r="BP250" s="407"/>
      <c r="BQ250" s="407"/>
      <c r="BR250" s="407"/>
      <c r="BS250" s="407"/>
      <c r="BT250" s="407"/>
      <c r="BU250" s="407"/>
      <c r="BV250" s="407"/>
      <c r="BW250" s="407"/>
      <c r="BX250" s="407"/>
      <c r="BY250" s="407"/>
      <c r="BZ250" s="407"/>
      <c r="CA250" s="407"/>
      <c r="CB250" s="408"/>
      <c r="CC250" s="407"/>
      <c r="CD250" s="407"/>
      <c r="CE250" s="407"/>
      <c r="CF250" s="407"/>
      <c r="CG250" s="407"/>
      <c r="CH250" s="407"/>
      <c r="CI250" s="407"/>
      <c r="CJ250" s="407"/>
      <c r="CK250" s="407"/>
      <c r="CL250" s="407"/>
      <c r="CM250" s="407"/>
      <c r="CN250" s="407"/>
      <c r="CO250" s="407"/>
      <c r="CP250" s="407"/>
      <c r="CQ250" s="407"/>
      <c r="CR250" s="407"/>
      <c r="CS250" s="407"/>
      <c r="CT250" s="407"/>
      <c r="CU250" s="407"/>
      <c r="CV250" s="407"/>
      <c r="CW250" s="407"/>
      <c r="CX250" s="407"/>
      <c r="CY250" s="407"/>
      <c r="CZ250" s="407"/>
      <c r="DA250" s="407"/>
      <c r="DB250" s="275"/>
      <c r="DC250" s="286"/>
      <c r="DH250" s="286"/>
      <c r="DR250" s="286"/>
      <c r="DW250" s="286"/>
      <c r="EB250" s="286"/>
      <c r="EG250" s="286"/>
    </row>
    <row r="251" spans="1:140" hidden="1" outlineLevel="1">
      <c r="A251" s="171" t="str">
        <f>A163</f>
        <v>Desktop GPUs (incl. workstations through FY07)</v>
      </c>
      <c r="B251" s="149"/>
      <c r="C251" s="149"/>
      <c r="D251" s="149"/>
      <c r="E251" s="149"/>
      <c r="F251" s="149"/>
      <c r="G251" s="149"/>
      <c r="H251" s="149"/>
      <c r="I251" s="149"/>
      <c r="J251" s="149"/>
      <c r="K251" s="149"/>
      <c r="L251" s="149"/>
      <c r="M251" s="149"/>
      <c r="N251" s="149"/>
      <c r="O251" s="149"/>
      <c r="P251" s="149"/>
      <c r="Q251" s="149"/>
      <c r="R251" s="149"/>
      <c r="S251" s="149"/>
      <c r="T251" s="149"/>
      <c r="U251" s="149"/>
      <c r="V251" s="204">
        <f t="shared" ref="V251:BC251" si="238">(V168+(0.5*V206))/V241</f>
        <v>1</v>
      </c>
      <c r="W251" s="204">
        <f t="shared" si="238"/>
        <v>1</v>
      </c>
      <c r="X251" s="204">
        <f t="shared" si="238"/>
        <v>0.99868484503090627</v>
      </c>
      <c r="Y251" s="204">
        <f t="shared" si="238"/>
        <v>0.9971410873397818</v>
      </c>
      <c r="Z251" s="204"/>
      <c r="AA251" s="204">
        <f t="shared" si="238"/>
        <v>0.74837237628773134</v>
      </c>
      <c r="AB251" s="204">
        <f t="shared" si="238"/>
        <v>0.63303181717120893</v>
      </c>
      <c r="AC251" s="204">
        <f t="shared" si="238"/>
        <v>0.70974009072655597</v>
      </c>
      <c r="AD251" s="204">
        <f t="shared" si="238"/>
        <v>0.76259251308949383</v>
      </c>
      <c r="AE251" s="204"/>
      <c r="AF251" s="204">
        <f t="shared" si="238"/>
        <v>0.73102574675974052</v>
      </c>
      <c r="AG251" s="204">
        <f t="shared" si="238"/>
        <v>0.71067306981256018</v>
      </c>
      <c r="AH251" s="204">
        <f t="shared" si="238"/>
        <v>0.61037373294737995</v>
      </c>
      <c r="AI251" s="204">
        <f t="shared" si="238"/>
        <v>0.78078143434176561</v>
      </c>
      <c r="AJ251" s="204"/>
      <c r="AK251" s="204">
        <f t="shared" si="238"/>
        <v>0.75958084784013735</v>
      </c>
      <c r="AL251" s="204">
        <f t="shared" si="238"/>
        <v>0.58661670259022369</v>
      </c>
      <c r="AM251" s="204">
        <f t="shared" si="238"/>
        <v>0.5392229499739134</v>
      </c>
      <c r="AN251" s="204">
        <f t="shared" si="238"/>
        <v>0.66062816429998816</v>
      </c>
      <c r="AO251" s="204"/>
      <c r="AP251" s="204">
        <f t="shared" si="238"/>
        <v>0.68306282821154907</v>
      </c>
      <c r="AQ251" s="204">
        <f t="shared" si="238"/>
        <v>0.65736623452537524</v>
      </c>
      <c r="AR251" s="204">
        <f t="shared" si="238"/>
        <v>0.7502866741513331</v>
      </c>
      <c r="AS251" s="204">
        <f t="shared" si="238"/>
        <v>0.71689940563181997</v>
      </c>
      <c r="AT251" s="204"/>
      <c r="AU251" s="204">
        <f t="shared" si="238"/>
        <v>0.67773985152847693</v>
      </c>
      <c r="AV251" s="204">
        <f t="shared" si="238"/>
        <v>0.68822541332705778</v>
      </c>
      <c r="AW251" s="204">
        <f t="shared" si="238"/>
        <v>0.66106447697459814</v>
      </c>
      <c r="AX251" s="204">
        <f t="shared" si="238"/>
        <v>0.66661963673932412</v>
      </c>
      <c r="AY251" s="204"/>
      <c r="AZ251" s="204">
        <f t="shared" si="238"/>
        <v>0.56043583309605882</v>
      </c>
      <c r="BA251" s="204">
        <f t="shared" si="238"/>
        <v>0.56937015732589014</v>
      </c>
      <c r="BB251" s="204">
        <f t="shared" si="238"/>
        <v>0.54664267502226171</v>
      </c>
      <c r="BC251" s="204">
        <f t="shared" si="238"/>
        <v>0.57044965421173344</v>
      </c>
      <c r="BD251" s="204"/>
      <c r="BE251" s="288"/>
      <c r="BF251" s="288"/>
      <c r="BG251" s="288"/>
      <c r="BH251" s="288"/>
      <c r="BI251" s="288"/>
      <c r="BJ251" s="288"/>
      <c r="BK251" s="288"/>
      <c r="BL251" s="288"/>
      <c r="BM251" s="288"/>
      <c r="BN251" s="288"/>
      <c r="BO251" s="288"/>
      <c r="BP251" s="288"/>
      <c r="BQ251" s="288"/>
      <c r="BR251" s="288"/>
      <c r="BS251" s="288"/>
      <c r="BT251" s="288"/>
      <c r="BU251" s="288"/>
      <c r="BV251" s="288"/>
      <c r="BW251" s="288"/>
      <c r="BX251" s="288"/>
      <c r="BY251" s="288"/>
      <c r="BZ251" s="288"/>
      <c r="CA251" s="288"/>
      <c r="CB251" s="291"/>
      <c r="CC251" s="288"/>
      <c r="CD251" s="288"/>
      <c r="CE251" s="288"/>
      <c r="CF251" s="288"/>
      <c r="CG251" s="288"/>
      <c r="CH251" s="288"/>
      <c r="CI251" s="288"/>
      <c r="CJ251" s="288"/>
      <c r="CK251" s="288"/>
      <c r="CL251" s="288"/>
      <c r="CM251" s="288"/>
      <c r="CN251" s="288"/>
      <c r="CO251" s="288"/>
      <c r="CP251" s="288"/>
      <c r="CQ251" s="288"/>
      <c r="CR251" s="288"/>
      <c r="CS251" s="288"/>
      <c r="CT251" s="288"/>
      <c r="CU251" s="288"/>
      <c r="CV251" s="288"/>
      <c r="CW251" s="288"/>
      <c r="CX251" s="288"/>
      <c r="CY251" s="288"/>
      <c r="CZ251" s="288"/>
      <c r="DA251" s="288"/>
      <c r="DB251" s="275"/>
      <c r="DC251" s="288"/>
      <c r="DD251" s="204"/>
      <c r="DE251" s="204"/>
      <c r="DF251" s="204"/>
      <c r="DH251" s="288"/>
      <c r="DI251" s="204"/>
      <c r="DJ251" s="204"/>
      <c r="DK251" s="204"/>
      <c r="DM251" s="204"/>
      <c r="DN251" s="204"/>
      <c r="DO251" s="204"/>
      <c r="DP251" s="204"/>
      <c r="DR251" s="288"/>
      <c r="DS251" s="204"/>
      <c r="DT251" s="204"/>
      <c r="DU251" s="204"/>
      <c r="DW251" s="288"/>
      <c r="DX251" s="204"/>
      <c r="DY251" s="204"/>
      <c r="DZ251" s="204"/>
      <c r="EB251" s="288"/>
      <c r="EC251" s="204"/>
      <c r="ED251" s="204"/>
      <c r="EE251" s="204"/>
      <c r="EG251" s="288"/>
      <c r="EH251" s="204"/>
      <c r="EI251" s="204"/>
      <c r="EJ251" s="204"/>
    </row>
    <row r="252" spans="1:140" hidden="1" outlineLevel="1">
      <c r="A252" s="171" t="str">
        <f>A176</f>
        <v>Notebook GPUs</v>
      </c>
      <c r="B252" s="149"/>
      <c r="C252" s="149"/>
      <c r="D252" s="149"/>
      <c r="E252" s="149"/>
      <c r="F252" s="149"/>
      <c r="G252" s="149"/>
      <c r="H252" s="149"/>
      <c r="I252" s="149"/>
      <c r="J252" s="149"/>
      <c r="K252" s="149"/>
      <c r="L252" s="149"/>
      <c r="M252" s="149"/>
      <c r="N252" s="149"/>
      <c r="O252" s="149"/>
      <c r="P252" s="149"/>
      <c r="Q252" s="149"/>
      <c r="R252" s="149"/>
      <c r="S252" s="149"/>
      <c r="T252" s="149"/>
      <c r="U252" s="149"/>
      <c r="V252" s="204"/>
      <c r="W252" s="204"/>
      <c r="X252" s="204"/>
      <c r="Y252" s="204"/>
      <c r="Z252" s="204"/>
      <c r="AA252" s="204">
        <f t="shared" ref="AA252:BC252" si="239">(AA181+(0.5*AA206))/AA241</f>
        <v>3.8385328655612838E-2</v>
      </c>
      <c r="AB252" s="204">
        <f t="shared" si="239"/>
        <v>5.8040886059655732E-2</v>
      </c>
      <c r="AC252" s="204">
        <f t="shared" si="239"/>
        <v>8.6915297092288249E-2</v>
      </c>
      <c r="AD252" s="204">
        <f t="shared" si="239"/>
        <v>0.10907911560752985</v>
      </c>
      <c r="AE252" s="204"/>
      <c r="AF252" s="204">
        <f t="shared" si="239"/>
        <v>0.15119153149638379</v>
      </c>
      <c r="AG252" s="204">
        <f t="shared" si="239"/>
        <v>0.10091914723320587</v>
      </c>
      <c r="AH252" s="204">
        <f t="shared" si="239"/>
        <v>0.12975112586896098</v>
      </c>
      <c r="AI252" s="204">
        <f t="shared" si="239"/>
        <v>0.13721116921793022</v>
      </c>
      <c r="AJ252" s="204"/>
      <c r="AK252" s="204">
        <f t="shared" si="239"/>
        <v>0.10953899619626833</v>
      </c>
      <c r="AL252" s="204">
        <f t="shared" si="239"/>
        <v>0.11867272141226723</v>
      </c>
      <c r="AM252" s="204">
        <f t="shared" si="239"/>
        <v>0.12751483249319712</v>
      </c>
      <c r="AN252" s="204">
        <f t="shared" si="239"/>
        <v>0.13434108417655821</v>
      </c>
      <c r="AO252" s="204"/>
      <c r="AP252" s="204">
        <f t="shared" si="239"/>
        <v>0.1420365986921209</v>
      </c>
      <c r="AQ252" s="204">
        <f t="shared" si="239"/>
        <v>0.1458494255513107</v>
      </c>
      <c r="AR252" s="204">
        <f t="shared" si="239"/>
        <v>0.13740562035600731</v>
      </c>
      <c r="AS252" s="204">
        <f t="shared" si="239"/>
        <v>0.14386755974457638</v>
      </c>
      <c r="AT252" s="204"/>
      <c r="AU252" s="204">
        <f t="shared" si="239"/>
        <v>0.15946921203349876</v>
      </c>
      <c r="AV252" s="204">
        <f t="shared" si="239"/>
        <v>0.18188581268996859</v>
      </c>
      <c r="AW252" s="204">
        <f t="shared" si="239"/>
        <v>0.21291001886488933</v>
      </c>
      <c r="AX252" s="204">
        <f t="shared" si="239"/>
        <v>0.2090757140110118</v>
      </c>
      <c r="AY252" s="204"/>
      <c r="AZ252" s="204">
        <f t="shared" si="239"/>
        <v>0.18842118116461304</v>
      </c>
      <c r="BA252" s="204">
        <f t="shared" si="239"/>
        <v>0.22195796458336861</v>
      </c>
      <c r="BB252" s="204">
        <f t="shared" si="239"/>
        <v>0.24939747209179458</v>
      </c>
      <c r="BC252" s="204">
        <f t="shared" si="239"/>
        <v>0.23458306302322357</v>
      </c>
      <c r="BD252" s="204"/>
      <c r="BE252" s="288"/>
      <c r="BF252" s="288"/>
      <c r="BG252" s="288"/>
      <c r="BH252" s="288"/>
      <c r="BI252" s="288"/>
      <c r="BJ252" s="288"/>
      <c r="BK252" s="288"/>
      <c r="BL252" s="288"/>
      <c r="BM252" s="288"/>
      <c r="BN252" s="288"/>
      <c r="BO252" s="288"/>
      <c r="BP252" s="288"/>
      <c r="BQ252" s="288"/>
      <c r="BR252" s="288"/>
      <c r="BS252" s="288"/>
      <c r="BT252" s="288"/>
      <c r="BU252" s="288"/>
      <c r="BV252" s="288"/>
      <c r="BW252" s="288"/>
      <c r="BX252" s="288"/>
      <c r="BY252" s="288"/>
      <c r="BZ252" s="288"/>
      <c r="CA252" s="288"/>
      <c r="CB252" s="291"/>
      <c r="CC252" s="288"/>
      <c r="CD252" s="288"/>
      <c r="CE252" s="288"/>
      <c r="CF252" s="288"/>
      <c r="CG252" s="288"/>
      <c r="CH252" s="288"/>
      <c r="CI252" s="288"/>
      <c r="CJ252" s="288"/>
      <c r="CK252" s="288"/>
      <c r="CL252" s="288"/>
      <c r="CM252" s="288"/>
      <c r="CN252" s="288"/>
      <c r="CO252" s="288"/>
      <c r="CP252" s="288"/>
      <c r="CQ252" s="288"/>
      <c r="CR252" s="288"/>
      <c r="CS252" s="288"/>
      <c r="CT252" s="288"/>
      <c r="CU252" s="288"/>
      <c r="CV252" s="288"/>
      <c r="CW252" s="288"/>
      <c r="CX252" s="288"/>
      <c r="CY252" s="288"/>
      <c r="CZ252" s="288"/>
      <c r="DA252" s="288"/>
      <c r="DB252" s="275"/>
      <c r="DC252" s="288"/>
      <c r="DD252" s="204"/>
      <c r="DE252" s="204"/>
      <c r="DF252" s="204"/>
      <c r="DH252" s="288"/>
      <c r="DI252" s="204"/>
      <c r="DJ252" s="204"/>
      <c r="DK252" s="204"/>
      <c r="DM252" s="204"/>
      <c r="DN252" s="204"/>
      <c r="DO252" s="204"/>
      <c r="DP252" s="204"/>
      <c r="DR252" s="288"/>
      <c r="DS252" s="204"/>
      <c r="DT252" s="204"/>
      <c r="DU252" s="204"/>
      <c r="DW252" s="288"/>
      <c r="DX252" s="204"/>
      <c r="DY252" s="204"/>
      <c r="DZ252" s="204"/>
      <c r="EB252" s="288"/>
      <c r="EC252" s="204"/>
      <c r="ED252" s="204"/>
      <c r="EE252" s="204"/>
      <c r="EG252" s="288"/>
      <c r="EH252" s="204"/>
      <c r="EI252" s="204"/>
      <c r="EJ252" s="204"/>
    </row>
    <row r="253" spans="1:140" hidden="1" outlineLevel="1">
      <c r="A253" s="171" t="str">
        <f>A189</f>
        <v>Professional Solutions (workstation/enterprise and Tesla)</v>
      </c>
      <c r="B253" s="149"/>
      <c r="C253" s="149"/>
      <c r="D253" s="149"/>
      <c r="E253" s="149"/>
      <c r="F253" s="149"/>
      <c r="G253" s="149"/>
      <c r="H253" s="149"/>
      <c r="I253" s="149"/>
      <c r="J253" s="149"/>
      <c r="K253" s="149"/>
      <c r="L253" s="149"/>
      <c r="M253" s="149"/>
      <c r="N253" s="149"/>
      <c r="O253" s="149"/>
      <c r="P253" s="149"/>
      <c r="Q253" s="149"/>
      <c r="R253" s="149"/>
      <c r="S253" s="149"/>
      <c r="T253" s="149"/>
      <c r="U253" s="149"/>
      <c r="V253" s="204">
        <f t="shared" ref="V253:BC253" si="240">V192/V241</f>
        <v>0</v>
      </c>
      <c r="W253" s="204">
        <f t="shared" si="240"/>
        <v>0</v>
      </c>
      <c r="X253" s="204">
        <f t="shared" si="240"/>
        <v>0</v>
      </c>
      <c r="Y253" s="204">
        <f t="shared" si="240"/>
        <v>0</v>
      </c>
      <c r="Z253" s="204"/>
      <c r="AA253" s="204">
        <f t="shared" si="240"/>
        <v>0</v>
      </c>
      <c r="AB253" s="204">
        <f t="shared" si="240"/>
        <v>0</v>
      </c>
      <c r="AC253" s="204">
        <f t="shared" si="240"/>
        <v>0</v>
      </c>
      <c r="AD253" s="204">
        <f t="shared" si="240"/>
        <v>0</v>
      </c>
      <c r="AE253" s="204"/>
      <c r="AF253" s="204">
        <f t="shared" si="240"/>
        <v>0</v>
      </c>
      <c r="AG253" s="204">
        <f t="shared" si="240"/>
        <v>0</v>
      </c>
      <c r="AH253" s="204">
        <f t="shared" si="240"/>
        <v>0</v>
      </c>
      <c r="AI253" s="204">
        <f t="shared" si="240"/>
        <v>0</v>
      </c>
      <c r="AJ253" s="204"/>
      <c r="AK253" s="204">
        <f t="shared" si="240"/>
        <v>0</v>
      </c>
      <c r="AL253" s="204">
        <f t="shared" si="240"/>
        <v>0</v>
      </c>
      <c r="AM253" s="204">
        <f t="shared" si="240"/>
        <v>0</v>
      </c>
      <c r="AN253" s="204">
        <f t="shared" si="240"/>
        <v>0</v>
      </c>
      <c r="AO253" s="204"/>
      <c r="AP253" s="204">
        <f t="shared" si="240"/>
        <v>0</v>
      </c>
      <c r="AQ253" s="204">
        <f t="shared" si="240"/>
        <v>0</v>
      </c>
      <c r="AR253" s="204">
        <f t="shared" si="240"/>
        <v>0</v>
      </c>
      <c r="AS253" s="204">
        <f t="shared" si="240"/>
        <v>0</v>
      </c>
      <c r="AT253" s="204"/>
      <c r="AU253" s="204">
        <f t="shared" si="240"/>
        <v>0</v>
      </c>
      <c r="AV253" s="204">
        <f t="shared" si="240"/>
        <v>0</v>
      </c>
      <c r="AW253" s="204">
        <f t="shared" si="240"/>
        <v>0</v>
      </c>
      <c r="AX253" s="204">
        <f t="shared" si="240"/>
        <v>0</v>
      </c>
      <c r="AY253" s="204"/>
      <c r="AZ253" s="204">
        <f t="shared" si="240"/>
        <v>0.16685578244184393</v>
      </c>
      <c r="BA253" s="204">
        <f t="shared" si="240"/>
        <v>0.13613535588765821</v>
      </c>
      <c r="BB253" s="204">
        <f t="shared" si="240"/>
        <v>0.13639154640968015</v>
      </c>
      <c r="BC253" s="204">
        <f t="shared" si="240"/>
        <v>0.13968721159362449</v>
      </c>
      <c r="BD253" s="204"/>
      <c r="BE253" s="288"/>
      <c r="BF253" s="288"/>
      <c r="BG253" s="288"/>
      <c r="BH253" s="288"/>
      <c r="BI253" s="288"/>
      <c r="BJ253" s="288"/>
      <c r="BK253" s="288"/>
      <c r="BL253" s="288"/>
      <c r="BM253" s="288"/>
      <c r="BN253" s="288"/>
      <c r="BO253" s="288"/>
      <c r="BP253" s="288"/>
      <c r="BQ253" s="288"/>
      <c r="BR253" s="288"/>
      <c r="BS253" s="288"/>
      <c r="BT253" s="288"/>
      <c r="BU253" s="288"/>
      <c r="BV253" s="288"/>
      <c r="BW253" s="288"/>
      <c r="BX253" s="288"/>
      <c r="BY253" s="288"/>
      <c r="BZ253" s="288"/>
      <c r="CA253" s="288"/>
      <c r="CB253" s="291"/>
      <c r="CC253" s="288"/>
      <c r="CD253" s="288"/>
      <c r="CE253" s="288"/>
      <c r="CF253" s="288"/>
      <c r="CG253" s="288"/>
      <c r="CH253" s="288"/>
      <c r="CI253" s="288"/>
      <c r="CJ253" s="288"/>
      <c r="CK253" s="288"/>
      <c r="CL253" s="288"/>
      <c r="CM253" s="288"/>
      <c r="CN253" s="288"/>
      <c r="CO253" s="288"/>
      <c r="CP253" s="288"/>
      <c r="CQ253" s="288"/>
      <c r="CR253" s="288"/>
      <c r="CS253" s="288"/>
      <c r="CT253" s="288"/>
      <c r="CU253" s="288"/>
      <c r="CV253" s="288"/>
      <c r="CW253" s="288"/>
      <c r="CX253" s="288"/>
      <c r="CY253" s="288"/>
      <c r="CZ253" s="288"/>
      <c r="DA253" s="288"/>
      <c r="DB253" s="275"/>
      <c r="DC253" s="288"/>
      <c r="DD253" s="204"/>
      <c r="DE253" s="204"/>
      <c r="DF253" s="204"/>
      <c r="DH253" s="288"/>
      <c r="DI253" s="204"/>
      <c r="DJ253" s="204"/>
      <c r="DK253" s="204"/>
      <c r="DM253" s="204"/>
      <c r="DN253" s="204"/>
      <c r="DO253" s="204"/>
      <c r="DP253" s="204"/>
      <c r="DR253" s="288"/>
      <c r="DS253" s="204"/>
      <c r="DT253" s="204"/>
      <c r="DU253" s="204"/>
      <c r="DW253" s="288"/>
      <c r="DX253" s="204"/>
      <c r="DY253" s="204"/>
      <c r="DZ253" s="204"/>
      <c r="EB253" s="288"/>
      <c r="EC253" s="204"/>
      <c r="ED253" s="204"/>
      <c r="EE253" s="204"/>
      <c r="EG253" s="288"/>
      <c r="EH253" s="204"/>
      <c r="EI253" s="204"/>
      <c r="EJ253" s="204"/>
    </row>
    <row r="254" spans="1:140" hidden="1" outlineLevel="1">
      <c r="A254" s="171" t="str">
        <f>A222</f>
        <v>Tegra (auto and mobile)</v>
      </c>
      <c r="B254" s="149"/>
      <c r="C254" s="149"/>
      <c r="D254" s="149"/>
      <c r="E254" s="149"/>
      <c r="F254" s="149"/>
      <c r="G254" s="149"/>
      <c r="H254" s="149"/>
      <c r="I254" s="149"/>
      <c r="J254" s="149"/>
      <c r="K254" s="149"/>
      <c r="L254" s="149"/>
      <c r="M254" s="149"/>
      <c r="N254" s="149"/>
      <c r="O254" s="149"/>
      <c r="P254" s="149"/>
      <c r="Q254" s="149"/>
      <c r="R254" s="149"/>
      <c r="S254" s="149"/>
      <c r="T254" s="149"/>
      <c r="U254" s="149"/>
      <c r="V254" s="204">
        <f t="shared" ref="V254:BC254" si="241">(V225+V216)/V241</f>
        <v>0</v>
      </c>
      <c r="W254" s="204">
        <f t="shared" si="241"/>
        <v>0</v>
      </c>
      <c r="X254" s="204">
        <f t="shared" si="241"/>
        <v>0</v>
      </c>
      <c r="Y254" s="204">
        <f t="shared" si="241"/>
        <v>0</v>
      </c>
      <c r="Z254" s="204"/>
      <c r="AA254" s="204">
        <f t="shared" si="241"/>
        <v>0.21324229505665587</v>
      </c>
      <c r="AB254" s="204">
        <f t="shared" si="241"/>
        <v>0.30892729676913533</v>
      </c>
      <c r="AC254" s="204">
        <f t="shared" si="241"/>
        <v>0.20334461218115565</v>
      </c>
      <c r="AD254" s="204">
        <f t="shared" si="241"/>
        <v>0.12832837130297631</v>
      </c>
      <c r="AE254" s="204"/>
      <c r="AF254" s="204">
        <f t="shared" si="241"/>
        <v>0.11778272174387568</v>
      </c>
      <c r="AG254" s="204">
        <f t="shared" si="241"/>
        <v>0.18840778295423405</v>
      </c>
      <c r="AH254" s="204">
        <f t="shared" si="241"/>
        <v>0.25987514118365912</v>
      </c>
      <c r="AI254" s="204">
        <f t="shared" si="241"/>
        <v>8.2007396440304262E-2</v>
      </c>
      <c r="AJ254" s="204"/>
      <c r="AK254" s="204">
        <f t="shared" si="241"/>
        <v>6.2400271241033693E-2</v>
      </c>
      <c r="AL254" s="204">
        <f t="shared" si="241"/>
        <v>0.20155856343778572</v>
      </c>
      <c r="AM254" s="204">
        <f t="shared" si="241"/>
        <v>0.23291911612111149</v>
      </c>
      <c r="AN254" s="204">
        <f t="shared" si="241"/>
        <v>0.11116269709572867</v>
      </c>
      <c r="AO254" s="204"/>
      <c r="AP254" s="204">
        <f t="shared" si="241"/>
        <v>0.11276946318035923</v>
      </c>
      <c r="AQ254" s="204">
        <f t="shared" si="241"/>
        <v>0.14557455307126504</v>
      </c>
      <c r="AR254" s="204">
        <f t="shared" si="241"/>
        <v>5.6774337307062724E-2</v>
      </c>
      <c r="AS254" s="204">
        <f t="shared" si="241"/>
        <v>7.3113914780923425E-2</v>
      </c>
      <c r="AT254" s="204"/>
      <c r="AU254" s="204">
        <f t="shared" si="241"/>
        <v>8.3429768248199268E-2</v>
      </c>
      <c r="AV254" s="204">
        <f t="shared" si="241"/>
        <v>8.0237782519464923E-2</v>
      </c>
      <c r="AW254" s="204">
        <f t="shared" si="241"/>
        <v>5.8761449330467036E-2</v>
      </c>
      <c r="AX254" s="204">
        <f t="shared" si="241"/>
        <v>5.0683090730970208E-2</v>
      </c>
      <c r="AY254" s="204"/>
      <c r="AZ254" s="204">
        <f t="shared" si="241"/>
        <v>7.9625242810442032E-2</v>
      </c>
      <c r="BA254" s="204">
        <f t="shared" si="241"/>
        <v>6.648682228231291E-2</v>
      </c>
      <c r="BB254" s="204">
        <f t="shared" si="241"/>
        <v>5.9047308302191556E-2</v>
      </c>
      <c r="BC254" s="204">
        <f t="shared" si="241"/>
        <v>4.6441013361269774E-2</v>
      </c>
      <c r="BD254" s="204"/>
      <c r="BE254" s="288"/>
      <c r="BF254" s="288"/>
      <c r="BG254" s="288"/>
      <c r="BH254" s="288"/>
      <c r="BI254" s="288"/>
      <c r="BJ254" s="288"/>
      <c r="BK254" s="288"/>
      <c r="BL254" s="288"/>
      <c r="BM254" s="288"/>
      <c r="BN254" s="288"/>
      <c r="BO254" s="288"/>
      <c r="BP254" s="288"/>
      <c r="BQ254" s="288"/>
      <c r="BR254" s="288"/>
      <c r="BS254" s="288"/>
      <c r="BT254" s="288"/>
      <c r="BU254" s="288"/>
      <c r="BV254" s="288"/>
      <c r="BW254" s="288"/>
      <c r="BX254" s="288"/>
      <c r="BY254" s="288"/>
      <c r="BZ254" s="288"/>
      <c r="CA254" s="288"/>
      <c r="CB254" s="291"/>
      <c r="CC254" s="288"/>
      <c r="CD254" s="288"/>
      <c r="CE254" s="288"/>
      <c r="CF254" s="288"/>
      <c r="CG254" s="288"/>
      <c r="CH254" s="288"/>
      <c r="CI254" s="288"/>
      <c r="CJ254" s="288"/>
      <c r="CK254" s="288"/>
      <c r="CL254" s="288"/>
      <c r="CM254" s="288"/>
      <c r="CN254" s="288"/>
      <c r="CO254" s="288"/>
      <c r="CP254" s="288"/>
      <c r="CQ254" s="288"/>
      <c r="CR254" s="288"/>
      <c r="CS254" s="288"/>
      <c r="CT254" s="288"/>
      <c r="CU254" s="288"/>
      <c r="CV254" s="288"/>
      <c r="CW254" s="288"/>
      <c r="CX254" s="288"/>
      <c r="CY254" s="288"/>
      <c r="CZ254" s="288"/>
      <c r="DA254" s="288"/>
      <c r="DB254" s="275"/>
      <c r="DC254" s="288"/>
      <c r="DD254" s="204"/>
      <c r="DE254" s="204"/>
      <c r="DF254" s="204"/>
      <c r="DH254" s="288"/>
      <c r="DI254" s="204"/>
      <c r="DJ254" s="204"/>
      <c r="DK254" s="204"/>
      <c r="DM254" s="204"/>
      <c r="DN254" s="204"/>
      <c r="DO254" s="204"/>
      <c r="DP254" s="204"/>
      <c r="DR254" s="288"/>
      <c r="DS254" s="204"/>
      <c r="DT254" s="204"/>
      <c r="DU254" s="204"/>
      <c r="DW254" s="288"/>
      <c r="DX254" s="204"/>
      <c r="DY254" s="204"/>
      <c r="DZ254" s="204"/>
      <c r="EB254" s="288"/>
      <c r="EC254" s="204"/>
      <c r="ED254" s="204"/>
      <c r="EE254" s="204"/>
      <c r="EG254" s="288"/>
      <c r="EH254" s="204"/>
      <c r="EI254" s="204"/>
      <c r="EJ254" s="204"/>
    </row>
    <row r="255" spans="1:140" hidden="1" outlineLevel="1">
      <c r="A255" s="171" t="str">
        <f>A231</f>
        <v xml:space="preserve">Licensing &amp; other </v>
      </c>
      <c r="B255" s="149"/>
      <c r="C255" s="149"/>
      <c r="D255" s="149"/>
      <c r="E255" s="149"/>
      <c r="F255" s="149"/>
      <c r="G255" s="149"/>
      <c r="H255" s="149"/>
      <c r="I255" s="149"/>
      <c r="J255" s="149"/>
      <c r="K255" s="149"/>
      <c r="L255" s="149"/>
      <c r="M255" s="149"/>
      <c r="N255" s="149"/>
      <c r="O255" s="149"/>
      <c r="P255" s="149"/>
      <c r="Q255" s="149"/>
      <c r="R255" s="149"/>
      <c r="S255" s="149"/>
      <c r="T255" s="149"/>
      <c r="U255" s="149"/>
      <c r="V255" s="204">
        <f t="shared" ref="V255:BC255" si="242">V232/V241</f>
        <v>0</v>
      </c>
      <c r="W255" s="204">
        <f t="shared" si="242"/>
        <v>0</v>
      </c>
      <c r="X255" s="204">
        <f t="shared" si="242"/>
        <v>0</v>
      </c>
      <c r="Y255" s="204">
        <f t="shared" si="242"/>
        <v>0</v>
      </c>
      <c r="Z255" s="204"/>
      <c r="AA255" s="204">
        <f t="shared" si="242"/>
        <v>0</v>
      </c>
      <c r="AB255" s="204">
        <f t="shared" si="242"/>
        <v>0</v>
      </c>
      <c r="AC255" s="204">
        <f t="shared" si="242"/>
        <v>0</v>
      </c>
      <c r="AD255" s="204">
        <f t="shared" si="242"/>
        <v>0</v>
      </c>
      <c r="AE255" s="204"/>
      <c r="AF255" s="204">
        <f t="shared" si="242"/>
        <v>0</v>
      </c>
      <c r="AG255" s="204">
        <f t="shared" si="242"/>
        <v>0</v>
      </c>
      <c r="AH255" s="204">
        <f t="shared" si="242"/>
        <v>0</v>
      </c>
      <c r="AI255" s="204">
        <f t="shared" si="242"/>
        <v>0</v>
      </c>
      <c r="AJ255" s="204"/>
      <c r="AK255" s="204">
        <f t="shared" si="242"/>
        <v>6.847988472256071E-2</v>
      </c>
      <c r="AL255" s="204">
        <f t="shared" si="242"/>
        <v>9.3152012559723371E-2</v>
      </c>
      <c r="AM255" s="204">
        <f t="shared" si="242"/>
        <v>0.10034310141177794</v>
      </c>
      <c r="AN255" s="204">
        <f t="shared" si="242"/>
        <v>9.3868054427725084E-2</v>
      </c>
      <c r="AO255" s="204"/>
      <c r="AP255" s="204">
        <f t="shared" si="242"/>
        <v>6.2131109915971004E-2</v>
      </c>
      <c r="AQ255" s="204">
        <f t="shared" si="242"/>
        <v>5.1209786852049015E-2</v>
      </c>
      <c r="AR255" s="204">
        <f t="shared" si="242"/>
        <v>5.5533368185596878E-2</v>
      </c>
      <c r="AS255" s="204">
        <f t="shared" si="242"/>
        <v>6.6119119842680249E-2</v>
      </c>
      <c r="AT255" s="204"/>
      <c r="AU255" s="204">
        <f t="shared" si="242"/>
        <v>7.9361168189824985E-2</v>
      </c>
      <c r="AV255" s="204">
        <f t="shared" si="242"/>
        <v>4.9650991463508647E-2</v>
      </c>
      <c r="AW255" s="204">
        <f t="shared" si="242"/>
        <v>6.7264054830045369E-2</v>
      </c>
      <c r="AX255" s="204">
        <f t="shared" si="242"/>
        <v>7.3621558518693828E-2</v>
      </c>
      <c r="AY255" s="204"/>
      <c r="AZ255" s="204">
        <f t="shared" si="242"/>
        <v>4.6619604870422136E-3</v>
      </c>
      <c r="BA255" s="204">
        <f t="shared" si="242"/>
        <v>6.0496999207701021E-3</v>
      </c>
      <c r="BB255" s="204">
        <f t="shared" si="242"/>
        <v>8.5209981740718178E-3</v>
      </c>
      <c r="BC255" s="204">
        <f t="shared" si="242"/>
        <v>8.8390578101485793E-3</v>
      </c>
      <c r="BD255" s="204"/>
      <c r="BE255" s="288"/>
      <c r="BF255" s="288"/>
      <c r="BG255" s="288"/>
      <c r="BH255" s="288"/>
      <c r="BI255" s="288"/>
      <c r="BJ255" s="288"/>
      <c r="BK255" s="288"/>
      <c r="BL255" s="288"/>
      <c r="BM255" s="288"/>
      <c r="BN255" s="288"/>
      <c r="BO255" s="288"/>
      <c r="BP255" s="288"/>
      <c r="BQ255" s="288"/>
      <c r="BR255" s="288"/>
      <c r="BS255" s="288"/>
      <c r="BT255" s="288"/>
      <c r="BU255" s="288"/>
      <c r="BV255" s="288"/>
      <c r="BW255" s="288"/>
      <c r="BX255" s="288"/>
      <c r="BY255" s="288"/>
      <c r="BZ255" s="288"/>
      <c r="CA255" s="288"/>
      <c r="CB255" s="291"/>
      <c r="CC255" s="288"/>
      <c r="CD255" s="288"/>
      <c r="CE255" s="288"/>
      <c r="CF255" s="288"/>
      <c r="CG255" s="288"/>
      <c r="CH255" s="288"/>
      <c r="CI255" s="288"/>
      <c r="CJ255" s="288"/>
      <c r="CK255" s="288"/>
      <c r="CL255" s="288"/>
      <c r="CM255" s="288"/>
      <c r="CN255" s="288"/>
      <c r="CO255" s="288"/>
      <c r="CP255" s="288"/>
      <c r="CQ255" s="288"/>
      <c r="CR255" s="288"/>
      <c r="CS255" s="288"/>
      <c r="CT255" s="288"/>
      <c r="CU255" s="288"/>
      <c r="CV255" s="288"/>
      <c r="CW255" s="288"/>
      <c r="CX255" s="288"/>
      <c r="CY255" s="288"/>
      <c r="CZ255" s="288"/>
      <c r="DA255" s="288"/>
      <c r="DB255" s="275"/>
      <c r="DC255" s="288"/>
      <c r="DD255" s="204"/>
      <c r="DE255" s="204"/>
      <c r="DF255" s="204"/>
      <c r="DH255" s="288"/>
      <c r="DI255" s="204"/>
      <c r="DJ255" s="204"/>
      <c r="DK255" s="204"/>
      <c r="DM255" s="204"/>
      <c r="DN255" s="204"/>
      <c r="DO255" s="204"/>
      <c r="DP255" s="204"/>
      <c r="DR255" s="288"/>
      <c r="DS255" s="204"/>
      <c r="DT255" s="204"/>
      <c r="DU255" s="204"/>
      <c r="DW255" s="288"/>
      <c r="DX255" s="204"/>
      <c r="DY255" s="204"/>
      <c r="DZ255" s="204"/>
      <c r="EB255" s="288"/>
      <c r="EC255" s="204"/>
      <c r="ED255" s="204"/>
      <c r="EE255" s="204"/>
      <c r="EG255" s="288"/>
      <c r="EH255" s="204"/>
      <c r="EI255" s="204"/>
      <c r="EJ255" s="204"/>
    </row>
    <row r="256" spans="1:140" hidden="1" outlineLevel="1">
      <c r="A256" s="171" t="s">
        <v>272</v>
      </c>
      <c r="B256" s="204"/>
      <c r="C256" s="204"/>
      <c r="D256" s="204"/>
      <c r="E256" s="204"/>
      <c r="F256" s="204"/>
      <c r="G256" s="204"/>
      <c r="H256" s="204"/>
      <c r="I256" s="204"/>
      <c r="J256" s="204"/>
      <c r="K256" s="204"/>
      <c r="L256" s="204"/>
      <c r="M256" s="204"/>
      <c r="N256" s="204"/>
      <c r="O256" s="204"/>
      <c r="P256" s="204"/>
      <c r="Q256" s="204"/>
      <c r="R256" s="204"/>
      <c r="S256" s="204"/>
      <c r="T256" s="204"/>
      <c r="U256" s="204"/>
      <c r="V256" s="204">
        <f t="shared" ref="V256:BC256" si="243">SUM(V251:V255)</f>
        <v>1</v>
      </c>
      <c r="W256" s="204">
        <f t="shared" si="243"/>
        <v>1</v>
      </c>
      <c r="X256" s="204">
        <f t="shared" si="243"/>
        <v>0.99868484503090627</v>
      </c>
      <c r="Y256" s="204">
        <f t="shared" si="243"/>
        <v>0.9971410873397818</v>
      </c>
      <c r="Z256" s="204"/>
      <c r="AA256" s="204">
        <f t="shared" si="243"/>
        <v>1</v>
      </c>
      <c r="AB256" s="204">
        <f t="shared" si="243"/>
        <v>1</v>
      </c>
      <c r="AC256" s="204">
        <f t="shared" si="243"/>
        <v>0.99999999999999989</v>
      </c>
      <c r="AD256" s="204">
        <f t="shared" si="243"/>
        <v>1</v>
      </c>
      <c r="AE256" s="204"/>
      <c r="AF256" s="204">
        <f t="shared" si="243"/>
        <v>1</v>
      </c>
      <c r="AG256" s="204">
        <f t="shared" si="243"/>
        <v>1</v>
      </c>
      <c r="AH256" s="204">
        <f t="shared" si="243"/>
        <v>1</v>
      </c>
      <c r="AI256" s="204">
        <f t="shared" si="243"/>
        <v>1</v>
      </c>
      <c r="AJ256" s="204"/>
      <c r="AK256" s="204">
        <f t="shared" si="243"/>
        <v>1</v>
      </c>
      <c r="AL256" s="204">
        <f t="shared" si="243"/>
        <v>1</v>
      </c>
      <c r="AM256" s="204">
        <f t="shared" si="243"/>
        <v>1</v>
      </c>
      <c r="AN256" s="204">
        <f t="shared" si="243"/>
        <v>1.0000000000000002</v>
      </c>
      <c r="AO256" s="204"/>
      <c r="AP256" s="204">
        <f t="shared" si="243"/>
        <v>1.0000000000000002</v>
      </c>
      <c r="AQ256" s="204">
        <f t="shared" si="243"/>
        <v>1</v>
      </c>
      <c r="AR256" s="204">
        <f t="shared" si="243"/>
        <v>1</v>
      </c>
      <c r="AS256" s="204">
        <f t="shared" si="243"/>
        <v>1</v>
      </c>
      <c r="AT256" s="204"/>
      <c r="AU256" s="204">
        <f t="shared" si="243"/>
        <v>0.99999999999999989</v>
      </c>
      <c r="AV256" s="204">
        <f t="shared" si="243"/>
        <v>0.99999999999999989</v>
      </c>
      <c r="AW256" s="204">
        <f t="shared" si="243"/>
        <v>0.99999999999999989</v>
      </c>
      <c r="AX256" s="204">
        <f t="shared" si="243"/>
        <v>0.99999999999999989</v>
      </c>
      <c r="AY256" s="204"/>
      <c r="AZ256" s="204">
        <f t="shared" si="243"/>
        <v>1</v>
      </c>
      <c r="BA256" s="204">
        <f t="shared" si="243"/>
        <v>1</v>
      </c>
      <c r="BB256" s="204">
        <f t="shared" si="243"/>
        <v>0.99999999999999978</v>
      </c>
      <c r="BC256" s="204">
        <f t="shared" si="243"/>
        <v>0.99999999999999989</v>
      </c>
      <c r="BD256" s="204"/>
      <c r="BE256" s="288"/>
      <c r="BF256" s="288"/>
      <c r="BG256" s="288"/>
      <c r="BH256" s="288"/>
      <c r="BI256" s="288"/>
      <c r="BJ256" s="288"/>
      <c r="BK256" s="288"/>
      <c r="BL256" s="288"/>
      <c r="BM256" s="288"/>
      <c r="BN256" s="288"/>
      <c r="BO256" s="288"/>
      <c r="BP256" s="288"/>
      <c r="BQ256" s="288"/>
      <c r="BR256" s="288"/>
      <c r="BS256" s="288"/>
      <c r="BT256" s="288"/>
      <c r="BU256" s="288"/>
      <c r="BV256" s="288"/>
      <c r="BW256" s="288"/>
      <c r="BX256" s="288"/>
      <c r="BY256" s="288"/>
      <c r="BZ256" s="288"/>
      <c r="CA256" s="288"/>
      <c r="CB256" s="291"/>
      <c r="CC256" s="288"/>
      <c r="CD256" s="288"/>
      <c r="CE256" s="288"/>
      <c r="CF256" s="288"/>
      <c r="CG256" s="288"/>
      <c r="CH256" s="288"/>
      <c r="CI256" s="288"/>
      <c r="CJ256" s="288"/>
      <c r="CK256" s="288"/>
      <c r="CL256" s="288"/>
      <c r="CM256" s="288"/>
      <c r="CN256" s="288"/>
      <c r="CO256" s="288"/>
      <c r="CP256" s="288"/>
      <c r="CQ256" s="288"/>
      <c r="CR256" s="288"/>
      <c r="CS256" s="288"/>
      <c r="CT256" s="288"/>
      <c r="CU256" s="288"/>
      <c r="CV256" s="288"/>
      <c r="CW256" s="288"/>
      <c r="CX256" s="288"/>
      <c r="CY256" s="288"/>
      <c r="CZ256" s="288"/>
      <c r="DA256" s="288"/>
      <c r="DB256" s="275"/>
      <c r="DC256" s="288"/>
      <c r="DD256" s="204"/>
      <c r="DE256" s="204"/>
      <c r="DF256" s="204"/>
      <c r="DH256" s="288"/>
      <c r="DI256" s="204"/>
      <c r="DJ256" s="204"/>
      <c r="DK256" s="204"/>
      <c r="DM256" s="204"/>
      <c r="DN256" s="204"/>
      <c r="DO256" s="204"/>
      <c r="DP256" s="204"/>
      <c r="DR256" s="288"/>
      <c r="DS256" s="204"/>
      <c r="DT256" s="204"/>
      <c r="DU256" s="204"/>
      <c r="DW256" s="288"/>
      <c r="DX256" s="204"/>
      <c r="DY256" s="204"/>
      <c r="DZ256" s="204"/>
      <c r="EB256" s="288"/>
      <c r="EC256" s="204"/>
      <c r="ED256" s="204"/>
      <c r="EE256" s="204"/>
      <c r="EG256" s="288"/>
      <c r="EH256" s="204"/>
      <c r="EI256" s="204"/>
      <c r="EJ256" s="204"/>
    </row>
    <row r="257" spans="1:140" hidden="1" outlineLevel="1">
      <c r="AD257" s="148"/>
      <c r="AE257" s="148"/>
      <c r="AF257" s="148"/>
      <c r="AG257" s="148"/>
      <c r="AK257" s="204"/>
      <c r="AL257" s="204"/>
      <c r="AM257" s="204"/>
      <c r="AN257" s="204"/>
      <c r="AO257" s="204"/>
      <c r="AP257" s="204"/>
      <c r="AQ257" s="204"/>
      <c r="AR257" s="204"/>
      <c r="AS257" s="204"/>
      <c r="AT257" s="204"/>
      <c r="AU257" s="204"/>
      <c r="AV257" s="204"/>
      <c r="AW257" s="204"/>
      <c r="AX257" s="204"/>
      <c r="AY257" s="204"/>
      <c r="AZ257" s="204"/>
      <c r="BA257" s="204"/>
      <c r="BB257" s="204"/>
      <c r="BC257" s="204"/>
      <c r="BD257" s="204"/>
      <c r="BE257" s="288"/>
      <c r="BF257" s="288"/>
      <c r="BG257" s="288"/>
      <c r="BH257" s="288"/>
      <c r="BI257" s="288"/>
      <c r="BJ257" s="288"/>
      <c r="BK257" s="288"/>
      <c r="BL257" s="288"/>
      <c r="BM257" s="288"/>
      <c r="BN257" s="288"/>
      <c r="BO257" s="288"/>
      <c r="BP257" s="288"/>
      <c r="BQ257" s="288"/>
      <c r="BR257" s="288"/>
      <c r="BS257" s="288"/>
      <c r="BT257" s="288"/>
      <c r="BU257" s="288"/>
      <c r="BV257" s="288"/>
      <c r="BW257" s="288"/>
      <c r="BX257" s="288"/>
      <c r="BY257" s="288"/>
      <c r="BZ257" s="288"/>
      <c r="CA257" s="288"/>
      <c r="CB257" s="291"/>
      <c r="CC257" s="288"/>
      <c r="CD257" s="288"/>
      <c r="CE257" s="288"/>
      <c r="CF257" s="288"/>
      <c r="CG257" s="288"/>
      <c r="CH257" s="288"/>
      <c r="CI257" s="288"/>
      <c r="CJ257" s="288"/>
      <c r="CK257" s="288"/>
      <c r="CL257" s="288"/>
      <c r="CM257" s="288"/>
      <c r="CN257" s="288"/>
      <c r="CO257" s="288"/>
      <c r="CP257" s="288"/>
      <c r="CQ257" s="288"/>
      <c r="CR257" s="288"/>
      <c r="CS257" s="288"/>
      <c r="CT257" s="288"/>
      <c r="CU257" s="288"/>
      <c r="CV257" s="288"/>
      <c r="CW257" s="288"/>
      <c r="CX257" s="288"/>
      <c r="CY257" s="288"/>
      <c r="CZ257" s="288"/>
      <c r="DA257" s="288"/>
      <c r="DB257" s="275"/>
      <c r="DC257" s="286"/>
      <c r="DH257" s="286"/>
      <c r="DR257" s="286"/>
      <c r="DW257" s="286"/>
      <c r="EB257" s="286"/>
      <c r="EG257" s="286"/>
    </row>
    <row r="258" spans="1:140" hidden="1" outlineLevel="1">
      <c r="A258" s="171" t="s">
        <v>519</v>
      </c>
      <c r="BE258" s="286"/>
      <c r="BF258" s="286"/>
      <c r="BG258" s="286"/>
      <c r="BH258" s="286"/>
      <c r="BI258" s="286"/>
      <c r="BJ258" s="286"/>
      <c r="BK258" s="286"/>
      <c r="BL258" s="286"/>
      <c r="BM258" s="286"/>
      <c r="BN258" s="286"/>
      <c r="BO258" s="286"/>
      <c r="BP258" s="286"/>
      <c r="BQ258" s="286"/>
      <c r="BR258" s="286"/>
      <c r="BS258" s="286"/>
      <c r="BT258" s="286"/>
      <c r="BU258" s="286"/>
      <c r="BV258" s="286"/>
      <c r="BW258" s="286"/>
      <c r="BX258" s="286"/>
      <c r="BY258" s="286"/>
      <c r="BZ258" s="286"/>
      <c r="CA258" s="286"/>
      <c r="CB258" s="291"/>
      <c r="CC258" s="288"/>
      <c r="CD258" s="286"/>
      <c r="CE258" s="286"/>
      <c r="CF258" s="286"/>
      <c r="CG258" s="286"/>
      <c r="CH258" s="286"/>
      <c r="CI258" s="410"/>
      <c r="CJ258" s="410"/>
      <c r="CK258" s="410"/>
      <c r="CL258" s="410"/>
      <c r="CM258" s="410"/>
      <c r="CN258" s="410"/>
      <c r="CO258" s="410"/>
      <c r="CP258" s="410"/>
      <c r="CQ258" s="286"/>
      <c r="CR258" s="286"/>
      <c r="CS258" s="286"/>
      <c r="CT258" s="286"/>
      <c r="CU258" s="286"/>
      <c r="CV258" s="286"/>
      <c r="CW258" s="286"/>
      <c r="CX258" s="286"/>
      <c r="CY258" s="286"/>
      <c r="CZ258" s="286"/>
      <c r="DA258" s="286"/>
      <c r="DB258" s="275"/>
      <c r="DC258" s="286"/>
      <c r="DH258" s="286"/>
      <c r="DR258" s="286"/>
      <c r="DW258" s="286"/>
      <c r="EB258" s="286"/>
      <c r="EG258" s="286"/>
    </row>
    <row r="259" spans="1:140" hidden="1" outlineLevel="1">
      <c r="A259" s="203" t="s">
        <v>520</v>
      </c>
      <c r="B259" s="149"/>
      <c r="C259" s="149"/>
      <c r="D259" s="149"/>
      <c r="E259" s="149"/>
      <c r="F259" s="149"/>
      <c r="G259" s="149"/>
      <c r="H259" s="149"/>
      <c r="I259" s="149"/>
      <c r="J259" s="149"/>
      <c r="K259" s="149"/>
      <c r="L259" s="149"/>
      <c r="M259" s="149"/>
      <c r="N259" s="149"/>
      <c r="O259" s="149"/>
      <c r="P259" s="149"/>
      <c r="Q259" s="149"/>
      <c r="R259" s="149"/>
      <c r="S259" s="149"/>
      <c r="T259" s="149"/>
      <c r="U259" s="149"/>
      <c r="V259" s="204"/>
      <c r="W259" s="204"/>
      <c r="X259" s="204"/>
      <c r="Y259" s="204"/>
      <c r="Z259" s="204"/>
      <c r="AA259" s="204"/>
      <c r="AB259" s="204"/>
      <c r="AC259" s="204"/>
      <c r="AD259" s="204"/>
      <c r="AE259" s="204"/>
      <c r="AF259" s="204"/>
      <c r="AG259" s="204"/>
      <c r="AH259" s="204"/>
      <c r="AI259" s="204"/>
      <c r="AJ259" s="204"/>
      <c r="AK259" s="204"/>
      <c r="AL259" s="204"/>
      <c r="AM259" s="204"/>
      <c r="AN259" s="204"/>
      <c r="AO259" s="204"/>
      <c r="AP259" s="204"/>
      <c r="AQ259" s="204"/>
      <c r="AR259" s="204"/>
      <c r="AS259" s="204"/>
      <c r="AT259" s="204"/>
      <c r="AU259" s="204"/>
      <c r="AV259" s="204"/>
      <c r="AW259" s="204"/>
      <c r="AX259" s="204"/>
      <c r="AY259" s="204"/>
      <c r="AZ259" s="204"/>
      <c r="BA259" s="204"/>
      <c r="BB259" s="204"/>
      <c r="BC259" s="204"/>
      <c r="BD259" s="204"/>
      <c r="BE259" s="288"/>
      <c r="BF259" s="288"/>
      <c r="BG259" s="288"/>
      <c r="BH259" s="288"/>
      <c r="BI259" s="288"/>
      <c r="BJ259" s="288"/>
      <c r="BK259" s="288"/>
      <c r="BL259" s="288"/>
      <c r="BM259" s="288"/>
      <c r="BN259" s="288"/>
      <c r="BO259" s="288"/>
      <c r="BP259" s="288"/>
      <c r="BQ259" s="288"/>
      <c r="BR259" s="288"/>
      <c r="BS259" s="288"/>
      <c r="BT259" s="288"/>
      <c r="BU259" s="288"/>
      <c r="BV259" s="288"/>
      <c r="BW259" s="288"/>
      <c r="BX259" s="288"/>
      <c r="BY259" s="288"/>
      <c r="BZ259" s="288"/>
      <c r="CA259" s="288"/>
      <c r="CB259" s="291"/>
      <c r="CC259" s="288"/>
      <c r="CD259" s="288"/>
      <c r="CE259" s="288"/>
      <c r="CF259" s="282"/>
      <c r="CG259" s="282"/>
      <c r="CH259" s="282"/>
      <c r="CI259" s="282"/>
      <c r="CJ259" s="282"/>
      <c r="CK259" s="282"/>
      <c r="CL259" s="282"/>
      <c r="CM259" s="282"/>
      <c r="CN259" s="282"/>
      <c r="CO259" s="282"/>
      <c r="CP259" s="282"/>
      <c r="CQ259" s="288"/>
      <c r="CR259" s="288"/>
      <c r="CS259" s="288"/>
      <c r="CT259" s="288"/>
      <c r="CU259" s="288"/>
      <c r="CV259" s="288"/>
      <c r="CW259" s="288"/>
      <c r="CX259" s="288"/>
      <c r="CY259" s="288"/>
      <c r="CZ259" s="288"/>
      <c r="DA259" s="288"/>
      <c r="DB259" s="275"/>
      <c r="DC259" s="286"/>
      <c r="DH259" s="286"/>
      <c r="DR259" s="286"/>
      <c r="DW259" s="286"/>
      <c r="EB259" s="286"/>
      <c r="EG259" s="286"/>
    </row>
    <row r="260" spans="1:140" hidden="1" outlineLevel="1">
      <c r="A260" s="147" t="s">
        <v>521</v>
      </c>
      <c r="B260" s="149"/>
      <c r="C260" s="149"/>
      <c r="D260" s="149"/>
      <c r="E260" s="149"/>
      <c r="F260" s="149"/>
      <c r="G260" s="149"/>
      <c r="H260" s="149"/>
      <c r="I260" s="149"/>
      <c r="J260" s="149"/>
      <c r="K260" s="149"/>
      <c r="L260" s="149"/>
      <c r="M260" s="149"/>
      <c r="N260" s="149"/>
      <c r="O260" s="149"/>
      <c r="P260" s="149"/>
      <c r="Q260" s="149"/>
      <c r="R260" s="149"/>
      <c r="S260" s="149"/>
      <c r="T260" s="149"/>
      <c r="U260" s="149"/>
      <c r="V260" s="204"/>
      <c r="W260" s="204"/>
      <c r="X260" s="204"/>
      <c r="Y260" s="204"/>
      <c r="Z260" s="204"/>
      <c r="AA260" s="204"/>
      <c r="AB260" s="204"/>
      <c r="AC260" s="204"/>
      <c r="AD260" s="204"/>
      <c r="AE260" s="204"/>
      <c r="AF260" s="204"/>
      <c r="AG260" s="204"/>
      <c r="AH260" s="204"/>
      <c r="AI260" s="204"/>
      <c r="AJ260" s="204"/>
      <c r="AK260" s="204"/>
      <c r="AL260" s="204"/>
      <c r="AM260" s="204"/>
      <c r="AN260" s="204"/>
      <c r="AO260" s="204"/>
      <c r="AP260" s="204"/>
      <c r="AQ260" s="204"/>
      <c r="AR260" s="204"/>
      <c r="AS260" s="204"/>
      <c r="AT260" s="204"/>
      <c r="AU260" s="204"/>
      <c r="AV260" s="204"/>
      <c r="AW260" s="204"/>
      <c r="AX260" s="204"/>
      <c r="AY260" s="204"/>
      <c r="AZ260" s="204"/>
      <c r="BA260" s="204"/>
      <c r="BB260" s="204"/>
      <c r="BC260" s="204"/>
      <c r="BD260" s="204"/>
      <c r="BE260" s="288"/>
      <c r="BF260" s="288"/>
      <c r="BG260" s="288"/>
      <c r="BH260" s="288"/>
      <c r="BI260" s="288"/>
      <c r="BJ260" s="285"/>
      <c r="BK260" s="210"/>
      <c r="BL260" s="288"/>
      <c r="BM260" s="285"/>
      <c r="BN260" s="285"/>
      <c r="BO260" s="285"/>
      <c r="BP260" s="282"/>
      <c r="BQ260" s="288"/>
      <c r="BR260" s="285"/>
      <c r="BS260" s="285"/>
      <c r="BT260" s="411"/>
      <c r="BU260" s="412"/>
      <c r="BV260" s="288"/>
      <c r="BW260" s="285"/>
      <c r="BX260" s="285"/>
      <c r="BY260" s="210"/>
      <c r="BZ260" s="413"/>
      <c r="CA260" s="288"/>
      <c r="CB260" s="291"/>
      <c r="CC260" s="288"/>
      <c r="CD260" s="413"/>
      <c r="CE260" s="413"/>
      <c r="CF260" s="288"/>
      <c r="CG260" s="414"/>
      <c r="CH260" s="414"/>
      <c r="CI260" s="247"/>
      <c r="CJ260" s="288"/>
      <c r="CK260" s="288"/>
      <c r="CL260" s="415"/>
      <c r="CM260" s="415"/>
      <c r="CN260" s="288"/>
      <c r="CO260" s="288"/>
      <c r="CP260" s="288"/>
      <c r="CQ260" s="288"/>
      <c r="CR260" s="288"/>
      <c r="CS260" s="288"/>
      <c r="CT260" s="288"/>
      <c r="CU260" s="288"/>
      <c r="CV260" s="288"/>
      <c r="CW260" s="288"/>
      <c r="CX260" s="288"/>
      <c r="CY260" s="288"/>
      <c r="CZ260" s="288"/>
      <c r="DA260" s="288"/>
      <c r="DB260" s="275"/>
      <c r="DC260" s="286"/>
      <c r="DH260" s="286"/>
      <c r="DR260" s="286"/>
      <c r="DW260" s="286"/>
      <c r="EB260" s="286"/>
      <c r="EG260" s="286"/>
    </row>
    <row r="261" spans="1:140" hidden="1" outlineLevel="1">
      <c r="A261" s="171" t="s">
        <v>522</v>
      </c>
      <c r="B261" s="149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  <c r="R261" s="149"/>
      <c r="S261" s="149"/>
      <c r="T261" s="149"/>
      <c r="U261" s="149"/>
      <c r="V261" s="204"/>
      <c r="W261" s="204"/>
      <c r="X261" s="204"/>
      <c r="Y261" s="204"/>
      <c r="Z261" s="204"/>
      <c r="AA261" s="204"/>
      <c r="AB261" s="204"/>
      <c r="AC261" s="204"/>
      <c r="AD261" s="204"/>
      <c r="AE261" s="204"/>
      <c r="AF261" s="204"/>
      <c r="AG261" s="204"/>
      <c r="AH261" s="204"/>
      <c r="AI261" s="204"/>
      <c r="AJ261" s="204"/>
      <c r="AK261" s="204"/>
      <c r="AL261" s="204"/>
      <c r="AM261" s="204"/>
      <c r="AN261" s="204"/>
      <c r="AO261" s="204"/>
      <c r="AP261" s="204"/>
      <c r="AQ261" s="204"/>
      <c r="AR261" s="204"/>
      <c r="AS261" s="204"/>
      <c r="AT261" s="204"/>
      <c r="AU261" s="204"/>
      <c r="AV261" s="204"/>
      <c r="AW261" s="204"/>
      <c r="AX261" s="204"/>
      <c r="AY261" s="204"/>
      <c r="AZ261" s="416"/>
      <c r="BA261" s="416"/>
      <c r="BB261" s="416"/>
      <c r="BC261" s="416"/>
      <c r="BD261" s="416"/>
      <c r="BE261" s="417"/>
      <c r="BF261" s="417"/>
      <c r="BG261" s="417"/>
      <c r="BH261" s="417"/>
      <c r="BI261" s="417"/>
      <c r="BJ261" s="417"/>
      <c r="BK261" s="417"/>
      <c r="BL261" s="417"/>
      <c r="BM261" s="417"/>
      <c r="BN261" s="417"/>
      <c r="BO261" s="417"/>
      <c r="BP261" s="417"/>
      <c r="BQ261" s="417"/>
      <c r="BR261" s="417"/>
      <c r="BS261" s="417"/>
      <c r="BT261" s="417"/>
      <c r="BU261" s="417"/>
      <c r="BV261" s="417"/>
      <c r="BW261" s="417"/>
      <c r="BX261" s="417"/>
      <c r="BY261" s="417"/>
      <c r="BZ261" s="417"/>
      <c r="CA261" s="417"/>
      <c r="CB261" s="418"/>
      <c r="CC261" s="417"/>
      <c r="CD261" s="417"/>
      <c r="CE261" s="417"/>
      <c r="CF261" s="417"/>
      <c r="CG261" s="417"/>
      <c r="CH261" s="417"/>
      <c r="CI261" s="417"/>
      <c r="CJ261" s="417"/>
      <c r="CK261" s="417"/>
      <c r="CL261" s="417"/>
      <c r="CM261" s="417"/>
      <c r="CN261" s="417"/>
      <c r="CO261" s="417"/>
      <c r="CP261" s="417"/>
      <c r="CQ261" s="417"/>
      <c r="CR261" s="417"/>
      <c r="CS261" s="417"/>
      <c r="CT261" s="417"/>
      <c r="CU261" s="417"/>
      <c r="CV261" s="417"/>
      <c r="CW261" s="417"/>
      <c r="CX261" s="417"/>
      <c r="CY261" s="417"/>
      <c r="CZ261" s="417"/>
      <c r="DA261" s="417"/>
      <c r="DB261" s="275"/>
      <c r="DC261" s="417"/>
      <c r="DD261" s="416"/>
      <c r="DE261" s="416"/>
      <c r="DF261" s="416"/>
      <c r="DH261" s="417"/>
      <c r="DI261" s="416"/>
      <c r="DJ261" s="416"/>
      <c r="DK261" s="416"/>
      <c r="DM261" s="416"/>
      <c r="DN261" s="416"/>
      <c r="DO261" s="416"/>
      <c r="DP261" s="416"/>
      <c r="DR261" s="417"/>
      <c r="DS261" s="416"/>
      <c r="DT261" s="416"/>
      <c r="DU261" s="416"/>
      <c r="DW261" s="417"/>
      <c r="DX261" s="416"/>
      <c r="DY261" s="416"/>
      <c r="DZ261" s="416"/>
      <c r="EB261" s="417"/>
      <c r="EC261" s="416"/>
      <c r="ED261" s="416"/>
      <c r="EE261" s="416"/>
      <c r="EG261" s="417"/>
      <c r="EH261" s="416"/>
      <c r="EI261" s="416"/>
      <c r="EJ261" s="416"/>
    </row>
    <row r="262" spans="1:140" hidden="1" outlineLevel="1">
      <c r="A262" s="171" t="s">
        <v>320</v>
      </c>
      <c r="B262" s="149"/>
      <c r="C262" s="149"/>
      <c r="D262" s="149"/>
      <c r="E262" s="149"/>
      <c r="F262" s="149"/>
      <c r="G262" s="149"/>
      <c r="H262" s="149"/>
      <c r="I262" s="149"/>
      <c r="J262" s="149"/>
      <c r="K262" s="149"/>
      <c r="L262" s="149"/>
      <c r="M262" s="149"/>
      <c r="N262" s="149"/>
      <c r="O262" s="149"/>
      <c r="P262" s="149"/>
      <c r="Q262" s="149"/>
      <c r="R262" s="149"/>
      <c r="S262" s="149"/>
      <c r="T262" s="149"/>
      <c r="U262" s="149"/>
      <c r="V262" s="204"/>
      <c r="W262" s="204"/>
      <c r="X262" s="204"/>
      <c r="Y262" s="204"/>
      <c r="Z262" s="204"/>
      <c r="AA262" s="204"/>
      <c r="AB262" s="204"/>
      <c r="AC262" s="204"/>
      <c r="AD262" s="204"/>
      <c r="AE262" s="204"/>
      <c r="AF262" s="204"/>
      <c r="AG262" s="204"/>
      <c r="AH262" s="204"/>
      <c r="AI262" s="204"/>
      <c r="AJ262" s="204"/>
      <c r="AK262" s="204"/>
      <c r="AL262" s="204"/>
      <c r="AM262" s="204"/>
      <c r="AN262" s="204"/>
      <c r="AO262" s="204"/>
      <c r="AP262" s="204"/>
      <c r="AQ262" s="204"/>
      <c r="AR262" s="204"/>
      <c r="AS262" s="204"/>
      <c r="AT262" s="204"/>
      <c r="AU262" s="204"/>
      <c r="AV262" s="204"/>
      <c r="AW262" s="204"/>
      <c r="AX262" s="204"/>
      <c r="AY262" s="204"/>
      <c r="AZ262" s="152"/>
      <c r="BA262" s="152"/>
      <c r="BB262" s="152"/>
      <c r="BC262" s="152"/>
      <c r="BD262" s="152"/>
      <c r="BE262" s="282"/>
      <c r="BF262" s="282"/>
      <c r="BG262" s="282"/>
      <c r="BH262" s="282"/>
      <c r="BI262" s="282"/>
      <c r="BJ262" s="282"/>
      <c r="BK262" s="282"/>
      <c r="BL262" s="282"/>
      <c r="BM262" s="282"/>
      <c r="BN262" s="282"/>
      <c r="BO262" s="282"/>
      <c r="BP262" s="282"/>
      <c r="BQ262" s="282"/>
      <c r="BR262" s="282"/>
      <c r="BS262" s="282"/>
      <c r="BT262" s="282"/>
      <c r="BU262" s="282"/>
      <c r="BV262" s="282"/>
      <c r="BW262" s="282"/>
      <c r="BX262" s="282"/>
      <c r="BY262" s="282"/>
      <c r="BZ262" s="282"/>
      <c r="CA262" s="282"/>
      <c r="CB262" s="307"/>
      <c r="CC262" s="282"/>
      <c r="CD262" s="282"/>
      <c r="CE262" s="282"/>
      <c r="CF262" s="282"/>
      <c r="CG262" s="282"/>
      <c r="CH262" s="282"/>
      <c r="CI262" s="282"/>
      <c r="CJ262" s="282"/>
      <c r="CK262" s="282"/>
      <c r="CL262" s="282"/>
      <c r="CM262" s="282"/>
      <c r="CN262" s="282"/>
      <c r="CO262" s="282"/>
      <c r="CP262" s="282"/>
      <c r="CQ262" s="282"/>
      <c r="CR262" s="282"/>
      <c r="CS262" s="282"/>
      <c r="CT262" s="282"/>
      <c r="CU262" s="282"/>
      <c r="CV262" s="282"/>
      <c r="CW262" s="282"/>
      <c r="CX262" s="282"/>
      <c r="CY262" s="282"/>
      <c r="CZ262" s="282"/>
      <c r="DA262" s="282"/>
      <c r="DB262" s="275"/>
      <c r="DC262" s="282"/>
      <c r="DD262" s="152"/>
      <c r="DE262" s="152"/>
      <c r="DF262" s="152"/>
      <c r="DH262" s="282"/>
      <c r="DI262" s="152"/>
      <c r="DJ262" s="152"/>
      <c r="DK262" s="152"/>
      <c r="DM262" s="152"/>
      <c r="DN262" s="152"/>
      <c r="DO262" s="152"/>
      <c r="DP262" s="152"/>
      <c r="DR262" s="282"/>
      <c r="DS262" s="152"/>
      <c r="DT262" s="152"/>
      <c r="DU262" s="152"/>
      <c r="DW262" s="282"/>
      <c r="DX262" s="152"/>
      <c r="DY262" s="152"/>
      <c r="DZ262" s="152"/>
      <c r="EB262" s="282"/>
      <c r="EC262" s="152"/>
      <c r="ED262" s="152"/>
      <c r="EE262" s="152"/>
      <c r="EG262" s="282"/>
      <c r="EH262" s="152"/>
      <c r="EI262" s="152"/>
      <c r="EJ262" s="152"/>
    </row>
    <row r="263" spans="1:140" hidden="1" outlineLevel="1">
      <c r="A263" s="171" t="s">
        <v>523</v>
      </c>
      <c r="B263" s="149"/>
      <c r="C263" s="149"/>
      <c r="D263" s="149"/>
      <c r="E263" s="149"/>
      <c r="F263" s="149"/>
      <c r="G263" s="149"/>
      <c r="H263" s="149"/>
      <c r="I263" s="149"/>
      <c r="J263" s="149"/>
      <c r="K263" s="149"/>
      <c r="L263" s="149"/>
      <c r="M263" s="149"/>
      <c r="N263" s="149"/>
      <c r="O263" s="149"/>
      <c r="P263" s="149"/>
      <c r="Q263" s="149"/>
      <c r="R263" s="149"/>
      <c r="S263" s="149"/>
      <c r="T263" s="149"/>
      <c r="U263" s="149"/>
      <c r="V263" s="149"/>
      <c r="W263" s="149"/>
      <c r="X263" s="149"/>
      <c r="AA263" s="149"/>
      <c r="AB263" s="149"/>
      <c r="AC263" s="149"/>
      <c r="AD263" s="149"/>
      <c r="AE263" s="149"/>
      <c r="AF263" s="149"/>
      <c r="AZ263" s="152"/>
      <c r="BA263" s="152"/>
      <c r="BB263" s="152"/>
      <c r="BC263" s="152"/>
      <c r="BD263" s="152"/>
      <c r="BE263" s="282"/>
      <c r="BF263" s="282"/>
      <c r="BG263" s="282"/>
      <c r="BH263" s="282"/>
      <c r="BI263" s="282"/>
      <c r="BJ263" s="282"/>
      <c r="BK263" s="282"/>
      <c r="BL263" s="282"/>
      <c r="BM263" s="282"/>
      <c r="BN263" s="282"/>
      <c r="BO263" s="282"/>
      <c r="BP263" s="282"/>
      <c r="BQ263" s="282"/>
      <c r="BR263" s="282"/>
      <c r="BS263" s="282"/>
      <c r="BT263" s="282"/>
      <c r="BU263" s="282"/>
      <c r="BV263" s="282"/>
      <c r="BW263" s="282"/>
      <c r="BX263" s="282"/>
      <c r="BY263" s="282"/>
      <c r="BZ263" s="282"/>
      <c r="CA263" s="282"/>
      <c r="CB263" s="307"/>
      <c r="CC263" s="282"/>
      <c r="CD263" s="282"/>
      <c r="CE263" s="282"/>
      <c r="CF263" s="282"/>
      <c r="CG263" s="282"/>
      <c r="CH263" s="282"/>
      <c r="CI263" s="282"/>
      <c r="CJ263" s="282"/>
      <c r="CK263" s="282"/>
      <c r="CL263" s="282"/>
      <c r="CM263" s="282"/>
      <c r="CN263" s="282"/>
      <c r="CO263" s="282"/>
      <c r="CP263" s="282"/>
      <c r="CQ263" s="282"/>
      <c r="CR263" s="282"/>
      <c r="CS263" s="282"/>
      <c r="CT263" s="282"/>
      <c r="CU263" s="282"/>
      <c r="CV263" s="282"/>
      <c r="CW263" s="282"/>
      <c r="CX263" s="282"/>
      <c r="CY263" s="282"/>
      <c r="CZ263" s="282"/>
      <c r="DA263" s="282"/>
      <c r="DB263" s="275"/>
      <c r="DC263" s="282"/>
      <c r="DD263" s="152"/>
      <c r="DE263" s="152"/>
      <c r="DF263" s="152"/>
      <c r="DH263" s="282"/>
      <c r="DI263" s="152"/>
      <c r="DJ263" s="152"/>
      <c r="DK263" s="152"/>
      <c r="DM263" s="152"/>
      <c r="DN263" s="152"/>
      <c r="DO263" s="152"/>
      <c r="DP263" s="152"/>
      <c r="DR263" s="282"/>
      <c r="DS263" s="152"/>
      <c r="DT263" s="152"/>
      <c r="DU263" s="152"/>
      <c r="DW263" s="282"/>
      <c r="DX263" s="152"/>
      <c r="DY263" s="152"/>
      <c r="DZ263" s="152"/>
      <c r="EB263" s="282"/>
      <c r="EC263" s="152"/>
      <c r="ED263" s="152"/>
      <c r="EE263" s="152"/>
      <c r="EG263" s="282"/>
      <c r="EH263" s="152"/>
      <c r="EI263" s="152"/>
      <c r="EJ263" s="152"/>
    </row>
    <row r="264" spans="1:140" s="375" customFormat="1" hidden="1" outlineLevel="1">
      <c r="A264" s="419" t="s">
        <v>274</v>
      </c>
      <c r="B264" s="420"/>
      <c r="C264" s="420"/>
      <c r="D264" s="420"/>
      <c r="E264" s="420"/>
      <c r="F264" s="420"/>
      <c r="G264" s="420"/>
      <c r="H264" s="420"/>
      <c r="I264" s="420"/>
      <c r="J264" s="420"/>
      <c r="K264" s="420"/>
      <c r="L264" s="420"/>
      <c r="M264" s="420"/>
      <c r="N264" s="420"/>
      <c r="O264" s="420"/>
      <c r="P264" s="420"/>
      <c r="Q264" s="420"/>
      <c r="R264" s="420"/>
      <c r="S264" s="420"/>
      <c r="T264" s="420"/>
      <c r="U264" s="420"/>
      <c r="V264" s="420"/>
      <c r="W264" s="420"/>
      <c r="X264" s="420"/>
      <c r="Y264" s="420"/>
      <c r="Z264" s="420"/>
      <c r="AA264" s="420"/>
      <c r="AB264" s="420"/>
      <c r="AC264" s="420"/>
      <c r="AD264" s="420"/>
      <c r="AE264" s="420"/>
      <c r="AF264" s="420"/>
      <c r="BE264" s="376"/>
      <c r="BF264" s="376"/>
      <c r="BG264" s="376"/>
      <c r="BH264" s="376"/>
      <c r="BI264" s="376"/>
      <c r="BJ264" s="376"/>
      <c r="BK264" s="376"/>
      <c r="BL264" s="376"/>
      <c r="BM264" s="376"/>
      <c r="BN264" s="376"/>
      <c r="BO264" s="376"/>
      <c r="BP264" s="376"/>
      <c r="BQ264" s="376"/>
      <c r="BR264" s="376"/>
      <c r="BS264" s="376"/>
      <c r="BT264" s="376"/>
      <c r="BU264" s="376"/>
      <c r="BV264" s="376"/>
      <c r="BW264" s="376"/>
      <c r="BX264" s="376"/>
      <c r="BY264" s="421"/>
      <c r="BZ264" s="421"/>
      <c r="CA264" s="421"/>
      <c r="CB264" s="422"/>
      <c r="CC264" s="423"/>
      <c r="CD264" s="423"/>
      <c r="CE264" s="423"/>
      <c r="CF264" s="423"/>
      <c r="CG264" s="423"/>
      <c r="CH264" s="423"/>
      <c r="CI264" s="423"/>
      <c r="CJ264" s="423"/>
      <c r="CK264" s="423"/>
      <c r="CL264" s="423"/>
      <c r="CM264" s="423"/>
      <c r="CN264" s="423"/>
      <c r="CO264" s="423"/>
      <c r="CP264" s="423"/>
      <c r="CQ264" s="423"/>
      <c r="CR264" s="423"/>
      <c r="CS264" s="423"/>
      <c r="CT264" s="423"/>
      <c r="CU264" s="423"/>
      <c r="CV264" s="423"/>
      <c r="CW264" s="423"/>
      <c r="CX264" s="424"/>
      <c r="CY264" s="424"/>
      <c r="CZ264" s="424"/>
      <c r="DA264" s="424"/>
      <c r="DB264" s="425"/>
      <c r="DC264" s="424"/>
      <c r="DD264" s="426"/>
      <c r="DE264" s="426"/>
      <c r="DF264" s="426"/>
      <c r="DH264" s="424"/>
      <c r="DI264" s="426"/>
      <c r="DJ264" s="426"/>
      <c r="DK264" s="426"/>
      <c r="DM264" s="426"/>
      <c r="DN264" s="426"/>
      <c r="DO264" s="426"/>
      <c r="DP264" s="426"/>
      <c r="DR264" s="424"/>
      <c r="DS264" s="426"/>
      <c r="DT264" s="426"/>
      <c r="DU264" s="426"/>
      <c r="DW264" s="424"/>
      <c r="DX264" s="426"/>
      <c r="DY264" s="426"/>
      <c r="DZ264" s="426"/>
      <c r="EB264" s="424"/>
      <c r="EC264" s="426"/>
      <c r="ED264" s="426"/>
      <c r="EE264" s="426"/>
      <c r="EG264" s="424"/>
      <c r="EH264" s="426"/>
      <c r="EI264" s="426"/>
      <c r="EJ264" s="426"/>
    </row>
    <row r="265" spans="1:140" ht="12" hidden="1" customHeight="1" outlineLevel="1">
      <c r="AD265" s="148"/>
      <c r="AE265" s="148"/>
      <c r="AF265" s="148"/>
      <c r="BY265" s="188"/>
      <c r="BZ265" s="188"/>
      <c r="CA265" s="188"/>
      <c r="CB265" s="427"/>
      <c r="CC265" s="427"/>
      <c r="CD265" s="427"/>
      <c r="CE265" s="427"/>
      <c r="CF265" s="427"/>
      <c r="CG265" s="427"/>
      <c r="CH265" s="427"/>
      <c r="CI265" s="427"/>
      <c r="CJ265" s="427"/>
      <c r="CK265" s="427"/>
      <c r="CL265" s="427"/>
      <c r="CM265" s="427"/>
      <c r="CN265" s="427"/>
      <c r="CO265" s="427"/>
      <c r="CP265" s="427"/>
      <c r="CQ265" s="427"/>
      <c r="CR265" s="427"/>
      <c r="CS265" s="427"/>
      <c r="CT265" s="427"/>
      <c r="CU265" s="427"/>
      <c r="CV265" s="427"/>
      <c r="CW265" s="427"/>
      <c r="CX265" s="427"/>
      <c r="CY265" s="427"/>
      <c r="CZ265" s="427"/>
      <c r="DA265" s="427"/>
    </row>
    <row r="266" spans="1:140" hidden="1" outlineLevel="1">
      <c r="A266" s="428" t="s">
        <v>524</v>
      </c>
      <c r="AD266" s="148"/>
      <c r="AE266" s="148"/>
      <c r="AF266" s="148"/>
      <c r="BY266" s="188"/>
      <c r="BZ266" s="188"/>
      <c r="CA266" s="188"/>
      <c r="CB266" s="427"/>
      <c r="CC266" s="427"/>
      <c r="CD266" s="427"/>
      <c r="CE266" s="427"/>
      <c r="CF266" s="427"/>
      <c r="CG266" s="427"/>
      <c r="CH266" s="427"/>
      <c r="CI266" s="427"/>
      <c r="CJ266" s="172"/>
      <c r="CK266" s="427"/>
      <c r="CL266" s="427"/>
      <c r="CM266" s="427"/>
      <c r="CN266" s="172"/>
      <c r="CO266" s="172"/>
      <c r="CP266" s="172"/>
      <c r="CQ266" s="427"/>
      <c r="CR266" s="427"/>
      <c r="CS266" s="427"/>
      <c r="CT266" s="427"/>
      <c r="CU266" s="427"/>
      <c r="CV266" s="427"/>
      <c r="CW266" s="427"/>
      <c r="CX266" s="427"/>
      <c r="CY266" s="427"/>
      <c r="CZ266" s="427"/>
      <c r="DA266" s="427"/>
    </row>
    <row r="267" spans="1:140" hidden="1" outlineLevel="1">
      <c r="A267" s="147" t="s">
        <v>321</v>
      </c>
      <c r="AD267" s="148"/>
      <c r="AE267" s="148"/>
      <c r="AF267" s="148"/>
      <c r="BY267" s="188"/>
      <c r="BZ267" s="188"/>
      <c r="CA267" s="188"/>
      <c r="CB267" s="427"/>
      <c r="CC267" s="427"/>
      <c r="CD267" s="427"/>
      <c r="CE267" s="427"/>
      <c r="CF267" s="427"/>
      <c r="CG267" s="427"/>
      <c r="CH267" s="427"/>
      <c r="CI267" s="427"/>
      <c r="CJ267" s="429"/>
      <c r="CK267" s="427"/>
      <c r="CL267" s="427"/>
      <c r="CM267" s="427"/>
      <c r="CN267" s="429"/>
      <c r="CO267" s="429"/>
      <c r="CP267" s="429"/>
      <c r="CQ267" s="427"/>
      <c r="CR267" s="427"/>
      <c r="CS267" s="427"/>
      <c r="CT267" s="427"/>
      <c r="CU267" s="427"/>
      <c r="CV267" s="427"/>
      <c r="CW267" s="427"/>
      <c r="CX267" s="427"/>
      <c r="CY267" s="427"/>
      <c r="CZ267" s="427"/>
      <c r="DA267" s="427"/>
    </row>
    <row r="268" spans="1:140" hidden="1" outlineLevel="1">
      <c r="A268" s="203" t="s">
        <v>257</v>
      </c>
      <c r="AD268" s="148"/>
      <c r="AE268" s="148"/>
      <c r="AF268" s="148"/>
      <c r="BY268" s="188"/>
      <c r="BZ268" s="188"/>
      <c r="CA268" s="188"/>
      <c r="CB268" s="427"/>
      <c r="CC268" s="427"/>
      <c r="CD268" s="427"/>
      <c r="CE268" s="427"/>
      <c r="CF268" s="427"/>
      <c r="CG268" s="427"/>
      <c r="CH268" s="427"/>
      <c r="CI268" s="427"/>
      <c r="CJ268" s="172"/>
      <c r="CK268" s="427"/>
      <c r="CL268" s="427"/>
      <c r="CM268" s="427"/>
      <c r="CN268" s="172"/>
      <c r="CO268" s="172"/>
      <c r="CP268" s="172"/>
      <c r="CQ268" s="430"/>
      <c r="CR268" s="430"/>
      <c r="CS268" s="427"/>
      <c r="CT268" s="427"/>
      <c r="CU268" s="427"/>
      <c r="CV268" s="427"/>
      <c r="CW268" s="427"/>
      <c r="CX268" s="427"/>
      <c r="CY268" s="427"/>
      <c r="CZ268" s="427"/>
      <c r="DA268" s="427"/>
    </row>
    <row r="269" spans="1:140" hidden="1" outlineLevel="1">
      <c r="A269" s="203"/>
      <c r="AD269" s="148"/>
      <c r="AE269" s="148"/>
      <c r="AF269" s="148"/>
      <c r="BY269" s="188"/>
      <c r="BZ269" s="188"/>
      <c r="CA269" s="188"/>
      <c r="CB269" s="427"/>
      <c r="CC269" s="427"/>
      <c r="CD269" s="427"/>
      <c r="CE269" s="427"/>
      <c r="CF269" s="427"/>
      <c r="CG269" s="427"/>
      <c r="CH269" s="427"/>
      <c r="CI269" s="427"/>
      <c r="CJ269" s="427"/>
      <c r="CK269" s="427"/>
      <c r="CL269" s="427"/>
      <c r="CM269" s="427"/>
      <c r="CN269" s="172"/>
      <c r="CO269" s="430"/>
      <c r="CP269" s="430"/>
      <c r="CQ269" s="427"/>
      <c r="CR269" s="427"/>
      <c r="CS269" s="427"/>
      <c r="CT269" s="427"/>
      <c r="CU269" s="427"/>
      <c r="CV269" s="427"/>
      <c r="CW269" s="427"/>
      <c r="CX269" s="427"/>
      <c r="CY269" s="427"/>
      <c r="CZ269" s="427"/>
      <c r="DA269" s="427"/>
    </row>
    <row r="270" spans="1:140" hidden="1" outlineLevel="1">
      <c r="A270" s="203" t="s">
        <v>525</v>
      </c>
      <c r="AD270" s="148"/>
      <c r="AE270" s="148"/>
      <c r="AF270" s="148"/>
      <c r="BY270" s="188"/>
      <c r="BZ270" s="188"/>
      <c r="CA270" s="188"/>
      <c r="CB270" s="427"/>
      <c r="CC270" s="427"/>
      <c r="CD270" s="427"/>
      <c r="CE270" s="427"/>
      <c r="CF270" s="427"/>
      <c r="CG270" s="427"/>
      <c r="CH270" s="427"/>
      <c r="CI270" s="427"/>
      <c r="CJ270" s="172"/>
      <c r="CK270" s="427"/>
      <c r="CL270" s="427"/>
      <c r="CM270" s="427"/>
      <c r="CN270" s="172"/>
      <c r="CO270" s="172"/>
      <c r="CP270" s="172"/>
      <c r="CQ270" s="427"/>
      <c r="CR270" s="427"/>
      <c r="CS270" s="427"/>
      <c r="CT270" s="427"/>
      <c r="CU270" s="427"/>
      <c r="CV270" s="427"/>
      <c r="CW270" s="427"/>
      <c r="CX270" s="427"/>
      <c r="CY270" s="427"/>
      <c r="CZ270" s="427"/>
      <c r="DA270" s="427"/>
    </row>
    <row r="271" spans="1:140" hidden="1" outlineLevel="1">
      <c r="A271" s="203"/>
      <c r="AD271" s="148"/>
      <c r="AE271" s="148"/>
      <c r="AF271" s="148"/>
      <c r="BY271" s="188"/>
      <c r="BZ271" s="188"/>
      <c r="CA271" s="188"/>
      <c r="CB271" s="427"/>
      <c r="CC271" s="427"/>
      <c r="CD271" s="427"/>
      <c r="CE271" s="427"/>
      <c r="CF271" s="427"/>
      <c r="CG271" s="427"/>
      <c r="CH271" s="427"/>
      <c r="CI271" s="427"/>
      <c r="CJ271" s="427"/>
      <c r="CK271" s="427"/>
      <c r="CL271" s="427"/>
      <c r="CM271" s="427"/>
      <c r="CN271" s="172"/>
      <c r="CO271" s="430"/>
      <c r="CP271" s="430"/>
      <c r="CQ271" s="427"/>
      <c r="CR271" s="427"/>
      <c r="CS271" s="427"/>
      <c r="CT271" s="427"/>
      <c r="CU271" s="427"/>
      <c r="CV271" s="427"/>
      <c r="CW271" s="427"/>
      <c r="CX271" s="427"/>
      <c r="CY271" s="427"/>
      <c r="CZ271" s="427"/>
      <c r="DA271" s="427"/>
    </row>
    <row r="272" spans="1:140" hidden="1" outlineLevel="1">
      <c r="A272" s="203" t="s">
        <v>526</v>
      </c>
      <c r="AD272" s="148"/>
      <c r="AE272" s="148"/>
      <c r="AF272" s="148"/>
      <c r="BY272" s="188"/>
      <c r="BZ272" s="188"/>
      <c r="CA272" s="188"/>
      <c r="CB272" s="427"/>
      <c r="CC272" s="427"/>
      <c r="CD272" s="427"/>
      <c r="CE272" s="427"/>
      <c r="CF272" s="427"/>
      <c r="CG272" s="427"/>
      <c r="CH272" s="427"/>
      <c r="CI272" s="427"/>
      <c r="CJ272" s="431"/>
      <c r="CK272" s="427"/>
      <c r="CL272" s="427"/>
      <c r="CM272" s="427"/>
      <c r="CN272" s="172"/>
      <c r="CO272" s="172"/>
      <c r="CP272" s="172"/>
      <c r="CQ272" s="427"/>
      <c r="CR272" s="427"/>
      <c r="CS272" s="427"/>
      <c r="CT272" s="427"/>
      <c r="CU272" s="427"/>
      <c r="CV272" s="427"/>
      <c r="CW272" s="427"/>
      <c r="CX272" s="427"/>
      <c r="CY272" s="427"/>
      <c r="CZ272" s="427"/>
      <c r="DA272" s="427"/>
    </row>
    <row r="273" spans="1:105" hidden="1" outlineLevel="1">
      <c r="A273" s="203"/>
      <c r="AD273" s="148"/>
      <c r="AE273" s="148"/>
      <c r="AF273" s="148"/>
      <c r="BY273" s="188"/>
      <c r="BZ273" s="188"/>
      <c r="CA273" s="188"/>
      <c r="CB273" s="427"/>
      <c r="CC273" s="427"/>
      <c r="CD273" s="427"/>
      <c r="CE273" s="427"/>
      <c r="CF273" s="427"/>
      <c r="CG273" s="427"/>
      <c r="CH273" s="427"/>
      <c r="CI273" s="427"/>
      <c r="CJ273" s="427"/>
      <c r="CK273" s="427"/>
      <c r="CL273" s="427"/>
      <c r="CM273" s="427"/>
      <c r="CN273" s="172"/>
      <c r="CO273" s="430"/>
      <c r="CP273" s="430"/>
      <c r="CQ273" s="427"/>
      <c r="CR273" s="427"/>
      <c r="CS273" s="427"/>
      <c r="CT273" s="427"/>
      <c r="CU273" s="427"/>
      <c r="CV273" s="427"/>
      <c r="CW273" s="427"/>
      <c r="CX273" s="427"/>
      <c r="CY273" s="427"/>
      <c r="CZ273" s="427"/>
      <c r="DA273" s="427"/>
    </row>
    <row r="274" spans="1:105" hidden="1" outlineLevel="1">
      <c r="A274" s="203" t="s">
        <v>527</v>
      </c>
      <c r="AD274" s="148"/>
      <c r="AE274" s="148"/>
      <c r="AF274" s="148"/>
      <c r="BY274" s="188"/>
      <c r="BZ274" s="188"/>
      <c r="CA274" s="188"/>
      <c r="CB274" s="427"/>
      <c r="CC274" s="427"/>
      <c r="CD274" s="427"/>
      <c r="CE274" s="427"/>
      <c r="CF274" s="427"/>
      <c r="CG274" s="427"/>
      <c r="CH274" s="427"/>
      <c r="CI274" s="427"/>
      <c r="CJ274" s="172"/>
      <c r="CK274" s="427"/>
      <c r="CL274" s="427"/>
      <c r="CM274" s="427"/>
      <c r="CN274" s="172"/>
      <c r="CO274" s="172"/>
      <c r="CP274" s="432"/>
      <c r="CQ274" s="427"/>
      <c r="CR274" s="427"/>
      <c r="CS274" s="427"/>
      <c r="CT274" s="427"/>
      <c r="CU274" s="427"/>
      <c r="CV274" s="427"/>
      <c r="CW274" s="427"/>
      <c r="CX274" s="427"/>
      <c r="CY274" s="427"/>
      <c r="CZ274" s="427"/>
      <c r="DA274" s="427"/>
    </row>
    <row r="275" spans="1:105" hidden="1" outlineLevel="1">
      <c r="A275" s="203"/>
      <c r="AD275" s="148"/>
      <c r="AE275" s="148"/>
      <c r="AF275" s="148"/>
      <c r="BY275" s="188"/>
      <c r="BZ275" s="188"/>
      <c r="CA275" s="188"/>
      <c r="CB275" s="427"/>
      <c r="CC275" s="427"/>
      <c r="CD275" s="427"/>
      <c r="CE275" s="427"/>
      <c r="CF275" s="427"/>
      <c r="CG275" s="427"/>
      <c r="CH275" s="427"/>
      <c r="CI275" s="427"/>
      <c r="CJ275" s="427"/>
      <c r="CK275" s="427"/>
      <c r="CL275" s="427"/>
      <c r="CM275" s="427"/>
      <c r="CN275" s="172"/>
      <c r="CO275" s="430"/>
      <c r="CP275" s="430"/>
      <c r="CQ275" s="427"/>
      <c r="CR275" s="427"/>
      <c r="CS275" s="427"/>
      <c r="CT275" s="427"/>
      <c r="CU275" s="427"/>
      <c r="CV275" s="427"/>
      <c r="CW275" s="427"/>
      <c r="CX275" s="427"/>
      <c r="CY275" s="427"/>
      <c r="CZ275" s="427"/>
      <c r="DA275" s="427"/>
    </row>
    <row r="276" spans="1:105" hidden="1" outlineLevel="1">
      <c r="A276" s="147" t="s">
        <v>320</v>
      </c>
      <c r="AD276" s="148"/>
      <c r="AE276" s="148"/>
      <c r="AF276" s="148"/>
      <c r="BY276" s="188"/>
      <c r="BZ276" s="188"/>
      <c r="CA276" s="188"/>
      <c r="CB276" s="427"/>
      <c r="CC276" s="427"/>
      <c r="CD276" s="427"/>
      <c r="CE276" s="427"/>
      <c r="CF276" s="427"/>
      <c r="CG276" s="427"/>
      <c r="CH276" s="427"/>
      <c r="CI276" s="427"/>
      <c r="CJ276" s="429"/>
      <c r="CK276" s="427"/>
      <c r="CL276" s="427"/>
      <c r="CM276" s="427"/>
      <c r="CN276" s="429"/>
      <c r="CO276" s="429"/>
      <c r="CP276" s="429"/>
      <c r="CQ276" s="427"/>
      <c r="CR276" s="427"/>
      <c r="CS276" s="427"/>
      <c r="CT276" s="427"/>
      <c r="CU276" s="427"/>
      <c r="CV276" s="427"/>
      <c r="CW276" s="427"/>
      <c r="CX276" s="427"/>
      <c r="CY276" s="427"/>
      <c r="CZ276" s="427"/>
      <c r="DA276" s="427"/>
    </row>
    <row r="277" spans="1:105" hidden="1" outlineLevel="1">
      <c r="A277" s="203" t="s">
        <v>528</v>
      </c>
      <c r="AD277" s="148"/>
      <c r="AE277" s="148"/>
      <c r="AF277" s="148"/>
      <c r="BY277" s="188"/>
      <c r="BZ277" s="188"/>
      <c r="CA277" s="188"/>
      <c r="CB277" s="427"/>
      <c r="CC277" s="427"/>
      <c r="CD277" s="427"/>
      <c r="CE277" s="427"/>
      <c r="CF277" s="427"/>
      <c r="CG277" s="427"/>
      <c r="CH277" s="427"/>
      <c r="CI277" s="427"/>
      <c r="CJ277" s="172"/>
      <c r="CK277" s="427"/>
      <c r="CL277" s="427"/>
      <c r="CM277" s="427"/>
      <c r="CN277" s="172"/>
      <c r="CO277" s="172"/>
      <c r="CP277" s="172"/>
      <c r="CQ277" s="427"/>
      <c r="CR277" s="427"/>
      <c r="CS277" s="427"/>
      <c r="CT277" s="427"/>
      <c r="CU277" s="427"/>
      <c r="CV277" s="427"/>
      <c r="CW277" s="427"/>
      <c r="CX277" s="427"/>
      <c r="CY277" s="427"/>
      <c r="CZ277" s="427"/>
      <c r="DA277" s="427"/>
    </row>
    <row r="278" spans="1:105" hidden="1" outlineLevel="1">
      <c r="A278" s="203"/>
      <c r="AD278" s="148"/>
      <c r="AE278" s="148"/>
      <c r="AF278" s="148"/>
      <c r="BY278" s="188"/>
      <c r="BZ278" s="188"/>
      <c r="CA278" s="188"/>
      <c r="CB278" s="427"/>
      <c r="CC278" s="427"/>
      <c r="CD278" s="427"/>
      <c r="CE278" s="427"/>
      <c r="CF278" s="427"/>
      <c r="CG278" s="427"/>
      <c r="CH278" s="427"/>
      <c r="CI278" s="427"/>
      <c r="CJ278" s="427"/>
      <c r="CK278" s="427"/>
      <c r="CL278" s="427"/>
      <c r="CM278" s="427"/>
      <c r="CN278" s="172"/>
      <c r="CO278" s="430"/>
      <c r="CP278" s="430"/>
      <c r="CQ278" s="427"/>
      <c r="CR278" s="427"/>
      <c r="CS278" s="427"/>
      <c r="CT278" s="427"/>
      <c r="CU278" s="427"/>
      <c r="CV278" s="427"/>
      <c r="CW278" s="427"/>
      <c r="CX278" s="427"/>
      <c r="CY278" s="427"/>
      <c r="CZ278" s="427"/>
      <c r="DA278" s="427"/>
    </row>
    <row r="279" spans="1:105" hidden="1" outlineLevel="1">
      <c r="A279" s="203" t="s">
        <v>529</v>
      </c>
      <c r="AD279" s="148"/>
      <c r="AE279" s="148"/>
      <c r="AF279" s="148"/>
      <c r="BY279" s="188"/>
      <c r="BZ279" s="188"/>
      <c r="CA279" s="188"/>
      <c r="CB279" s="427"/>
      <c r="CC279" s="427"/>
      <c r="CD279" s="427"/>
      <c r="CE279" s="427"/>
      <c r="CF279" s="427"/>
      <c r="CG279" s="427"/>
      <c r="CH279" s="427"/>
      <c r="CI279" s="427"/>
      <c r="CJ279" s="172"/>
      <c r="CK279" s="427"/>
      <c r="CL279" s="427"/>
      <c r="CM279" s="427"/>
      <c r="CN279" s="172"/>
      <c r="CO279" s="172"/>
      <c r="CP279" s="172"/>
      <c r="CQ279" s="427"/>
      <c r="CR279" s="427"/>
      <c r="CS279" s="427"/>
      <c r="CT279" s="427"/>
      <c r="CU279" s="427"/>
      <c r="CV279" s="427"/>
      <c r="CW279" s="427"/>
      <c r="CX279" s="427"/>
      <c r="CY279" s="427"/>
      <c r="CZ279" s="427"/>
      <c r="DA279" s="427"/>
    </row>
    <row r="280" spans="1:105" hidden="1" outlineLevel="1">
      <c r="A280" s="203"/>
      <c r="AD280" s="148"/>
      <c r="AE280" s="148"/>
      <c r="AF280" s="148"/>
      <c r="BY280" s="188"/>
      <c r="BZ280" s="188"/>
      <c r="CA280" s="188"/>
      <c r="CB280" s="427"/>
      <c r="CC280" s="427"/>
      <c r="CD280" s="427"/>
      <c r="CE280" s="427"/>
      <c r="CF280" s="427"/>
      <c r="CG280" s="427"/>
      <c r="CH280" s="427"/>
      <c r="CI280" s="427"/>
      <c r="CJ280" s="427"/>
      <c r="CK280" s="427"/>
      <c r="CL280" s="427"/>
      <c r="CM280" s="427"/>
      <c r="CN280" s="172"/>
      <c r="CO280" s="430"/>
      <c r="CP280" s="430"/>
      <c r="CQ280" s="427"/>
      <c r="CR280" s="427"/>
      <c r="CS280" s="427"/>
      <c r="CT280" s="427"/>
      <c r="CU280" s="427"/>
      <c r="CV280" s="427"/>
      <c r="CW280" s="427"/>
      <c r="CX280" s="427"/>
      <c r="CY280" s="427"/>
      <c r="CZ280" s="427"/>
      <c r="DA280" s="427"/>
    </row>
    <row r="281" spans="1:105" hidden="1" outlineLevel="1">
      <c r="A281" s="147" t="s">
        <v>271</v>
      </c>
      <c r="AD281" s="148"/>
      <c r="AE281" s="148"/>
      <c r="AF281" s="148"/>
      <c r="BY281" s="188"/>
      <c r="BZ281" s="188"/>
      <c r="CA281" s="188"/>
      <c r="CB281" s="427"/>
      <c r="CC281" s="427"/>
      <c r="CD281" s="427"/>
      <c r="CE281" s="427"/>
      <c r="CF281" s="427"/>
      <c r="CG281" s="427"/>
      <c r="CH281" s="427"/>
      <c r="CI281" s="427"/>
      <c r="CJ281" s="172"/>
      <c r="CK281" s="427"/>
      <c r="CL281" s="427"/>
      <c r="CM281" s="427"/>
      <c r="CN281" s="429"/>
      <c r="CO281" s="172"/>
      <c r="CP281" s="172"/>
      <c r="CQ281" s="427"/>
      <c r="CR281" s="427"/>
      <c r="CS281" s="427"/>
      <c r="CT281" s="427"/>
      <c r="CU281" s="427"/>
      <c r="CV281" s="427"/>
      <c r="CW281" s="427"/>
      <c r="CX281" s="427"/>
      <c r="CY281" s="427"/>
      <c r="CZ281" s="427"/>
      <c r="DA281" s="427"/>
    </row>
    <row r="282" spans="1:105" hidden="1" outlineLevel="1">
      <c r="AD282" s="148"/>
      <c r="AE282" s="148"/>
      <c r="AF282" s="148"/>
    </row>
    <row r="283" spans="1:105" hidden="1" outlineLevel="1">
      <c r="A283" s="428" t="s">
        <v>530</v>
      </c>
      <c r="AD283" s="148"/>
      <c r="AE283" s="148"/>
      <c r="AF283" s="148"/>
    </row>
    <row r="284" spans="1:105" hidden="1" outlineLevel="1">
      <c r="A284" s="147" t="s">
        <v>321</v>
      </c>
      <c r="AD284" s="148"/>
      <c r="AE284" s="148"/>
      <c r="AF284" s="148"/>
      <c r="CJ284" s="433"/>
      <c r="CN284" s="433"/>
      <c r="CO284" s="433"/>
      <c r="CP284" s="433"/>
    </row>
    <row r="285" spans="1:105" hidden="1" outlineLevel="1">
      <c r="A285" s="203" t="s">
        <v>531</v>
      </c>
      <c r="AD285" s="148"/>
      <c r="AE285" s="148"/>
      <c r="AF285" s="148"/>
      <c r="CJ285" s="430"/>
      <c r="CN285" s="430"/>
      <c r="CO285" s="430"/>
      <c r="CP285" s="430"/>
    </row>
    <row r="286" spans="1:105" hidden="1" outlineLevel="1">
      <c r="A286" s="203" t="s">
        <v>525</v>
      </c>
      <c r="AD286" s="148"/>
      <c r="AE286" s="148"/>
      <c r="AF286" s="148"/>
      <c r="CJ286" s="430"/>
      <c r="CN286" s="430"/>
      <c r="CO286" s="430"/>
      <c r="CP286" s="430"/>
    </row>
    <row r="287" spans="1:105" hidden="1" outlineLevel="1">
      <c r="A287" s="203" t="s">
        <v>526</v>
      </c>
      <c r="AD287" s="148"/>
      <c r="AE287" s="148"/>
      <c r="AF287" s="148"/>
      <c r="CJ287" s="430"/>
      <c r="CN287" s="430"/>
      <c r="CO287" s="430"/>
      <c r="CP287" s="430"/>
    </row>
    <row r="288" spans="1:105" hidden="1" outlineLevel="1">
      <c r="A288" s="203" t="s">
        <v>527</v>
      </c>
      <c r="AD288" s="148"/>
      <c r="AE288" s="148"/>
      <c r="AF288" s="148"/>
      <c r="CJ288" s="430"/>
      <c r="CN288" s="430"/>
      <c r="CO288" s="430"/>
      <c r="CP288" s="430"/>
    </row>
    <row r="289" spans="1:171" hidden="1" outlineLevel="1">
      <c r="A289" s="147" t="s">
        <v>532</v>
      </c>
      <c r="AD289" s="148"/>
      <c r="AE289" s="148"/>
      <c r="AF289" s="148"/>
      <c r="CJ289" s="433"/>
      <c r="CN289" s="433"/>
      <c r="CO289" s="433"/>
      <c r="CP289" s="433"/>
    </row>
    <row r="290" spans="1:171" hidden="1" outlineLevel="1">
      <c r="A290" s="203" t="s">
        <v>528</v>
      </c>
      <c r="AD290" s="148"/>
      <c r="AE290" s="148"/>
      <c r="AF290" s="148"/>
      <c r="CJ290" s="430"/>
      <c r="CN290" s="430"/>
      <c r="CO290" s="430"/>
      <c r="CP290" s="430"/>
    </row>
    <row r="291" spans="1:171" hidden="1" outlineLevel="1">
      <c r="A291" s="203" t="s">
        <v>533</v>
      </c>
      <c r="AD291" s="148"/>
      <c r="AE291" s="148"/>
      <c r="AF291" s="148"/>
      <c r="CJ291" s="430"/>
      <c r="CN291" s="430"/>
      <c r="CO291" s="430"/>
      <c r="CP291" s="430"/>
    </row>
    <row r="292" spans="1:171" hidden="1" outlineLevel="1">
      <c r="A292" s="147" t="s">
        <v>271</v>
      </c>
      <c r="AD292" s="148"/>
      <c r="AE292" s="148"/>
      <c r="AF292" s="148"/>
      <c r="CJ292" s="433"/>
      <c r="CN292" s="433"/>
      <c r="CO292" s="433"/>
      <c r="CP292" s="433"/>
    </row>
    <row r="293" spans="1:171" collapsed="1">
      <c r="A293" s="434"/>
      <c r="AD293" s="148"/>
      <c r="AE293" s="148"/>
      <c r="AF293" s="148"/>
      <c r="AG293" s="148"/>
      <c r="AH293" s="148"/>
      <c r="AW293" s="211"/>
      <c r="BP293" s="207"/>
      <c r="BQ293" s="207"/>
      <c r="CD293" s="150"/>
      <c r="CE293" s="150"/>
      <c r="CF293" s="150"/>
      <c r="CG293" s="150"/>
      <c r="CH293" s="150"/>
    </row>
    <row r="294" spans="1:171" s="169" customFormat="1" hidden="1" outlineLevel="2">
      <c r="A294" s="435" t="s">
        <v>534</v>
      </c>
      <c r="B294" s="436"/>
      <c r="C294" s="436"/>
      <c r="D294" s="436"/>
      <c r="E294" s="436"/>
      <c r="F294" s="436"/>
      <c r="G294" s="436"/>
      <c r="H294" s="436"/>
      <c r="I294" s="436"/>
      <c r="J294" s="436"/>
      <c r="K294" s="436"/>
      <c r="L294" s="436"/>
      <c r="M294" s="436"/>
      <c r="N294" s="436"/>
      <c r="O294" s="436"/>
      <c r="P294" s="436"/>
      <c r="Q294" s="436"/>
      <c r="R294" s="436"/>
      <c r="S294" s="436"/>
      <c r="T294" s="436"/>
      <c r="U294" s="436"/>
      <c r="V294" s="436"/>
      <c r="W294" s="436"/>
      <c r="X294" s="436"/>
      <c r="Y294" s="436"/>
      <c r="Z294" s="436"/>
      <c r="AA294" s="436"/>
      <c r="AB294" s="436"/>
      <c r="AC294" s="436"/>
      <c r="AD294" s="436"/>
      <c r="AE294" s="436"/>
      <c r="AF294" s="436"/>
      <c r="AG294" s="437"/>
      <c r="AH294" s="437"/>
      <c r="AI294" s="437"/>
      <c r="AJ294" s="437"/>
      <c r="AK294" s="437"/>
      <c r="AL294" s="437"/>
      <c r="AM294" s="437"/>
      <c r="AN294" s="437"/>
      <c r="AO294" s="437"/>
      <c r="AP294" s="437"/>
      <c r="AQ294" s="437"/>
      <c r="AR294" s="437"/>
      <c r="AS294" s="437"/>
      <c r="AT294" s="437"/>
      <c r="AU294" s="437"/>
      <c r="AV294" s="437"/>
      <c r="AW294" s="437"/>
      <c r="AX294" s="437"/>
      <c r="AY294" s="437"/>
      <c r="AZ294" s="437"/>
      <c r="BA294" s="437"/>
      <c r="BB294" s="437"/>
      <c r="BC294" s="437"/>
      <c r="BD294" s="437"/>
      <c r="BE294" s="437"/>
      <c r="BF294" s="437"/>
      <c r="BG294" s="437"/>
      <c r="BH294" s="437"/>
      <c r="BI294" s="437"/>
      <c r="BJ294" s="437"/>
      <c r="BK294" s="437"/>
      <c r="BL294" s="437"/>
      <c r="BM294" s="437"/>
      <c r="BN294" s="437"/>
      <c r="BO294" s="437"/>
      <c r="BP294" s="438"/>
      <c r="BQ294" s="438"/>
      <c r="BR294" s="437"/>
      <c r="BS294" s="437"/>
      <c r="BT294" s="437"/>
      <c r="BU294" s="437"/>
      <c r="BV294" s="437"/>
      <c r="BW294" s="437"/>
      <c r="BX294" s="437"/>
      <c r="BY294" s="437"/>
      <c r="BZ294" s="437"/>
      <c r="CA294" s="437"/>
      <c r="CB294" s="437"/>
      <c r="CC294" s="437"/>
      <c r="CD294" s="437"/>
      <c r="CE294" s="437"/>
      <c r="CF294" s="437"/>
      <c r="CG294" s="437"/>
      <c r="CH294" s="437"/>
      <c r="CI294" s="437"/>
      <c r="CJ294" s="437"/>
      <c r="CK294" s="437"/>
      <c r="CL294" s="437"/>
      <c r="CM294" s="437"/>
      <c r="CN294" s="437"/>
      <c r="CO294" s="437"/>
      <c r="CP294" s="437"/>
      <c r="CQ294" s="437"/>
      <c r="CR294" s="437"/>
      <c r="CS294" s="437"/>
      <c r="CT294" s="437"/>
      <c r="CU294" s="437"/>
      <c r="CV294" s="437"/>
      <c r="CW294" s="437"/>
      <c r="CX294" s="437"/>
      <c r="CY294" s="437"/>
      <c r="CZ294" s="437"/>
      <c r="DA294" s="437"/>
      <c r="DB294" s="436"/>
      <c r="DC294" s="437"/>
      <c r="DD294" s="437"/>
      <c r="DE294" s="437"/>
      <c r="DF294" s="437"/>
      <c r="DG294" s="437"/>
      <c r="DH294" s="437"/>
      <c r="DI294" s="437"/>
      <c r="DJ294" s="437"/>
      <c r="DK294" s="437"/>
      <c r="DL294" s="437"/>
      <c r="DM294" s="437"/>
      <c r="DN294" s="437"/>
      <c r="DO294" s="437"/>
      <c r="DP294" s="437"/>
      <c r="DQ294" s="437"/>
      <c r="DR294" s="437"/>
      <c r="DS294" s="437"/>
      <c r="DT294" s="437"/>
      <c r="DU294" s="437"/>
      <c r="DV294" s="437"/>
      <c r="DW294" s="437"/>
      <c r="DX294" s="437"/>
      <c r="DY294" s="437"/>
      <c r="DZ294" s="437"/>
      <c r="EA294" s="437"/>
      <c r="EB294" s="437"/>
      <c r="EC294" s="437"/>
      <c r="ED294" s="437"/>
      <c r="EE294" s="437"/>
      <c r="EF294" s="437"/>
      <c r="EG294" s="437"/>
      <c r="EH294" s="437"/>
      <c r="EI294" s="437"/>
      <c r="EJ294" s="437"/>
      <c r="EK294" s="437"/>
      <c r="EL294" s="437"/>
      <c r="EM294" s="437"/>
      <c r="EN294" s="437"/>
      <c r="EO294" s="437"/>
      <c r="EP294" s="437"/>
      <c r="EQ294" s="437"/>
      <c r="ER294" s="437"/>
      <c r="ES294" s="437"/>
      <c r="ET294" s="437"/>
      <c r="EU294" s="437"/>
      <c r="EV294" s="437"/>
      <c r="EW294" s="437"/>
      <c r="EX294" s="437"/>
      <c r="EY294" s="437"/>
      <c r="EZ294" s="437"/>
      <c r="FA294" s="437"/>
      <c r="FB294" s="437"/>
      <c r="FC294" s="437"/>
      <c r="FD294" s="437"/>
      <c r="FE294" s="437"/>
      <c r="FF294" s="437"/>
      <c r="FG294" s="437"/>
      <c r="FH294" s="437"/>
      <c r="FI294" s="437"/>
      <c r="FJ294" s="437"/>
      <c r="FK294" s="437"/>
      <c r="FL294" s="437"/>
      <c r="FM294" s="437"/>
      <c r="FN294" s="437"/>
      <c r="FO294" s="437"/>
    </row>
    <row r="295" spans="1:171" hidden="1" outlineLevel="2">
      <c r="A295" s="171" t="s">
        <v>535</v>
      </c>
      <c r="AD295" s="148"/>
      <c r="AE295" s="148"/>
      <c r="AF295" s="148"/>
      <c r="AW295" s="211"/>
      <c r="BP295" s="207"/>
      <c r="BQ295" s="207"/>
    </row>
    <row r="296" spans="1:171" hidden="1" outlineLevel="2">
      <c r="A296" s="171" t="s">
        <v>536</v>
      </c>
      <c r="AD296" s="148"/>
      <c r="AE296" s="148"/>
      <c r="AF296" s="148">
        <v>11.249000000000001</v>
      </c>
      <c r="AG296" s="149">
        <v>11.249000000000001</v>
      </c>
      <c r="AH296" s="149">
        <v>11.965999999999999</v>
      </c>
      <c r="AI296" s="149">
        <v>3.2610000000000001</v>
      </c>
      <c r="AK296" s="149">
        <v>3.2610000000000001</v>
      </c>
      <c r="AL296" s="149">
        <v>3.2610000000000001</v>
      </c>
      <c r="AM296" s="149">
        <v>3.2610000000000001</v>
      </c>
      <c r="AN296" s="149">
        <v>3.2650000000000001</v>
      </c>
      <c r="AP296" s="149">
        <v>3.2650000000000001</v>
      </c>
      <c r="AQ296" s="149">
        <v>3.2650000000000001</v>
      </c>
      <c r="AR296" s="149">
        <f>AQ296</f>
        <v>3.2650000000000001</v>
      </c>
      <c r="AS296" s="149">
        <v>1.393</v>
      </c>
      <c r="AU296" s="149">
        <v>1.393</v>
      </c>
      <c r="AV296" s="211">
        <v>2.6819999999999999</v>
      </c>
      <c r="AW296" s="211">
        <v>2.6819999999999999</v>
      </c>
      <c r="AX296" s="211">
        <v>9.4190000000000005</v>
      </c>
      <c r="AY296" s="211"/>
      <c r="AZ296" s="149">
        <f>AX296</f>
        <v>9.4190000000000005</v>
      </c>
      <c r="BA296" s="149">
        <f t="shared" ref="BA296:BC297" si="244">AZ296</f>
        <v>9.4190000000000005</v>
      </c>
      <c r="BB296" s="149">
        <f t="shared" si="244"/>
        <v>9.4190000000000005</v>
      </c>
      <c r="BC296" s="149">
        <f t="shared" si="244"/>
        <v>9.4190000000000005</v>
      </c>
      <c r="BE296" s="149">
        <f t="shared" ref="BE296:BE301" si="245">BC296</f>
        <v>9.4190000000000005</v>
      </c>
      <c r="BF296" s="149">
        <f t="shared" ref="BF296:BG301" si="246">BE296</f>
        <v>9.4190000000000005</v>
      </c>
      <c r="BG296" s="149">
        <f t="shared" si="246"/>
        <v>9.4190000000000005</v>
      </c>
      <c r="BH296" s="149">
        <v>16.504999999999999</v>
      </c>
      <c r="BJ296" s="149">
        <v>0</v>
      </c>
      <c r="BK296" s="149">
        <v>0</v>
      </c>
      <c r="BL296" s="149">
        <f>BK296</f>
        <v>0</v>
      </c>
      <c r="BM296" s="149">
        <f>BL296</f>
        <v>0</v>
      </c>
      <c r="BO296" s="282">
        <f t="shared" ref="BO296:BO301" si="247">BM296</f>
        <v>0</v>
      </c>
      <c r="BP296" s="152">
        <f t="shared" ref="BP296:BR301" si="248">BO296</f>
        <v>0</v>
      </c>
      <c r="BQ296" s="152">
        <f t="shared" si="248"/>
        <v>0</v>
      </c>
      <c r="BR296" s="152">
        <f t="shared" si="248"/>
        <v>0</v>
      </c>
      <c r="BS296" s="152"/>
      <c r="BT296" s="286">
        <f>BR296</f>
        <v>0</v>
      </c>
      <c r="BU296" s="149">
        <f t="shared" ref="BU296:BW297" si="249">BT296</f>
        <v>0</v>
      </c>
      <c r="BV296" s="149">
        <f t="shared" si="249"/>
        <v>0</v>
      </c>
      <c r="BW296" s="149">
        <f t="shared" si="249"/>
        <v>0</v>
      </c>
      <c r="BY296" s="149">
        <f>BW296</f>
        <v>0</v>
      </c>
      <c r="BZ296" s="149">
        <f>BY296</f>
        <v>0</v>
      </c>
      <c r="CA296" s="149">
        <f>BZ296</f>
        <v>0</v>
      </c>
      <c r="CB296" s="149">
        <f t="shared" ref="CB296:CB301" si="250">CA296</f>
        <v>0</v>
      </c>
      <c r="CD296" s="439">
        <f t="shared" ref="CD296:CD301" si="251">CB296</f>
        <v>0</v>
      </c>
      <c r="CE296" s="439">
        <f t="shared" ref="CE296:CG301" si="252">CD296</f>
        <v>0</v>
      </c>
      <c r="CF296" s="439">
        <f t="shared" si="252"/>
        <v>0</v>
      </c>
      <c r="CG296" s="439">
        <f t="shared" si="252"/>
        <v>0</v>
      </c>
      <c r="CH296" s="439"/>
      <c r="CI296" s="439">
        <f t="shared" ref="CI296:CI301" si="253">CG296</f>
        <v>0</v>
      </c>
      <c r="CJ296" s="439">
        <f t="shared" ref="CJ296:CL301" si="254">CI296</f>
        <v>0</v>
      </c>
      <c r="CK296" s="439">
        <f t="shared" si="254"/>
        <v>0</v>
      </c>
      <c r="CL296" s="439">
        <f t="shared" si="254"/>
        <v>0</v>
      </c>
      <c r="CM296" s="439"/>
      <c r="CN296" s="439">
        <f t="shared" ref="CN296:CN301" si="255">CL296</f>
        <v>0</v>
      </c>
      <c r="CO296" s="439">
        <f t="shared" ref="CO296:CQ301" si="256">CN296</f>
        <v>0</v>
      </c>
      <c r="CP296" s="439">
        <f t="shared" si="256"/>
        <v>0</v>
      </c>
      <c r="CQ296" s="439">
        <f t="shared" si="256"/>
        <v>0</v>
      </c>
      <c r="CR296" s="439"/>
      <c r="CS296" s="439">
        <f t="shared" ref="CS296:CS301" si="257">CQ296</f>
        <v>0</v>
      </c>
      <c r="CT296" s="439">
        <f t="shared" ref="CT296:CV301" si="258">CS296</f>
        <v>0</v>
      </c>
      <c r="CU296" s="439">
        <f t="shared" si="258"/>
        <v>0</v>
      </c>
      <c r="CV296" s="439">
        <f t="shared" si="258"/>
        <v>0</v>
      </c>
      <c r="CW296" s="439"/>
      <c r="CX296" s="439">
        <f t="shared" ref="CX296:CX301" si="259">CV296</f>
        <v>0</v>
      </c>
      <c r="CY296" s="439">
        <f t="shared" ref="CY296:DA301" si="260">CX296</f>
        <v>0</v>
      </c>
      <c r="CZ296" s="439">
        <f t="shared" si="260"/>
        <v>0</v>
      </c>
      <c r="DA296" s="439">
        <f t="shared" si="260"/>
        <v>0</v>
      </c>
      <c r="DC296" s="439">
        <f t="shared" ref="DC296:DC301" si="261">DA296</f>
        <v>0</v>
      </c>
      <c r="DD296" s="439">
        <f t="shared" ref="DD296:DF301" si="262">DC296</f>
        <v>0</v>
      </c>
      <c r="DE296" s="439">
        <f t="shared" si="262"/>
        <v>0</v>
      </c>
      <c r="DF296" s="439">
        <f t="shared" si="262"/>
        <v>0</v>
      </c>
      <c r="DH296" s="439">
        <f t="shared" ref="DH296:DH301" si="263">DF296</f>
        <v>0</v>
      </c>
      <c r="DI296" s="439">
        <f t="shared" ref="DI296:DK301" si="264">DH296</f>
        <v>0</v>
      </c>
      <c r="DJ296" s="439">
        <f t="shared" si="264"/>
        <v>0</v>
      </c>
      <c r="DK296" s="439">
        <f t="shared" si="264"/>
        <v>0</v>
      </c>
      <c r="DM296" s="439">
        <f t="shared" ref="DM296:DM301" si="265">DK296</f>
        <v>0</v>
      </c>
      <c r="DN296" s="439">
        <f t="shared" ref="DN296:DP301" si="266">DM296</f>
        <v>0</v>
      </c>
      <c r="DO296" s="439">
        <f t="shared" si="266"/>
        <v>0</v>
      </c>
      <c r="DP296" s="439">
        <f t="shared" si="266"/>
        <v>0</v>
      </c>
      <c r="DR296" s="439">
        <f t="shared" ref="DR296:DR301" si="267">DP296</f>
        <v>0</v>
      </c>
      <c r="DS296" s="439">
        <f t="shared" ref="DS296:DU301" si="268">DR296</f>
        <v>0</v>
      </c>
      <c r="DT296" s="439">
        <f t="shared" si="268"/>
        <v>0</v>
      </c>
      <c r="DU296" s="439">
        <f t="shared" si="268"/>
        <v>0</v>
      </c>
      <c r="DW296" s="439">
        <f t="shared" ref="DW296:DW301" si="269">DU296</f>
        <v>0</v>
      </c>
      <c r="DX296" s="439">
        <f t="shared" ref="DX296:DZ301" si="270">DW296</f>
        <v>0</v>
      </c>
      <c r="DY296" s="439">
        <f t="shared" si="270"/>
        <v>0</v>
      </c>
      <c r="DZ296" s="439">
        <f t="shared" si="270"/>
        <v>0</v>
      </c>
      <c r="EB296" s="439">
        <f t="shared" ref="EB296:EB301" si="271">DZ296</f>
        <v>0</v>
      </c>
      <c r="EC296" s="439">
        <f t="shared" ref="EC296:EE301" si="272">EB296</f>
        <v>0</v>
      </c>
      <c r="ED296" s="439">
        <f t="shared" si="272"/>
        <v>0</v>
      </c>
      <c r="EE296" s="439">
        <f t="shared" si="272"/>
        <v>0</v>
      </c>
      <c r="EG296" s="439">
        <f t="shared" ref="EG296:EG301" si="273">EE296</f>
        <v>0</v>
      </c>
      <c r="EH296" s="439">
        <f t="shared" ref="EH296:EJ301" si="274">EG296</f>
        <v>0</v>
      </c>
      <c r="EI296" s="439">
        <f t="shared" si="274"/>
        <v>0</v>
      </c>
      <c r="EJ296" s="439">
        <f t="shared" si="274"/>
        <v>0</v>
      </c>
      <c r="EL296" s="439">
        <f t="shared" ref="EL296:EL301" si="275">EJ296</f>
        <v>0</v>
      </c>
      <c r="EM296" s="439">
        <f t="shared" ref="EM296:EO301" si="276">EL296</f>
        <v>0</v>
      </c>
      <c r="EN296" s="439">
        <f t="shared" si="276"/>
        <v>0</v>
      </c>
      <c r="EO296" s="439">
        <f t="shared" si="276"/>
        <v>0</v>
      </c>
      <c r="EQ296" s="439">
        <f t="shared" ref="EQ296:EQ301" si="277">EO296</f>
        <v>0</v>
      </c>
      <c r="ER296" s="439">
        <f t="shared" ref="ER296:ET301" si="278">EQ296</f>
        <v>0</v>
      </c>
      <c r="ES296" s="439">
        <f t="shared" si="278"/>
        <v>0</v>
      </c>
      <c r="ET296" s="439">
        <f t="shared" si="278"/>
        <v>0</v>
      </c>
      <c r="EV296" s="439">
        <f t="shared" ref="EV296:EV301" si="279">ET296</f>
        <v>0</v>
      </c>
      <c r="EW296" s="439">
        <f t="shared" ref="EW296:EY301" si="280">EV296</f>
        <v>0</v>
      </c>
      <c r="EX296" s="439">
        <f t="shared" si="280"/>
        <v>0</v>
      </c>
      <c r="EY296" s="439">
        <f t="shared" si="280"/>
        <v>0</v>
      </c>
      <c r="FA296" s="439">
        <f t="shared" ref="FA296:FA301" si="281">EY296</f>
        <v>0</v>
      </c>
      <c r="FB296" s="439">
        <f t="shared" ref="FB296:FD301" si="282">FA296</f>
        <v>0</v>
      </c>
      <c r="FC296" s="439">
        <f t="shared" si="282"/>
        <v>0</v>
      </c>
      <c r="FD296" s="439">
        <f t="shared" si="282"/>
        <v>0</v>
      </c>
      <c r="FF296" s="439">
        <f t="shared" ref="FF296:FF301" si="283">FD296</f>
        <v>0</v>
      </c>
      <c r="FG296" s="439">
        <f t="shared" ref="FG296:FI301" si="284">FF296</f>
        <v>0</v>
      </c>
      <c r="FH296" s="439">
        <f t="shared" si="284"/>
        <v>0</v>
      </c>
      <c r="FI296" s="439">
        <f t="shared" si="284"/>
        <v>0</v>
      </c>
      <c r="FK296" s="439">
        <f t="shared" ref="FK296:FK301" si="285">FI296</f>
        <v>0</v>
      </c>
      <c r="FL296" s="439">
        <f t="shared" ref="FL296:FN301" si="286">FK296</f>
        <v>0</v>
      </c>
      <c r="FM296" s="439">
        <f t="shared" si="286"/>
        <v>0</v>
      </c>
      <c r="FN296" s="439">
        <f t="shared" si="286"/>
        <v>0</v>
      </c>
    </row>
    <row r="297" spans="1:171" hidden="1" outlineLevel="2">
      <c r="A297" s="171" t="s">
        <v>460</v>
      </c>
      <c r="AD297" s="148"/>
      <c r="AE297" s="148"/>
      <c r="AF297" s="148"/>
      <c r="AI297" s="149">
        <v>0</v>
      </c>
      <c r="AK297" s="149">
        <v>0</v>
      </c>
      <c r="AL297" s="149">
        <v>0</v>
      </c>
      <c r="AM297" s="149">
        <v>0</v>
      </c>
      <c r="AN297" s="149">
        <v>0</v>
      </c>
      <c r="AP297" s="149">
        <v>0</v>
      </c>
      <c r="AQ297" s="149">
        <v>0</v>
      </c>
      <c r="AR297" s="149">
        <f>AQ297</f>
        <v>0</v>
      </c>
      <c r="AS297" s="149">
        <f>AR297</f>
        <v>0</v>
      </c>
      <c r="AU297" s="149">
        <f>AS297</f>
        <v>0</v>
      </c>
      <c r="AV297" s="211">
        <f>AU297</f>
        <v>0</v>
      </c>
      <c r="AW297" s="211">
        <f>AV297</f>
        <v>0</v>
      </c>
      <c r="AX297" s="211">
        <f>AW297</f>
        <v>0</v>
      </c>
      <c r="AY297" s="211"/>
      <c r="AZ297" s="149">
        <f>AX297</f>
        <v>0</v>
      </c>
      <c r="BA297" s="149">
        <f t="shared" si="244"/>
        <v>0</v>
      </c>
      <c r="BB297" s="149">
        <f t="shared" si="244"/>
        <v>0</v>
      </c>
      <c r="BC297" s="149">
        <f t="shared" si="244"/>
        <v>0</v>
      </c>
      <c r="BE297" s="149">
        <f t="shared" si="245"/>
        <v>0</v>
      </c>
      <c r="BF297" s="149">
        <f t="shared" si="246"/>
        <v>0</v>
      </c>
      <c r="BG297" s="149">
        <f t="shared" si="246"/>
        <v>0</v>
      </c>
      <c r="BH297" s="149">
        <f>BG297</f>
        <v>0</v>
      </c>
      <c r="BJ297" s="149">
        <f>BH297</f>
        <v>0</v>
      </c>
      <c r="BK297" s="149">
        <f>BJ297</f>
        <v>0</v>
      </c>
      <c r="BL297" s="149">
        <f>BK297</f>
        <v>0</v>
      </c>
      <c r="BM297" s="149">
        <f>BL297</f>
        <v>0</v>
      </c>
      <c r="BO297" s="282">
        <f t="shared" si="247"/>
        <v>0</v>
      </c>
      <c r="BP297" s="152">
        <f t="shared" si="248"/>
        <v>0</v>
      </c>
      <c r="BQ297" s="152">
        <f t="shared" si="248"/>
        <v>0</v>
      </c>
      <c r="BR297" s="152">
        <f t="shared" si="248"/>
        <v>0</v>
      </c>
      <c r="BS297" s="152"/>
      <c r="BT297" s="286">
        <f>BR297</f>
        <v>0</v>
      </c>
      <c r="BU297" s="149">
        <f t="shared" si="249"/>
        <v>0</v>
      </c>
      <c r="BV297" s="149">
        <f t="shared" si="249"/>
        <v>0</v>
      </c>
      <c r="BW297" s="149">
        <f t="shared" si="249"/>
        <v>0</v>
      </c>
      <c r="BY297" s="149">
        <f>BW297</f>
        <v>0</v>
      </c>
      <c r="BZ297" s="149">
        <f>BY297</f>
        <v>0</v>
      </c>
      <c r="CA297" s="149">
        <f>BZ297</f>
        <v>0</v>
      </c>
      <c r="CB297" s="149">
        <f t="shared" si="250"/>
        <v>0</v>
      </c>
      <c r="CD297" s="439">
        <f t="shared" si="251"/>
        <v>0</v>
      </c>
      <c r="CE297" s="439">
        <f t="shared" si="252"/>
        <v>0</v>
      </c>
      <c r="CF297" s="439">
        <f t="shared" si="252"/>
        <v>0</v>
      </c>
      <c r="CG297" s="439">
        <f t="shared" si="252"/>
        <v>0</v>
      </c>
      <c r="CH297" s="439"/>
      <c r="CI297" s="439">
        <f t="shared" si="253"/>
        <v>0</v>
      </c>
      <c r="CJ297" s="439">
        <f t="shared" si="254"/>
        <v>0</v>
      </c>
      <c r="CK297" s="439">
        <f t="shared" si="254"/>
        <v>0</v>
      </c>
      <c r="CL297" s="439">
        <f t="shared" si="254"/>
        <v>0</v>
      </c>
      <c r="CM297" s="439"/>
      <c r="CN297" s="439">
        <f t="shared" si="255"/>
        <v>0</v>
      </c>
      <c r="CO297" s="439">
        <f t="shared" si="256"/>
        <v>0</v>
      </c>
      <c r="CP297" s="439">
        <f t="shared" si="256"/>
        <v>0</v>
      </c>
      <c r="CQ297" s="439">
        <f t="shared" si="256"/>
        <v>0</v>
      </c>
      <c r="CR297" s="439"/>
      <c r="CS297" s="439">
        <f t="shared" si="257"/>
        <v>0</v>
      </c>
      <c r="CT297" s="439">
        <f t="shared" si="258"/>
        <v>0</v>
      </c>
      <c r="CU297" s="439">
        <f t="shared" si="258"/>
        <v>0</v>
      </c>
      <c r="CV297" s="439">
        <f t="shared" si="258"/>
        <v>0</v>
      </c>
      <c r="CW297" s="439"/>
      <c r="CX297" s="439">
        <f t="shared" si="259"/>
        <v>0</v>
      </c>
      <c r="CY297" s="439">
        <f t="shared" si="260"/>
        <v>0</v>
      </c>
      <c r="CZ297" s="439">
        <f t="shared" si="260"/>
        <v>0</v>
      </c>
      <c r="DA297" s="439">
        <f t="shared" si="260"/>
        <v>0</v>
      </c>
      <c r="DC297" s="439">
        <f t="shared" si="261"/>
        <v>0</v>
      </c>
      <c r="DD297" s="439">
        <f t="shared" si="262"/>
        <v>0</v>
      </c>
      <c r="DE297" s="439">
        <f t="shared" si="262"/>
        <v>0</v>
      </c>
      <c r="DF297" s="439">
        <f t="shared" si="262"/>
        <v>0</v>
      </c>
      <c r="DH297" s="439">
        <f t="shared" si="263"/>
        <v>0</v>
      </c>
      <c r="DI297" s="439">
        <f t="shared" si="264"/>
        <v>0</v>
      </c>
      <c r="DJ297" s="439">
        <f t="shared" si="264"/>
        <v>0</v>
      </c>
      <c r="DK297" s="439">
        <f t="shared" si="264"/>
        <v>0</v>
      </c>
      <c r="DM297" s="439">
        <f t="shared" si="265"/>
        <v>0</v>
      </c>
      <c r="DN297" s="439">
        <f t="shared" si="266"/>
        <v>0</v>
      </c>
      <c r="DO297" s="439">
        <f t="shared" si="266"/>
        <v>0</v>
      </c>
      <c r="DP297" s="439">
        <f t="shared" si="266"/>
        <v>0</v>
      </c>
      <c r="DR297" s="439">
        <f t="shared" si="267"/>
        <v>0</v>
      </c>
      <c r="DS297" s="439">
        <f t="shared" si="268"/>
        <v>0</v>
      </c>
      <c r="DT297" s="439">
        <f t="shared" si="268"/>
        <v>0</v>
      </c>
      <c r="DU297" s="439">
        <f t="shared" si="268"/>
        <v>0</v>
      </c>
      <c r="DW297" s="439">
        <f t="shared" si="269"/>
        <v>0</v>
      </c>
      <c r="DX297" s="439">
        <f t="shared" si="270"/>
        <v>0</v>
      </c>
      <c r="DY297" s="439">
        <f t="shared" si="270"/>
        <v>0</v>
      </c>
      <c r="DZ297" s="439">
        <f t="shared" si="270"/>
        <v>0</v>
      </c>
      <c r="EB297" s="439">
        <f t="shared" si="271"/>
        <v>0</v>
      </c>
      <c r="EC297" s="439">
        <f t="shared" si="272"/>
        <v>0</v>
      </c>
      <c r="ED297" s="439">
        <f t="shared" si="272"/>
        <v>0</v>
      </c>
      <c r="EE297" s="439">
        <f t="shared" si="272"/>
        <v>0</v>
      </c>
      <c r="EG297" s="439">
        <f t="shared" si="273"/>
        <v>0</v>
      </c>
      <c r="EH297" s="439">
        <f t="shared" si="274"/>
        <v>0</v>
      </c>
      <c r="EI297" s="439">
        <f t="shared" si="274"/>
        <v>0</v>
      </c>
      <c r="EJ297" s="439">
        <f t="shared" si="274"/>
        <v>0</v>
      </c>
      <c r="EL297" s="439">
        <f t="shared" si="275"/>
        <v>0</v>
      </c>
      <c r="EM297" s="439">
        <f t="shared" si="276"/>
        <v>0</v>
      </c>
      <c r="EN297" s="439">
        <f t="shared" si="276"/>
        <v>0</v>
      </c>
      <c r="EO297" s="439">
        <f t="shared" si="276"/>
        <v>0</v>
      </c>
      <c r="EQ297" s="439">
        <f t="shared" si="277"/>
        <v>0</v>
      </c>
      <c r="ER297" s="439">
        <f t="shared" si="278"/>
        <v>0</v>
      </c>
      <c r="ES297" s="439">
        <f t="shared" si="278"/>
        <v>0</v>
      </c>
      <c r="ET297" s="439">
        <f t="shared" si="278"/>
        <v>0</v>
      </c>
      <c r="EV297" s="439">
        <f t="shared" si="279"/>
        <v>0</v>
      </c>
      <c r="EW297" s="439">
        <f t="shared" si="280"/>
        <v>0</v>
      </c>
      <c r="EX297" s="439">
        <f t="shared" si="280"/>
        <v>0</v>
      </c>
      <c r="EY297" s="439">
        <f t="shared" si="280"/>
        <v>0</v>
      </c>
      <c r="FA297" s="439">
        <f t="shared" si="281"/>
        <v>0</v>
      </c>
      <c r="FB297" s="439">
        <f t="shared" si="282"/>
        <v>0</v>
      </c>
      <c r="FC297" s="439">
        <f t="shared" si="282"/>
        <v>0</v>
      </c>
      <c r="FD297" s="439">
        <f t="shared" si="282"/>
        <v>0</v>
      </c>
      <c r="FF297" s="439">
        <f t="shared" si="283"/>
        <v>0</v>
      </c>
      <c r="FG297" s="439">
        <f t="shared" si="284"/>
        <v>0</v>
      </c>
      <c r="FH297" s="439">
        <f t="shared" si="284"/>
        <v>0</v>
      </c>
      <c r="FI297" s="439">
        <f t="shared" si="284"/>
        <v>0</v>
      </c>
      <c r="FK297" s="439">
        <f t="shared" si="285"/>
        <v>0</v>
      </c>
      <c r="FL297" s="439">
        <f t="shared" si="286"/>
        <v>0</v>
      </c>
      <c r="FM297" s="439">
        <f t="shared" si="286"/>
        <v>0</v>
      </c>
      <c r="FN297" s="439">
        <f t="shared" si="286"/>
        <v>0</v>
      </c>
    </row>
    <row r="298" spans="1:171" hidden="1" outlineLevel="2">
      <c r="A298" s="171" t="s">
        <v>537</v>
      </c>
      <c r="AD298" s="148"/>
      <c r="AE298" s="148"/>
      <c r="AF298" s="148"/>
      <c r="AI298" s="149">
        <v>108.90900000000001</v>
      </c>
      <c r="AK298" s="149">
        <v>108.78</v>
      </c>
      <c r="AL298" s="149">
        <v>108.566</v>
      </c>
      <c r="AM298" s="149">
        <v>108.107</v>
      </c>
      <c r="AN298" s="149">
        <v>108.107</v>
      </c>
      <c r="AP298" s="149">
        <v>108.107</v>
      </c>
      <c r="AQ298" s="149">
        <v>108.107</v>
      </c>
      <c r="AR298" s="149">
        <v>133.107</v>
      </c>
      <c r="AS298" s="149">
        <v>145.31700000000001</v>
      </c>
      <c r="AU298" s="149">
        <v>204.60300000000001</v>
      </c>
      <c r="AV298" s="211">
        <v>203.65700000000001</v>
      </c>
      <c r="AW298" s="211">
        <v>203.679</v>
      </c>
      <c r="AX298" s="211">
        <v>301.42500000000001</v>
      </c>
      <c r="AY298" s="211"/>
      <c r="AZ298" s="149">
        <v>291.077</v>
      </c>
      <c r="BA298" s="149">
        <v>293.38299999999998</v>
      </c>
      <c r="BB298" s="149">
        <v>292.93400000000003</v>
      </c>
      <c r="BC298" s="149">
        <f>BB298</f>
        <v>292.93400000000003</v>
      </c>
      <c r="BE298" s="149">
        <f t="shared" si="245"/>
        <v>292.93400000000003</v>
      </c>
      <c r="BF298" s="149">
        <f t="shared" si="246"/>
        <v>292.93400000000003</v>
      </c>
      <c r="BG298" s="149">
        <f t="shared" si="246"/>
        <v>292.93400000000003</v>
      </c>
      <c r="BH298" s="149">
        <v>369.84399999999999</v>
      </c>
      <c r="BJ298" s="149">
        <v>369.84399999999999</v>
      </c>
      <c r="BK298" s="149">
        <v>369.84399999999999</v>
      </c>
      <c r="BL298" s="149">
        <f>BK298</f>
        <v>369.84399999999999</v>
      </c>
      <c r="BM298" s="149">
        <v>369.84399999999999</v>
      </c>
      <c r="BO298" s="282">
        <f t="shared" si="247"/>
        <v>369.84399999999999</v>
      </c>
      <c r="BP298" s="152">
        <f t="shared" si="248"/>
        <v>369.84399999999999</v>
      </c>
      <c r="BQ298" s="152">
        <f t="shared" si="248"/>
        <v>369.84399999999999</v>
      </c>
      <c r="BR298" s="152">
        <v>369.84399999999999</v>
      </c>
      <c r="BS298" s="152"/>
      <c r="BT298" s="286">
        <v>369.84399999999999</v>
      </c>
      <c r="BU298" s="149">
        <v>593.51300000000003</v>
      </c>
      <c r="BV298" s="149">
        <v>648.053</v>
      </c>
      <c r="BW298" s="149">
        <v>641.03</v>
      </c>
      <c r="BY298" s="149">
        <v>641.03</v>
      </c>
      <c r="BZ298" s="149">
        <v>641.03</v>
      </c>
      <c r="CA298" s="149">
        <v>641.03</v>
      </c>
      <c r="CB298" s="149">
        <v>641.03</v>
      </c>
      <c r="CD298" s="439">
        <f t="shared" si="251"/>
        <v>641.03</v>
      </c>
      <c r="CE298" s="439">
        <f t="shared" si="252"/>
        <v>641.03</v>
      </c>
      <c r="CF298" s="439">
        <f t="shared" si="252"/>
        <v>641.03</v>
      </c>
      <c r="CG298" s="439">
        <f t="shared" si="252"/>
        <v>641.03</v>
      </c>
      <c r="CH298" s="439"/>
      <c r="CI298" s="439">
        <f t="shared" si="253"/>
        <v>641.03</v>
      </c>
      <c r="CJ298" s="439">
        <f t="shared" si="254"/>
        <v>641.03</v>
      </c>
      <c r="CK298" s="439">
        <f t="shared" si="254"/>
        <v>641.03</v>
      </c>
      <c r="CL298" s="439">
        <f t="shared" si="254"/>
        <v>641.03</v>
      </c>
      <c r="CM298" s="439"/>
      <c r="CN298" s="439">
        <f t="shared" si="255"/>
        <v>641.03</v>
      </c>
      <c r="CO298" s="439">
        <f t="shared" si="256"/>
        <v>641.03</v>
      </c>
      <c r="CP298" s="439">
        <f t="shared" si="256"/>
        <v>641.03</v>
      </c>
      <c r="CQ298" s="439">
        <f t="shared" si="256"/>
        <v>641.03</v>
      </c>
      <c r="CR298" s="439"/>
      <c r="CS298" s="439">
        <f t="shared" si="257"/>
        <v>641.03</v>
      </c>
      <c r="CT298" s="439">
        <f t="shared" si="258"/>
        <v>641.03</v>
      </c>
      <c r="CU298" s="439">
        <f t="shared" si="258"/>
        <v>641.03</v>
      </c>
      <c r="CV298" s="439">
        <f t="shared" si="258"/>
        <v>641.03</v>
      </c>
      <c r="CW298" s="439"/>
      <c r="CX298" s="439">
        <f t="shared" si="259"/>
        <v>641.03</v>
      </c>
      <c r="CY298" s="439">
        <f t="shared" si="260"/>
        <v>641.03</v>
      </c>
      <c r="CZ298" s="439">
        <f t="shared" si="260"/>
        <v>641.03</v>
      </c>
      <c r="DA298" s="439">
        <f t="shared" si="260"/>
        <v>641.03</v>
      </c>
      <c r="DC298" s="439">
        <f t="shared" si="261"/>
        <v>641.03</v>
      </c>
      <c r="DD298" s="439">
        <f t="shared" si="262"/>
        <v>641.03</v>
      </c>
      <c r="DE298" s="439">
        <f t="shared" si="262"/>
        <v>641.03</v>
      </c>
      <c r="DF298" s="439">
        <f t="shared" si="262"/>
        <v>641.03</v>
      </c>
      <c r="DH298" s="439">
        <f t="shared" si="263"/>
        <v>641.03</v>
      </c>
      <c r="DI298" s="439">
        <f t="shared" si="264"/>
        <v>641.03</v>
      </c>
      <c r="DJ298" s="439">
        <f t="shared" si="264"/>
        <v>641.03</v>
      </c>
      <c r="DK298" s="439">
        <f t="shared" si="264"/>
        <v>641.03</v>
      </c>
      <c r="DM298" s="439">
        <f t="shared" si="265"/>
        <v>641.03</v>
      </c>
      <c r="DN298" s="439">
        <f t="shared" si="266"/>
        <v>641.03</v>
      </c>
      <c r="DO298" s="439">
        <f t="shared" si="266"/>
        <v>641.03</v>
      </c>
      <c r="DP298" s="439">
        <f t="shared" si="266"/>
        <v>641.03</v>
      </c>
      <c r="DR298" s="439">
        <f t="shared" si="267"/>
        <v>641.03</v>
      </c>
      <c r="DS298" s="439">
        <f t="shared" si="268"/>
        <v>641.03</v>
      </c>
      <c r="DT298" s="439">
        <f t="shared" si="268"/>
        <v>641.03</v>
      </c>
      <c r="DU298" s="439">
        <f t="shared" si="268"/>
        <v>641.03</v>
      </c>
      <c r="DW298" s="439">
        <f t="shared" si="269"/>
        <v>641.03</v>
      </c>
      <c r="DX298" s="439">
        <f t="shared" si="270"/>
        <v>641.03</v>
      </c>
      <c r="DY298" s="439">
        <f t="shared" si="270"/>
        <v>641.03</v>
      </c>
      <c r="DZ298" s="439">
        <f t="shared" si="270"/>
        <v>641.03</v>
      </c>
      <c r="EB298" s="439">
        <f t="shared" si="271"/>
        <v>641.03</v>
      </c>
      <c r="EC298" s="439">
        <f t="shared" si="272"/>
        <v>641.03</v>
      </c>
      <c r="ED298" s="439">
        <f t="shared" si="272"/>
        <v>641.03</v>
      </c>
      <c r="EE298" s="439">
        <f t="shared" si="272"/>
        <v>641.03</v>
      </c>
      <c r="EG298" s="439">
        <f t="shared" si="273"/>
        <v>641.03</v>
      </c>
      <c r="EH298" s="439">
        <f t="shared" si="274"/>
        <v>641.03</v>
      </c>
      <c r="EI298" s="439">
        <f t="shared" si="274"/>
        <v>641.03</v>
      </c>
      <c r="EJ298" s="439">
        <f t="shared" si="274"/>
        <v>641.03</v>
      </c>
      <c r="EL298" s="439">
        <f t="shared" si="275"/>
        <v>641.03</v>
      </c>
      <c r="EM298" s="439">
        <f t="shared" si="276"/>
        <v>641.03</v>
      </c>
      <c r="EN298" s="439">
        <f t="shared" si="276"/>
        <v>641.03</v>
      </c>
      <c r="EO298" s="439">
        <f t="shared" si="276"/>
        <v>641.03</v>
      </c>
      <c r="EQ298" s="439">
        <f t="shared" si="277"/>
        <v>641.03</v>
      </c>
      <c r="ER298" s="439">
        <f t="shared" si="278"/>
        <v>641.03</v>
      </c>
      <c r="ES298" s="439">
        <f t="shared" si="278"/>
        <v>641.03</v>
      </c>
      <c r="ET298" s="439">
        <f t="shared" si="278"/>
        <v>641.03</v>
      </c>
      <c r="EV298" s="439">
        <f t="shared" si="279"/>
        <v>641.03</v>
      </c>
      <c r="EW298" s="439">
        <f t="shared" si="280"/>
        <v>641.03</v>
      </c>
      <c r="EX298" s="439">
        <f t="shared" si="280"/>
        <v>641.03</v>
      </c>
      <c r="EY298" s="439">
        <f t="shared" si="280"/>
        <v>641.03</v>
      </c>
      <c r="FA298" s="439">
        <f t="shared" si="281"/>
        <v>641.03</v>
      </c>
      <c r="FB298" s="439">
        <f t="shared" si="282"/>
        <v>641.03</v>
      </c>
      <c r="FC298" s="439">
        <f t="shared" si="282"/>
        <v>641.03</v>
      </c>
      <c r="FD298" s="439">
        <f t="shared" si="282"/>
        <v>641.03</v>
      </c>
      <c r="FF298" s="439">
        <f t="shared" si="283"/>
        <v>641.03</v>
      </c>
      <c r="FG298" s="439">
        <f t="shared" si="284"/>
        <v>641.03</v>
      </c>
      <c r="FH298" s="439">
        <f t="shared" si="284"/>
        <v>641.03</v>
      </c>
      <c r="FI298" s="439">
        <f t="shared" si="284"/>
        <v>641.03</v>
      </c>
      <c r="FK298" s="439">
        <f t="shared" si="285"/>
        <v>641.03</v>
      </c>
      <c r="FL298" s="439">
        <f t="shared" si="286"/>
        <v>641.03</v>
      </c>
      <c r="FM298" s="439">
        <f t="shared" si="286"/>
        <v>641.03</v>
      </c>
      <c r="FN298" s="439">
        <f t="shared" si="286"/>
        <v>641.03</v>
      </c>
    </row>
    <row r="299" spans="1:171" hidden="1" outlineLevel="2">
      <c r="A299" s="171" t="s">
        <v>538</v>
      </c>
      <c r="AD299" s="148"/>
      <c r="AE299" s="148"/>
      <c r="AF299" s="148"/>
      <c r="AI299" s="149">
        <v>39.963000000000001</v>
      </c>
      <c r="AK299" s="149">
        <v>40.156999999999996</v>
      </c>
      <c r="AL299" s="149">
        <v>34.764000000000003</v>
      </c>
      <c r="AM299" s="149">
        <v>30.068000000000001</v>
      </c>
      <c r="AN299" s="149">
        <v>27.513999999999999</v>
      </c>
      <c r="AP299" s="149">
        <v>27.416</v>
      </c>
      <c r="AQ299" s="149">
        <v>23.268000000000001</v>
      </c>
      <c r="AR299" s="149">
        <v>19.207000000000001</v>
      </c>
      <c r="AS299" s="149">
        <v>15.420999999999999</v>
      </c>
      <c r="AU299" s="149">
        <v>22.989000000000001</v>
      </c>
      <c r="AV299" s="211">
        <v>29.428000000000001</v>
      </c>
      <c r="AW299" s="211">
        <v>26.538</v>
      </c>
      <c r="AX299" s="211">
        <v>28.349</v>
      </c>
      <c r="AY299" s="211"/>
      <c r="AZ299" s="149">
        <v>50.914000000000001</v>
      </c>
      <c r="BA299" s="149">
        <v>54.734999999999999</v>
      </c>
      <c r="BB299" s="149">
        <v>78.173000000000002</v>
      </c>
      <c r="BC299" s="149">
        <f>BB299</f>
        <v>78.173000000000002</v>
      </c>
      <c r="BE299" s="149">
        <f t="shared" si="245"/>
        <v>78.173000000000002</v>
      </c>
      <c r="BF299" s="149">
        <f t="shared" si="246"/>
        <v>78.173000000000002</v>
      </c>
      <c r="BG299" s="149">
        <f t="shared" si="246"/>
        <v>78.173000000000002</v>
      </c>
      <c r="BH299" s="149">
        <v>147.101</v>
      </c>
      <c r="BJ299" s="149">
        <v>142.446</v>
      </c>
      <c r="BK299" s="149">
        <v>135.678</v>
      </c>
      <c r="BL299" s="149">
        <f>BK299</f>
        <v>135.678</v>
      </c>
      <c r="BM299" s="149">
        <v>120.458</v>
      </c>
      <c r="BO299" s="282">
        <f t="shared" si="247"/>
        <v>120.458</v>
      </c>
      <c r="BP299" s="152">
        <f t="shared" si="248"/>
        <v>120.458</v>
      </c>
      <c r="BQ299" s="152">
        <v>112.642</v>
      </c>
      <c r="BR299" s="152">
        <v>288.745</v>
      </c>
      <c r="BS299" s="152"/>
      <c r="BT299" s="286">
        <v>278.76100000000002</v>
      </c>
      <c r="BU299" s="149">
        <v>358.13600000000002</v>
      </c>
      <c r="BV299" s="149">
        <v>288.745</v>
      </c>
      <c r="BW299" s="149">
        <v>326.13600000000002</v>
      </c>
      <c r="BY299" s="149">
        <v>363.39499999999998</v>
      </c>
      <c r="BZ299" s="149">
        <v>346.93799999999999</v>
      </c>
      <c r="CA299" s="149">
        <v>331.24799999999999</v>
      </c>
      <c r="CB299" s="149">
        <v>312.33199999999999</v>
      </c>
      <c r="CD299" s="439">
        <f t="shared" si="251"/>
        <v>312.33199999999999</v>
      </c>
      <c r="CE299" s="439">
        <f t="shared" si="252"/>
        <v>312.33199999999999</v>
      </c>
      <c r="CF299" s="439">
        <f t="shared" si="252"/>
        <v>312.33199999999999</v>
      </c>
      <c r="CG299" s="439">
        <f t="shared" si="252"/>
        <v>312.33199999999999</v>
      </c>
      <c r="CH299" s="439"/>
      <c r="CI299" s="439">
        <f t="shared" si="253"/>
        <v>312.33199999999999</v>
      </c>
      <c r="CJ299" s="439">
        <f t="shared" si="254"/>
        <v>312.33199999999999</v>
      </c>
      <c r="CK299" s="439">
        <f t="shared" si="254"/>
        <v>312.33199999999999</v>
      </c>
      <c r="CL299" s="439">
        <f t="shared" si="254"/>
        <v>312.33199999999999</v>
      </c>
      <c r="CM299" s="439"/>
      <c r="CN299" s="439">
        <f t="shared" si="255"/>
        <v>312.33199999999999</v>
      </c>
      <c r="CO299" s="439">
        <f t="shared" si="256"/>
        <v>312.33199999999999</v>
      </c>
      <c r="CP299" s="439">
        <f t="shared" si="256"/>
        <v>312.33199999999999</v>
      </c>
      <c r="CQ299" s="439">
        <f t="shared" si="256"/>
        <v>312.33199999999999</v>
      </c>
      <c r="CR299" s="439"/>
      <c r="CS299" s="439">
        <f t="shared" si="257"/>
        <v>312.33199999999999</v>
      </c>
      <c r="CT299" s="439">
        <f t="shared" si="258"/>
        <v>312.33199999999999</v>
      </c>
      <c r="CU299" s="439">
        <f t="shared" si="258"/>
        <v>312.33199999999999</v>
      </c>
      <c r="CV299" s="439">
        <f t="shared" si="258"/>
        <v>312.33199999999999</v>
      </c>
      <c r="CW299" s="439"/>
      <c r="CX299" s="439">
        <f t="shared" si="259"/>
        <v>312.33199999999999</v>
      </c>
      <c r="CY299" s="439">
        <f t="shared" si="260"/>
        <v>312.33199999999999</v>
      </c>
      <c r="CZ299" s="439">
        <f t="shared" si="260"/>
        <v>312.33199999999999</v>
      </c>
      <c r="DA299" s="439">
        <f t="shared" si="260"/>
        <v>312.33199999999999</v>
      </c>
      <c r="DC299" s="439">
        <f t="shared" si="261"/>
        <v>312.33199999999999</v>
      </c>
      <c r="DD299" s="439">
        <f t="shared" si="262"/>
        <v>312.33199999999999</v>
      </c>
      <c r="DE299" s="439">
        <f t="shared" si="262"/>
        <v>312.33199999999999</v>
      </c>
      <c r="DF299" s="439">
        <f t="shared" si="262"/>
        <v>312.33199999999999</v>
      </c>
      <c r="DH299" s="439">
        <f t="shared" si="263"/>
        <v>312.33199999999999</v>
      </c>
      <c r="DI299" s="439">
        <f t="shared" si="264"/>
        <v>312.33199999999999</v>
      </c>
      <c r="DJ299" s="439">
        <f t="shared" si="264"/>
        <v>312.33199999999999</v>
      </c>
      <c r="DK299" s="439">
        <f t="shared" si="264"/>
        <v>312.33199999999999</v>
      </c>
      <c r="DM299" s="439">
        <f t="shared" si="265"/>
        <v>312.33199999999999</v>
      </c>
      <c r="DN299" s="439">
        <f t="shared" si="266"/>
        <v>312.33199999999999</v>
      </c>
      <c r="DO299" s="439">
        <f t="shared" si="266"/>
        <v>312.33199999999999</v>
      </c>
      <c r="DP299" s="439">
        <f t="shared" si="266"/>
        <v>312.33199999999999</v>
      </c>
      <c r="DR299" s="439">
        <f t="shared" si="267"/>
        <v>312.33199999999999</v>
      </c>
      <c r="DS299" s="439">
        <f t="shared" si="268"/>
        <v>312.33199999999999</v>
      </c>
      <c r="DT299" s="439">
        <f t="shared" si="268"/>
        <v>312.33199999999999</v>
      </c>
      <c r="DU299" s="439">
        <f t="shared" si="268"/>
        <v>312.33199999999999</v>
      </c>
      <c r="DW299" s="439">
        <f t="shared" si="269"/>
        <v>312.33199999999999</v>
      </c>
      <c r="DX299" s="439">
        <f t="shared" si="270"/>
        <v>312.33199999999999</v>
      </c>
      <c r="DY299" s="439">
        <f t="shared" si="270"/>
        <v>312.33199999999999</v>
      </c>
      <c r="DZ299" s="439">
        <f t="shared" si="270"/>
        <v>312.33199999999999</v>
      </c>
      <c r="EB299" s="439">
        <f t="shared" si="271"/>
        <v>312.33199999999999</v>
      </c>
      <c r="EC299" s="439">
        <f t="shared" si="272"/>
        <v>312.33199999999999</v>
      </c>
      <c r="ED299" s="439">
        <f t="shared" si="272"/>
        <v>312.33199999999999</v>
      </c>
      <c r="EE299" s="439">
        <f t="shared" si="272"/>
        <v>312.33199999999999</v>
      </c>
      <c r="EG299" s="439">
        <f t="shared" si="273"/>
        <v>312.33199999999999</v>
      </c>
      <c r="EH299" s="439">
        <f t="shared" si="274"/>
        <v>312.33199999999999</v>
      </c>
      <c r="EI299" s="439">
        <f t="shared" si="274"/>
        <v>312.33199999999999</v>
      </c>
      <c r="EJ299" s="439">
        <f t="shared" si="274"/>
        <v>312.33199999999999</v>
      </c>
      <c r="EL299" s="439">
        <f t="shared" si="275"/>
        <v>312.33199999999999</v>
      </c>
      <c r="EM299" s="439">
        <f t="shared" si="276"/>
        <v>312.33199999999999</v>
      </c>
      <c r="EN299" s="439">
        <f t="shared" si="276"/>
        <v>312.33199999999999</v>
      </c>
      <c r="EO299" s="439">
        <f t="shared" si="276"/>
        <v>312.33199999999999</v>
      </c>
      <c r="EQ299" s="439">
        <f t="shared" si="277"/>
        <v>312.33199999999999</v>
      </c>
      <c r="ER299" s="439">
        <f t="shared" si="278"/>
        <v>312.33199999999999</v>
      </c>
      <c r="ES299" s="439">
        <f t="shared" si="278"/>
        <v>312.33199999999999</v>
      </c>
      <c r="ET299" s="439">
        <f t="shared" si="278"/>
        <v>312.33199999999999</v>
      </c>
      <c r="EV299" s="439">
        <f t="shared" si="279"/>
        <v>312.33199999999999</v>
      </c>
      <c r="EW299" s="439">
        <f t="shared" si="280"/>
        <v>312.33199999999999</v>
      </c>
      <c r="EX299" s="439">
        <f t="shared" si="280"/>
        <v>312.33199999999999</v>
      </c>
      <c r="EY299" s="439">
        <f t="shared" si="280"/>
        <v>312.33199999999999</v>
      </c>
      <c r="FA299" s="439">
        <f t="shared" si="281"/>
        <v>312.33199999999999</v>
      </c>
      <c r="FB299" s="439">
        <f t="shared" si="282"/>
        <v>312.33199999999999</v>
      </c>
      <c r="FC299" s="439">
        <f t="shared" si="282"/>
        <v>312.33199999999999</v>
      </c>
      <c r="FD299" s="439">
        <f t="shared" si="282"/>
        <v>312.33199999999999</v>
      </c>
      <c r="FF299" s="439">
        <f t="shared" si="283"/>
        <v>312.33199999999999</v>
      </c>
      <c r="FG299" s="439">
        <f t="shared" si="284"/>
        <v>312.33199999999999</v>
      </c>
      <c r="FH299" s="439">
        <f t="shared" si="284"/>
        <v>312.33199999999999</v>
      </c>
      <c r="FI299" s="439">
        <f t="shared" si="284"/>
        <v>312.33199999999999</v>
      </c>
      <c r="FK299" s="439">
        <f t="shared" si="285"/>
        <v>312.33199999999999</v>
      </c>
      <c r="FL299" s="439">
        <f t="shared" si="286"/>
        <v>312.33199999999999</v>
      </c>
      <c r="FM299" s="439">
        <f t="shared" si="286"/>
        <v>312.33199999999999</v>
      </c>
      <c r="FN299" s="439">
        <f t="shared" si="286"/>
        <v>312.33199999999999</v>
      </c>
    </row>
    <row r="300" spans="1:171" hidden="1" outlineLevel="2">
      <c r="A300" s="171" t="s">
        <v>539</v>
      </c>
      <c r="AD300" s="148"/>
      <c r="AE300" s="148"/>
      <c r="AF300" s="148"/>
      <c r="AI300" s="150">
        <f>AI298+AI299-AI301</f>
        <v>115.71100000000001</v>
      </c>
      <c r="AJ300" s="150"/>
      <c r="AK300" s="150">
        <f>AK298+AK299-AK301</f>
        <v>110.75900000000001</v>
      </c>
      <c r="AL300" s="150">
        <f>AL298+AL299-AL301</f>
        <v>99.832000000000022</v>
      </c>
      <c r="AM300" s="150">
        <f>AM298+AM299-AM301</f>
        <v>89.669000000000011</v>
      </c>
      <c r="AN300" s="149">
        <v>80.385999999999996</v>
      </c>
      <c r="AP300" s="149">
        <v>84.585999999999999</v>
      </c>
      <c r="AQ300" s="149">
        <f>AP300</f>
        <v>84.585999999999999</v>
      </c>
      <c r="AR300" s="149">
        <v>84.975999999999999</v>
      </c>
      <c r="AS300" s="149">
        <v>85.225999999999999</v>
      </c>
      <c r="AU300" s="149">
        <f>AS300</f>
        <v>85.225999999999999</v>
      </c>
      <c r="AV300" s="211">
        <v>107.252</v>
      </c>
      <c r="AW300" s="211">
        <v>108.453</v>
      </c>
      <c r="AX300" s="211">
        <v>135.155</v>
      </c>
      <c r="AY300" s="211"/>
      <c r="AZ300" s="149">
        <v>147.523</v>
      </c>
      <c r="BA300" s="149">
        <v>156.953</v>
      </c>
      <c r="BB300" s="149">
        <v>186.06399999999999</v>
      </c>
      <c r="BC300" s="149">
        <f>BB300</f>
        <v>186.06399999999999</v>
      </c>
      <c r="BE300" s="149">
        <f t="shared" si="245"/>
        <v>186.06399999999999</v>
      </c>
      <c r="BF300" s="149">
        <f t="shared" si="246"/>
        <v>186.06399999999999</v>
      </c>
      <c r="BG300" s="149">
        <f t="shared" si="246"/>
        <v>186.06399999999999</v>
      </c>
      <c r="BH300" s="149">
        <v>224.52799999999999</v>
      </c>
      <c r="BJ300" s="149">
        <v>228.27</v>
      </c>
      <c r="BK300" s="149">
        <v>228.27</v>
      </c>
      <c r="BL300" s="149">
        <f>BK300</f>
        <v>228.27</v>
      </c>
      <c r="BM300" s="149">
        <v>229.798</v>
      </c>
      <c r="BO300" s="282">
        <f t="shared" si="247"/>
        <v>229.798</v>
      </c>
      <c r="BP300" s="152">
        <f t="shared" si="248"/>
        <v>229.798</v>
      </c>
      <c r="BQ300" s="152">
        <v>243.828</v>
      </c>
      <c r="BR300" s="152">
        <v>428.01900000000001</v>
      </c>
      <c r="BS300" s="152"/>
      <c r="BT300" s="286">
        <v>428.892</v>
      </c>
      <c r="BU300" s="149">
        <v>523.88699999999994</v>
      </c>
      <c r="BV300" s="149">
        <v>525.02200000000005</v>
      </c>
      <c r="BW300" s="149">
        <v>524.42499999999995</v>
      </c>
      <c r="BY300" s="149">
        <v>578.30999999999995</v>
      </c>
      <c r="BZ300" s="149">
        <v>578.99300000000005</v>
      </c>
      <c r="CA300" s="149">
        <v>580.59100000000001</v>
      </c>
      <c r="CB300" s="149">
        <f>312.332+107.481</f>
        <v>419.81299999999999</v>
      </c>
      <c r="CD300" s="439">
        <f t="shared" si="251"/>
        <v>419.81299999999999</v>
      </c>
      <c r="CE300" s="439">
        <f t="shared" si="252"/>
        <v>419.81299999999999</v>
      </c>
      <c r="CF300" s="439">
        <f t="shared" si="252"/>
        <v>419.81299999999999</v>
      </c>
      <c r="CG300" s="439">
        <f t="shared" si="252"/>
        <v>419.81299999999999</v>
      </c>
      <c r="CH300" s="439"/>
      <c r="CI300" s="439">
        <f t="shared" si="253"/>
        <v>419.81299999999999</v>
      </c>
      <c r="CJ300" s="439">
        <f t="shared" si="254"/>
        <v>419.81299999999999</v>
      </c>
      <c r="CK300" s="439">
        <f t="shared" si="254"/>
        <v>419.81299999999999</v>
      </c>
      <c r="CL300" s="439">
        <f t="shared" si="254"/>
        <v>419.81299999999999</v>
      </c>
      <c r="CM300" s="439"/>
      <c r="CN300" s="439">
        <f t="shared" si="255"/>
        <v>419.81299999999999</v>
      </c>
      <c r="CO300" s="439">
        <f t="shared" si="256"/>
        <v>419.81299999999999</v>
      </c>
      <c r="CP300" s="439">
        <f t="shared" si="256"/>
        <v>419.81299999999999</v>
      </c>
      <c r="CQ300" s="439">
        <f t="shared" si="256"/>
        <v>419.81299999999999</v>
      </c>
      <c r="CR300" s="439"/>
      <c r="CS300" s="439">
        <f t="shared" si="257"/>
        <v>419.81299999999999</v>
      </c>
      <c r="CT300" s="439">
        <f t="shared" si="258"/>
        <v>419.81299999999999</v>
      </c>
      <c r="CU300" s="439">
        <f t="shared" si="258"/>
        <v>419.81299999999999</v>
      </c>
      <c r="CV300" s="439">
        <f t="shared" si="258"/>
        <v>419.81299999999999</v>
      </c>
      <c r="CW300" s="439"/>
      <c r="CX300" s="439">
        <f t="shared" si="259"/>
        <v>419.81299999999999</v>
      </c>
      <c r="CY300" s="439">
        <f t="shared" si="260"/>
        <v>419.81299999999999</v>
      </c>
      <c r="CZ300" s="439">
        <f t="shared" si="260"/>
        <v>419.81299999999999</v>
      </c>
      <c r="DA300" s="439">
        <f t="shared" si="260"/>
        <v>419.81299999999999</v>
      </c>
      <c r="DC300" s="439">
        <f t="shared" si="261"/>
        <v>419.81299999999999</v>
      </c>
      <c r="DD300" s="439">
        <f t="shared" si="262"/>
        <v>419.81299999999999</v>
      </c>
      <c r="DE300" s="439">
        <f t="shared" si="262"/>
        <v>419.81299999999999</v>
      </c>
      <c r="DF300" s="439">
        <f t="shared" si="262"/>
        <v>419.81299999999999</v>
      </c>
      <c r="DH300" s="439">
        <f t="shared" si="263"/>
        <v>419.81299999999999</v>
      </c>
      <c r="DI300" s="439">
        <f t="shared" si="264"/>
        <v>419.81299999999999</v>
      </c>
      <c r="DJ300" s="439">
        <f t="shared" si="264"/>
        <v>419.81299999999999</v>
      </c>
      <c r="DK300" s="439">
        <f t="shared" si="264"/>
        <v>419.81299999999999</v>
      </c>
      <c r="DM300" s="439">
        <f t="shared" si="265"/>
        <v>419.81299999999999</v>
      </c>
      <c r="DN300" s="439">
        <f t="shared" si="266"/>
        <v>419.81299999999999</v>
      </c>
      <c r="DO300" s="439">
        <f t="shared" si="266"/>
        <v>419.81299999999999</v>
      </c>
      <c r="DP300" s="439">
        <f t="shared" si="266"/>
        <v>419.81299999999999</v>
      </c>
      <c r="DR300" s="439">
        <f t="shared" si="267"/>
        <v>419.81299999999999</v>
      </c>
      <c r="DS300" s="439">
        <f t="shared" si="268"/>
        <v>419.81299999999999</v>
      </c>
      <c r="DT300" s="439">
        <f t="shared" si="268"/>
        <v>419.81299999999999</v>
      </c>
      <c r="DU300" s="439">
        <f t="shared" si="268"/>
        <v>419.81299999999999</v>
      </c>
      <c r="DW300" s="439">
        <f t="shared" si="269"/>
        <v>419.81299999999999</v>
      </c>
      <c r="DX300" s="439">
        <f t="shared" si="270"/>
        <v>419.81299999999999</v>
      </c>
      <c r="DY300" s="439">
        <f t="shared" si="270"/>
        <v>419.81299999999999</v>
      </c>
      <c r="DZ300" s="439">
        <f t="shared" si="270"/>
        <v>419.81299999999999</v>
      </c>
      <c r="EB300" s="439">
        <f t="shared" si="271"/>
        <v>419.81299999999999</v>
      </c>
      <c r="EC300" s="439">
        <f t="shared" si="272"/>
        <v>419.81299999999999</v>
      </c>
      <c r="ED300" s="439">
        <f t="shared" si="272"/>
        <v>419.81299999999999</v>
      </c>
      <c r="EE300" s="439">
        <f t="shared" si="272"/>
        <v>419.81299999999999</v>
      </c>
      <c r="EG300" s="439">
        <f t="shared" si="273"/>
        <v>419.81299999999999</v>
      </c>
      <c r="EH300" s="439">
        <f t="shared" si="274"/>
        <v>419.81299999999999</v>
      </c>
      <c r="EI300" s="439">
        <f t="shared" si="274"/>
        <v>419.81299999999999</v>
      </c>
      <c r="EJ300" s="439">
        <f t="shared" si="274"/>
        <v>419.81299999999999</v>
      </c>
      <c r="EL300" s="439">
        <f t="shared" si="275"/>
        <v>419.81299999999999</v>
      </c>
      <c r="EM300" s="439">
        <f t="shared" si="276"/>
        <v>419.81299999999999</v>
      </c>
      <c r="EN300" s="439">
        <f t="shared" si="276"/>
        <v>419.81299999999999</v>
      </c>
      <c r="EO300" s="439">
        <f t="shared" si="276"/>
        <v>419.81299999999999</v>
      </c>
      <c r="EQ300" s="439">
        <f t="shared" si="277"/>
        <v>419.81299999999999</v>
      </c>
      <c r="ER300" s="439">
        <f t="shared" si="278"/>
        <v>419.81299999999999</v>
      </c>
      <c r="ES300" s="439">
        <f t="shared" si="278"/>
        <v>419.81299999999999</v>
      </c>
      <c r="ET300" s="439">
        <f t="shared" si="278"/>
        <v>419.81299999999999</v>
      </c>
      <c r="EV300" s="439">
        <f t="shared" si="279"/>
        <v>419.81299999999999</v>
      </c>
      <c r="EW300" s="439">
        <f t="shared" si="280"/>
        <v>419.81299999999999</v>
      </c>
      <c r="EX300" s="439">
        <f t="shared" si="280"/>
        <v>419.81299999999999</v>
      </c>
      <c r="EY300" s="439">
        <f t="shared" si="280"/>
        <v>419.81299999999999</v>
      </c>
      <c r="FA300" s="439">
        <f t="shared" si="281"/>
        <v>419.81299999999999</v>
      </c>
      <c r="FB300" s="439">
        <f t="shared" si="282"/>
        <v>419.81299999999999</v>
      </c>
      <c r="FC300" s="439">
        <f t="shared" si="282"/>
        <v>419.81299999999999</v>
      </c>
      <c r="FD300" s="439">
        <f t="shared" si="282"/>
        <v>419.81299999999999</v>
      </c>
      <c r="FF300" s="439">
        <f t="shared" si="283"/>
        <v>419.81299999999999</v>
      </c>
      <c r="FG300" s="439">
        <f t="shared" si="284"/>
        <v>419.81299999999999</v>
      </c>
      <c r="FH300" s="439">
        <f t="shared" si="284"/>
        <v>419.81299999999999</v>
      </c>
      <c r="FI300" s="439">
        <f t="shared" si="284"/>
        <v>419.81299999999999</v>
      </c>
      <c r="FK300" s="439">
        <f t="shared" si="285"/>
        <v>419.81299999999999</v>
      </c>
      <c r="FL300" s="439">
        <f t="shared" si="286"/>
        <v>419.81299999999999</v>
      </c>
      <c r="FM300" s="439">
        <f t="shared" si="286"/>
        <v>419.81299999999999</v>
      </c>
      <c r="FN300" s="439">
        <f t="shared" si="286"/>
        <v>419.81299999999999</v>
      </c>
    </row>
    <row r="301" spans="1:171" hidden="1" outlineLevel="2">
      <c r="A301" s="171" t="s">
        <v>540</v>
      </c>
      <c r="AD301" s="148"/>
      <c r="AE301" s="148"/>
      <c r="AF301" s="148"/>
      <c r="AI301" s="149">
        <v>33.161000000000001</v>
      </c>
      <c r="AK301" s="149">
        <v>38.177999999999997</v>
      </c>
      <c r="AL301" s="149">
        <v>43.497999999999998</v>
      </c>
      <c r="AM301" s="149">
        <v>48.506</v>
      </c>
      <c r="AN301" s="149">
        <v>52.872</v>
      </c>
      <c r="AP301" s="149">
        <v>57.17</v>
      </c>
      <c r="AQ301" s="149">
        <v>61.588000000000001</v>
      </c>
      <c r="AR301" s="149">
        <v>65.769000000000005</v>
      </c>
      <c r="AS301" s="149">
        <v>69.805000000000007</v>
      </c>
      <c r="AU301" s="149">
        <f>AS301</f>
        <v>69.805000000000007</v>
      </c>
      <c r="AV301" s="211">
        <v>77.823999999999998</v>
      </c>
      <c r="AW301" s="211">
        <v>81.915000000000006</v>
      </c>
      <c r="AX301" s="211">
        <v>89.644000000000005</v>
      </c>
      <c r="AY301" s="211"/>
      <c r="AZ301" s="149">
        <v>96.608999999999995</v>
      </c>
      <c r="BA301" s="149">
        <v>102.218</v>
      </c>
      <c r="BB301" s="149">
        <v>107.89100000000001</v>
      </c>
      <c r="BC301" s="149">
        <f>BB301</f>
        <v>107.89100000000001</v>
      </c>
      <c r="BE301" s="149">
        <f t="shared" si="245"/>
        <v>107.89100000000001</v>
      </c>
      <c r="BF301" s="149">
        <f t="shared" si="246"/>
        <v>107.89100000000001</v>
      </c>
      <c r="BG301" s="149">
        <f t="shared" si="246"/>
        <v>107.89100000000001</v>
      </c>
      <c r="BH301" s="149">
        <v>77.480999999999995</v>
      </c>
      <c r="BJ301" s="149">
        <v>85.823999999999998</v>
      </c>
      <c r="BK301" s="149">
        <v>100</v>
      </c>
      <c r="BL301" s="149">
        <f>BK301</f>
        <v>100</v>
      </c>
      <c r="BM301" s="149">
        <v>109.34</v>
      </c>
      <c r="BO301" s="282">
        <f t="shared" si="247"/>
        <v>109.34</v>
      </c>
      <c r="BP301" s="152">
        <f t="shared" si="248"/>
        <v>109.34</v>
      </c>
      <c r="BQ301" s="152">
        <v>131.18600000000001</v>
      </c>
      <c r="BR301" s="152">
        <v>139.274</v>
      </c>
      <c r="BS301" s="152"/>
      <c r="BT301" s="286">
        <v>150.131</v>
      </c>
      <c r="BU301" s="149">
        <v>165.751</v>
      </c>
      <c r="BV301" s="149">
        <v>181.18299999999999</v>
      </c>
      <c r="BW301" s="149">
        <v>198.28899999999999</v>
      </c>
      <c r="BY301" s="149">
        <v>214.91499999999999</v>
      </c>
      <c r="BZ301" s="149">
        <v>198.28899999999999</v>
      </c>
      <c r="CA301" s="149">
        <v>198.28899999999999</v>
      </c>
      <c r="CB301" s="149">
        <f t="shared" si="250"/>
        <v>198.28899999999999</v>
      </c>
      <c r="CD301" s="439">
        <f t="shared" si="251"/>
        <v>198.28899999999999</v>
      </c>
      <c r="CE301" s="439">
        <f t="shared" si="252"/>
        <v>198.28899999999999</v>
      </c>
      <c r="CF301" s="439">
        <f t="shared" si="252"/>
        <v>198.28899999999999</v>
      </c>
      <c r="CG301" s="439">
        <f t="shared" si="252"/>
        <v>198.28899999999999</v>
      </c>
      <c r="CH301" s="439"/>
      <c r="CI301" s="439">
        <f t="shared" si="253"/>
        <v>198.28899999999999</v>
      </c>
      <c r="CJ301" s="439">
        <f t="shared" si="254"/>
        <v>198.28899999999999</v>
      </c>
      <c r="CK301" s="439">
        <f t="shared" si="254"/>
        <v>198.28899999999999</v>
      </c>
      <c r="CL301" s="439">
        <f t="shared" si="254"/>
        <v>198.28899999999999</v>
      </c>
      <c r="CM301" s="439"/>
      <c r="CN301" s="439">
        <f t="shared" si="255"/>
        <v>198.28899999999999</v>
      </c>
      <c r="CO301" s="439">
        <f t="shared" si="256"/>
        <v>198.28899999999999</v>
      </c>
      <c r="CP301" s="439">
        <f t="shared" si="256"/>
        <v>198.28899999999999</v>
      </c>
      <c r="CQ301" s="439">
        <f t="shared" si="256"/>
        <v>198.28899999999999</v>
      </c>
      <c r="CR301" s="439"/>
      <c r="CS301" s="439">
        <f t="shared" si="257"/>
        <v>198.28899999999999</v>
      </c>
      <c r="CT301" s="439">
        <f t="shared" si="258"/>
        <v>198.28899999999999</v>
      </c>
      <c r="CU301" s="439">
        <f t="shared" si="258"/>
        <v>198.28899999999999</v>
      </c>
      <c r="CV301" s="439">
        <f t="shared" si="258"/>
        <v>198.28899999999999</v>
      </c>
      <c r="CW301" s="439"/>
      <c r="CX301" s="439">
        <f t="shared" si="259"/>
        <v>198.28899999999999</v>
      </c>
      <c r="CY301" s="439">
        <f t="shared" si="260"/>
        <v>198.28899999999999</v>
      </c>
      <c r="CZ301" s="439">
        <f t="shared" si="260"/>
        <v>198.28899999999999</v>
      </c>
      <c r="DA301" s="439">
        <f t="shared" si="260"/>
        <v>198.28899999999999</v>
      </c>
      <c r="DC301" s="439">
        <f t="shared" si="261"/>
        <v>198.28899999999999</v>
      </c>
      <c r="DD301" s="439">
        <f t="shared" si="262"/>
        <v>198.28899999999999</v>
      </c>
      <c r="DE301" s="439">
        <f t="shared" si="262"/>
        <v>198.28899999999999</v>
      </c>
      <c r="DF301" s="439">
        <f t="shared" si="262"/>
        <v>198.28899999999999</v>
      </c>
      <c r="DH301" s="439">
        <f t="shared" si="263"/>
        <v>198.28899999999999</v>
      </c>
      <c r="DI301" s="439">
        <f t="shared" si="264"/>
        <v>198.28899999999999</v>
      </c>
      <c r="DJ301" s="439">
        <f t="shared" si="264"/>
        <v>198.28899999999999</v>
      </c>
      <c r="DK301" s="439">
        <f t="shared" si="264"/>
        <v>198.28899999999999</v>
      </c>
      <c r="DM301" s="439">
        <f t="shared" si="265"/>
        <v>198.28899999999999</v>
      </c>
      <c r="DN301" s="439">
        <f t="shared" si="266"/>
        <v>198.28899999999999</v>
      </c>
      <c r="DO301" s="439">
        <f t="shared" si="266"/>
        <v>198.28899999999999</v>
      </c>
      <c r="DP301" s="439">
        <f t="shared" si="266"/>
        <v>198.28899999999999</v>
      </c>
      <c r="DR301" s="439">
        <f t="shared" si="267"/>
        <v>198.28899999999999</v>
      </c>
      <c r="DS301" s="439">
        <f t="shared" si="268"/>
        <v>198.28899999999999</v>
      </c>
      <c r="DT301" s="439">
        <f t="shared" si="268"/>
        <v>198.28899999999999</v>
      </c>
      <c r="DU301" s="439">
        <f t="shared" si="268"/>
        <v>198.28899999999999</v>
      </c>
      <c r="DW301" s="439">
        <f t="shared" si="269"/>
        <v>198.28899999999999</v>
      </c>
      <c r="DX301" s="439">
        <f t="shared" si="270"/>
        <v>198.28899999999999</v>
      </c>
      <c r="DY301" s="439">
        <f t="shared" si="270"/>
        <v>198.28899999999999</v>
      </c>
      <c r="DZ301" s="439">
        <f t="shared" si="270"/>
        <v>198.28899999999999</v>
      </c>
      <c r="EB301" s="439">
        <f t="shared" si="271"/>
        <v>198.28899999999999</v>
      </c>
      <c r="EC301" s="439">
        <f t="shared" si="272"/>
        <v>198.28899999999999</v>
      </c>
      <c r="ED301" s="439">
        <f t="shared" si="272"/>
        <v>198.28899999999999</v>
      </c>
      <c r="EE301" s="439">
        <f t="shared" si="272"/>
        <v>198.28899999999999</v>
      </c>
      <c r="EG301" s="439">
        <f t="shared" si="273"/>
        <v>198.28899999999999</v>
      </c>
      <c r="EH301" s="439">
        <f t="shared" si="274"/>
        <v>198.28899999999999</v>
      </c>
      <c r="EI301" s="439">
        <f t="shared" si="274"/>
        <v>198.28899999999999</v>
      </c>
      <c r="EJ301" s="439">
        <f t="shared" si="274"/>
        <v>198.28899999999999</v>
      </c>
      <c r="EL301" s="439">
        <f t="shared" si="275"/>
        <v>198.28899999999999</v>
      </c>
      <c r="EM301" s="439">
        <f t="shared" si="276"/>
        <v>198.28899999999999</v>
      </c>
      <c r="EN301" s="439">
        <f t="shared" si="276"/>
        <v>198.28899999999999</v>
      </c>
      <c r="EO301" s="439">
        <f t="shared" si="276"/>
        <v>198.28899999999999</v>
      </c>
      <c r="EQ301" s="439">
        <f t="shared" si="277"/>
        <v>198.28899999999999</v>
      </c>
      <c r="ER301" s="439">
        <f t="shared" si="278"/>
        <v>198.28899999999999</v>
      </c>
      <c r="ES301" s="439">
        <f t="shared" si="278"/>
        <v>198.28899999999999</v>
      </c>
      <c r="ET301" s="439">
        <f t="shared" si="278"/>
        <v>198.28899999999999</v>
      </c>
      <c r="EV301" s="439">
        <f t="shared" si="279"/>
        <v>198.28899999999999</v>
      </c>
      <c r="EW301" s="439">
        <f t="shared" si="280"/>
        <v>198.28899999999999</v>
      </c>
      <c r="EX301" s="439">
        <f t="shared" si="280"/>
        <v>198.28899999999999</v>
      </c>
      <c r="EY301" s="439">
        <f t="shared" si="280"/>
        <v>198.28899999999999</v>
      </c>
      <c r="FA301" s="439">
        <f t="shared" si="281"/>
        <v>198.28899999999999</v>
      </c>
      <c r="FB301" s="439">
        <f t="shared" si="282"/>
        <v>198.28899999999999</v>
      </c>
      <c r="FC301" s="439">
        <f t="shared" si="282"/>
        <v>198.28899999999999</v>
      </c>
      <c r="FD301" s="439">
        <f t="shared" si="282"/>
        <v>198.28899999999999</v>
      </c>
      <c r="FF301" s="439">
        <f t="shared" si="283"/>
        <v>198.28899999999999</v>
      </c>
      <c r="FG301" s="439">
        <f t="shared" si="284"/>
        <v>198.28899999999999</v>
      </c>
      <c r="FH301" s="439">
        <f t="shared" si="284"/>
        <v>198.28899999999999</v>
      </c>
      <c r="FI301" s="439">
        <f t="shared" si="284"/>
        <v>198.28899999999999</v>
      </c>
      <c r="FK301" s="439">
        <f t="shared" si="285"/>
        <v>198.28899999999999</v>
      </c>
      <c r="FL301" s="439">
        <f t="shared" si="286"/>
        <v>198.28899999999999</v>
      </c>
      <c r="FM301" s="439">
        <f t="shared" si="286"/>
        <v>198.28899999999999</v>
      </c>
      <c r="FN301" s="439">
        <f t="shared" si="286"/>
        <v>198.28899999999999</v>
      </c>
    </row>
    <row r="302" spans="1:171" hidden="1" outlineLevel="2">
      <c r="AD302" s="148"/>
      <c r="AE302" s="148"/>
      <c r="AF302" s="148"/>
      <c r="AN302" s="149" t="s">
        <v>541</v>
      </c>
      <c r="AP302" s="207"/>
      <c r="AQ302" s="207"/>
      <c r="AR302" s="207"/>
      <c r="AS302" s="207"/>
      <c r="AT302" s="207"/>
      <c r="AU302" s="207"/>
      <c r="AV302" s="440"/>
      <c r="AW302" s="211"/>
      <c r="BO302" s="282"/>
      <c r="BP302" s="152"/>
      <c r="BQ302" s="152"/>
      <c r="BR302" s="152"/>
      <c r="BS302" s="152"/>
      <c r="BT302" s="286"/>
    </row>
    <row r="303" spans="1:171" hidden="1" outlineLevel="2">
      <c r="A303" s="171" t="s">
        <v>542</v>
      </c>
      <c r="AD303" s="148">
        <v>0.158</v>
      </c>
      <c r="AE303" s="148"/>
      <c r="AF303" s="148">
        <v>0.159</v>
      </c>
      <c r="AG303" s="149">
        <v>0.161</v>
      </c>
      <c r="AH303" s="149">
        <v>0.16200000000000001</v>
      </c>
      <c r="AI303" s="149">
        <v>0.16400000000000001</v>
      </c>
      <c r="AK303" s="149">
        <v>0.16600000000000001</v>
      </c>
      <c r="AL303" s="149">
        <v>0.16700000000000001</v>
      </c>
      <c r="AM303" s="149">
        <v>0.16800000000000001</v>
      </c>
      <c r="AN303" s="149">
        <v>0.16900000000000001</v>
      </c>
      <c r="AP303" s="207">
        <v>0.17299999999999999</v>
      </c>
      <c r="AQ303" s="207">
        <v>0.17399999999999999</v>
      </c>
      <c r="AR303" s="207">
        <v>0.17799999999999999</v>
      </c>
      <c r="AS303" s="207">
        <v>0.18</v>
      </c>
      <c r="AT303" s="207"/>
      <c r="AU303" s="207">
        <v>0.371</v>
      </c>
      <c r="AV303" s="440">
        <v>0.373</v>
      </c>
      <c r="AW303" s="441">
        <v>0.38</v>
      </c>
      <c r="AX303" s="441">
        <v>0.38800000000000001</v>
      </c>
      <c r="AY303" s="441"/>
      <c r="AZ303" s="177">
        <v>0.39300000000000002</v>
      </c>
      <c r="BA303" s="177">
        <v>0.40200000000000002</v>
      </c>
      <c r="BB303" s="177">
        <v>0.61499999999999999</v>
      </c>
      <c r="BC303" s="177">
        <f>BB303</f>
        <v>0.61499999999999999</v>
      </c>
      <c r="BD303" s="177"/>
      <c r="BE303" s="177">
        <f>BC303</f>
        <v>0.61499999999999999</v>
      </c>
      <c r="BF303" s="177">
        <f>BE303</f>
        <v>0.61499999999999999</v>
      </c>
      <c r="BG303" s="177">
        <v>0.629</v>
      </c>
      <c r="BH303" s="177">
        <v>0.629</v>
      </c>
      <c r="BI303" s="177"/>
      <c r="BJ303" s="177">
        <v>0.63600000000000001</v>
      </c>
      <c r="BK303" s="177">
        <v>0.63600000000000001</v>
      </c>
      <c r="BL303" s="177">
        <f>BK303</f>
        <v>0.63600000000000001</v>
      </c>
      <c r="BM303" s="177">
        <v>0.65300000000000002</v>
      </c>
      <c r="BN303" s="177"/>
      <c r="BO303" s="282">
        <f>BM303</f>
        <v>0.65300000000000002</v>
      </c>
      <c r="BP303" s="152">
        <f>BO303</f>
        <v>0.65300000000000002</v>
      </c>
      <c r="BQ303" s="152">
        <v>0.67100000000000004</v>
      </c>
      <c r="BR303" s="152">
        <v>0.67700000000000005</v>
      </c>
      <c r="BS303" s="152"/>
      <c r="BT303" s="442">
        <v>0.68799999999999994</v>
      </c>
      <c r="BU303" s="177">
        <v>0.69099999999999995</v>
      </c>
      <c r="BV303" s="177">
        <v>0.69799999999999995</v>
      </c>
      <c r="BW303" s="177">
        <v>0.7</v>
      </c>
      <c r="BX303" s="177"/>
      <c r="BY303" s="177">
        <v>0.70699999999999996</v>
      </c>
      <c r="BZ303" s="177">
        <v>0.71299999999999997</v>
      </c>
      <c r="CA303" s="177">
        <v>0.71899999999999997</v>
      </c>
      <c r="CB303" s="177">
        <v>0.72</v>
      </c>
      <c r="CC303" s="177"/>
      <c r="CD303" s="443">
        <f>CB303</f>
        <v>0.72</v>
      </c>
      <c r="CE303" s="443">
        <f t="shared" ref="CE303:CL306" si="287">CD303</f>
        <v>0.72</v>
      </c>
      <c r="CF303" s="443">
        <f t="shared" si="287"/>
        <v>0.72</v>
      </c>
      <c r="CG303" s="443">
        <f t="shared" si="287"/>
        <v>0.72</v>
      </c>
      <c r="CH303" s="443"/>
      <c r="CI303" s="443">
        <f>CG303</f>
        <v>0.72</v>
      </c>
      <c r="CJ303" s="443">
        <f t="shared" si="287"/>
        <v>0.72</v>
      </c>
      <c r="CK303" s="443">
        <f t="shared" si="287"/>
        <v>0.72</v>
      </c>
      <c r="CL303" s="443">
        <f t="shared" si="287"/>
        <v>0.72</v>
      </c>
      <c r="CM303" s="443"/>
      <c r="CN303" s="443">
        <f>CL303</f>
        <v>0.72</v>
      </c>
      <c r="CO303" s="443">
        <f t="shared" ref="CO303:CQ306" si="288">CN303</f>
        <v>0.72</v>
      </c>
      <c r="CP303" s="443">
        <f t="shared" si="288"/>
        <v>0.72</v>
      </c>
      <c r="CQ303" s="443">
        <f t="shared" si="288"/>
        <v>0.72</v>
      </c>
      <c r="CR303" s="443"/>
      <c r="CS303" s="443">
        <f>CQ303</f>
        <v>0.72</v>
      </c>
      <c r="CT303" s="443">
        <f t="shared" ref="CT303:CV306" si="289">CS303</f>
        <v>0.72</v>
      </c>
      <c r="CU303" s="443">
        <f t="shared" si="289"/>
        <v>0.72</v>
      </c>
      <c r="CV303" s="443">
        <f t="shared" si="289"/>
        <v>0.72</v>
      </c>
      <c r="CW303" s="443"/>
      <c r="CX303" s="443">
        <f>CV303</f>
        <v>0.72</v>
      </c>
      <c r="CY303" s="443">
        <f t="shared" ref="CY303:DA306" si="290">CX303</f>
        <v>0.72</v>
      </c>
      <c r="CZ303" s="443">
        <f t="shared" si="290"/>
        <v>0.72</v>
      </c>
      <c r="DA303" s="443">
        <f t="shared" si="290"/>
        <v>0.72</v>
      </c>
      <c r="DC303" s="443">
        <f>DA303</f>
        <v>0.72</v>
      </c>
      <c r="DD303" s="443">
        <f t="shared" ref="DD303:DF306" si="291">DC303</f>
        <v>0.72</v>
      </c>
      <c r="DE303" s="443">
        <f t="shared" si="291"/>
        <v>0.72</v>
      </c>
      <c r="DF303" s="443">
        <f t="shared" si="291"/>
        <v>0.72</v>
      </c>
      <c r="DH303" s="443">
        <f>DF303</f>
        <v>0.72</v>
      </c>
      <c r="DI303" s="443">
        <f t="shared" ref="DI303:DK306" si="292">DH303</f>
        <v>0.72</v>
      </c>
      <c r="DJ303" s="443">
        <f t="shared" si="292"/>
        <v>0.72</v>
      </c>
      <c r="DK303" s="443">
        <f t="shared" si="292"/>
        <v>0.72</v>
      </c>
      <c r="DM303" s="443">
        <f>DK303</f>
        <v>0.72</v>
      </c>
      <c r="DN303" s="443">
        <f t="shared" ref="DN303:DP306" si="293">DM303</f>
        <v>0.72</v>
      </c>
      <c r="DO303" s="443">
        <f t="shared" si="293"/>
        <v>0.72</v>
      </c>
      <c r="DP303" s="443">
        <f t="shared" si="293"/>
        <v>0.72</v>
      </c>
      <c r="DR303" s="443">
        <f>DP303</f>
        <v>0.72</v>
      </c>
      <c r="DS303" s="443">
        <f t="shared" ref="DS303:DU306" si="294">DR303</f>
        <v>0.72</v>
      </c>
      <c r="DT303" s="443">
        <f t="shared" si="294"/>
        <v>0.72</v>
      </c>
      <c r="DU303" s="443">
        <f t="shared" si="294"/>
        <v>0.72</v>
      </c>
      <c r="DW303" s="443">
        <f>DU303</f>
        <v>0.72</v>
      </c>
      <c r="DX303" s="443">
        <f t="shared" ref="DX303:DZ306" si="295">DW303</f>
        <v>0.72</v>
      </c>
      <c r="DY303" s="443">
        <f t="shared" si="295"/>
        <v>0.72</v>
      </c>
      <c r="DZ303" s="443">
        <f t="shared" si="295"/>
        <v>0.72</v>
      </c>
      <c r="EB303" s="443">
        <f>DZ303</f>
        <v>0.72</v>
      </c>
      <c r="EC303" s="443">
        <f t="shared" ref="EC303:EE306" si="296">EB303</f>
        <v>0.72</v>
      </c>
      <c r="ED303" s="443">
        <f t="shared" si="296"/>
        <v>0.72</v>
      </c>
      <c r="EE303" s="443">
        <f t="shared" si="296"/>
        <v>0.72</v>
      </c>
      <c r="EG303" s="443">
        <f>EE303</f>
        <v>0.72</v>
      </c>
      <c r="EH303" s="443">
        <f t="shared" ref="EH303:EJ306" si="297">EG303</f>
        <v>0.72</v>
      </c>
      <c r="EI303" s="443">
        <f t="shared" si="297"/>
        <v>0.72</v>
      </c>
      <c r="EJ303" s="443">
        <f t="shared" si="297"/>
        <v>0.72</v>
      </c>
      <c r="EL303" s="443">
        <f>EJ303</f>
        <v>0.72</v>
      </c>
      <c r="EM303" s="443">
        <f t="shared" ref="EM303:EO306" si="298">EL303</f>
        <v>0.72</v>
      </c>
      <c r="EN303" s="443">
        <f t="shared" si="298"/>
        <v>0.72</v>
      </c>
      <c r="EO303" s="443">
        <f t="shared" si="298"/>
        <v>0.72</v>
      </c>
      <c r="EQ303" s="443">
        <f>EO303</f>
        <v>0.72</v>
      </c>
      <c r="ER303" s="443">
        <f t="shared" ref="ER303:ET306" si="299">EQ303</f>
        <v>0.72</v>
      </c>
      <c r="ES303" s="443">
        <f t="shared" si="299"/>
        <v>0.72</v>
      </c>
      <c r="ET303" s="443">
        <f t="shared" si="299"/>
        <v>0.72</v>
      </c>
      <c r="EV303" s="443">
        <f>ET303</f>
        <v>0.72</v>
      </c>
      <c r="EW303" s="443">
        <f t="shared" ref="EW303:EY306" si="300">EV303</f>
        <v>0.72</v>
      </c>
      <c r="EX303" s="443">
        <f t="shared" si="300"/>
        <v>0.72</v>
      </c>
      <c r="EY303" s="443">
        <f t="shared" si="300"/>
        <v>0.72</v>
      </c>
      <c r="FA303" s="443">
        <f>EY303</f>
        <v>0.72</v>
      </c>
      <c r="FB303" s="443">
        <f t="shared" ref="FB303:FD306" si="301">FA303</f>
        <v>0.72</v>
      </c>
      <c r="FC303" s="443">
        <f t="shared" si="301"/>
        <v>0.72</v>
      </c>
      <c r="FD303" s="443">
        <f t="shared" si="301"/>
        <v>0.72</v>
      </c>
      <c r="FF303" s="443">
        <f>FD303</f>
        <v>0.72</v>
      </c>
      <c r="FG303" s="443">
        <f t="shared" ref="FG303:FI306" si="302">FF303</f>
        <v>0.72</v>
      </c>
      <c r="FH303" s="443">
        <f t="shared" si="302"/>
        <v>0.72</v>
      </c>
      <c r="FI303" s="443">
        <f t="shared" si="302"/>
        <v>0.72</v>
      </c>
      <c r="FK303" s="443">
        <f>FI303</f>
        <v>0.72</v>
      </c>
      <c r="FL303" s="443">
        <f t="shared" ref="FL303:FN306" si="303">FK303</f>
        <v>0.72</v>
      </c>
      <c r="FM303" s="443">
        <f t="shared" si="303"/>
        <v>0.72</v>
      </c>
      <c r="FN303" s="443">
        <f t="shared" si="303"/>
        <v>0.72</v>
      </c>
    </row>
    <row r="304" spans="1:171" hidden="1" outlineLevel="2">
      <c r="A304" s="171" t="s">
        <v>543</v>
      </c>
      <c r="AD304" s="148">
        <v>531.03</v>
      </c>
      <c r="AE304" s="148"/>
      <c r="AF304" s="148">
        <v>539.03099999999995</v>
      </c>
      <c r="AG304" s="149">
        <v>551.06700000000001</v>
      </c>
      <c r="AH304" s="149">
        <v>567.18600000000004</v>
      </c>
      <c r="AI304" s="149">
        <v>583.48099999999999</v>
      </c>
      <c r="AK304" s="149">
        <v>598.66</v>
      </c>
      <c r="AL304" s="149">
        <v>603.01400000000001</v>
      </c>
      <c r="AM304" s="149">
        <f>613.326-24.644</f>
        <v>588.68200000000002</v>
      </c>
      <c r="AN304" s="149">
        <f>636.618-24.644</f>
        <v>611.97400000000005</v>
      </c>
      <c r="AP304" s="149">
        <f>672.102-72.1</f>
        <v>600.00199999999995</v>
      </c>
      <c r="AQ304" s="149">
        <f>691.914-122.142</f>
        <v>569.77199999999993</v>
      </c>
      <c r="AR304" s="149">
        <f>740.665-162.142</f>
        <v>578.52299999999991</v>
      </c>
      <c r="AS304" s="149">
        <f>798.251-212.142</f>
        <v>586.10899999999992</v>
      </c>
      <c r="AU304" s="149">
        <f>1073.047-262.142</f>
        <v>810.90499999999997</v>
      </c>
      <c r="AV304" s="211">
        <f>1117.121-387.12</f>
        <v>730.00100000000009</v>
      </c>
      <c r="AW304" s="211">
        <f>1200.723-387.12</f>
        <v>813.60299999999995</v>
      </c>
      <c r="AX304" s="211">
        <f>1295.65-487.12</f>
        <v>808.53000000000009</v>
      </c>
      <c r="AY304" s="211"/>
      <c r="AZ304" s="177">
        <f>1377.513-612.12</f>
        <v>765.39299999999992</v>
      </c>
      <c r="BA304" s="177">
        <f>1493.24-736.506</f>
        <v>756.73400000000004</v>
      </c>
      <c r="BB304" s="177">
        <f>1598.291-861.547</f>
        <v>736.74399999999991</v>
      </c>
      <c r="BC304" s="177">
        <f>BB304</f>
        <v>736.74399999999991</v>
      </c>
      <c r="BD304" s="177"/>
      <c r="BE304" s="177">
        <f>BC304</f>
        <v>736.74399999999991</v>
      </c>
      <c r="BF304" s="177">
        <f>BE304</f>
        <v>736.74399999999991</v>
      </c>
      <c r="BG304" s="177">
        <f>1841.85-1463.268</f>
        <v>378.58199999999988</v>
      </c>
      <c r="BH304" s="177">
        <f>1889.257-1463.268</f>
        <v>425.98900000000003</v>
      </c>
      <c r="BI304" s="177"/>
      <c r="BJ304" s="177">
        <f>2013.746-1463.268</f>
        <v>550.47800000000007</v>
      </c>
      <c r="BK304" s="177">
        <f>484-0.058</f>
        <v>483.94200000000001</v>
      </c>
      <c r="BL304" s="177">
        <f>BK304</f>
        <v>483.94200000000001</v>
      </c>
      <c r="BM304" s="177">
        <f>2219.401-1463.268</f>
        <v>756.13299999999981</v>
      </c>
      <c r="BN304" s="177"/>
      <c r="BO304" s="282">
        <f>BM304-46.418</f>
        <v>709.7149999999998</v>
      </c>
      <c r="BP304" s="152">
        <f>BO304+7.83374+4.34926</f>
        <v>721.8979999999998</v>
      </c>
      <c r="BQ304" s="152">
        <f>-1479.392+2386.257</f>
        <v>906.86500000000001</v>
      </c>
      <c r="BR304" s="152">
        <f>2500.577-1479.392</f>
        <v>1021.1850000000002</v>
      </c>
      <c r="BS304" s="152"/>
      <c r="BT304" s="442">
        <f>2638.531-1487.079</f>
        <v>1151.452</v>
      </c>
      <c r="BU304" s="177">
        <f>2725.317-1487.093</f>
        <v>1238.2239999999999</v>
      </c>
      <c r="BV304" s="177">
        <f>2846.266-1496.904</f>
        <v>1349.3620000000001</v>
      </c>
      <c r="BW304" s="177">
        <f>2900.896-1496.904</f>
        <v>1403.9920000000002</v>
      </c>
      <c r="BX304" s="177"/>
      <c r="BY304" s="177">
        <f>2994.507-1509.088</f>
        <v>1485.4190000000001</v>
      </c>
      <c r="BZ304" s="177">
        <f>3040.979-1509.087</f>
        <v>1531.8919999999998</v>
      </c>
      <c r="CA304" s="177">
        <v>3114.9949999999999</v>
      </c>
      <c r="CB304" s="177">
        <f>3193.623-1622.709</f>
        <v>1570.914</v>
      </c>
      <c r="CC304" s="177"/>
      <c r="CD304" s="443">
        <f>CB304</f>
        <v>1570.914</v>
      </c>
      <c r="CE304" s="443">
        <f t="shared" si="287"/>
        <v>1570.914</v>
      </c>
      <c r="CF304" s="443">
        <f t="shared" si="287"/>
        <v>1570.914</v>
      </c>
      <c r="CG304" s="443">
        <f t="shared" si="287"/>
        <v>1570.914</v>
      </c>
      <c r="CH304" s="443"/>
      <c r="CI304" s="443">
        <f>CG304</f>
        <v>1570.914</v>
      </c>
      <c r="CJ304" s="443">
        <f t="shared" si="287"/>
        <v>1570.914</v>
      </c>
      <c r="CK304" s="443">
        <f t="shared" si="287"/>
        <v>1570.914</v>
      </c>
      <c r="CL304" s="443">
        <f t="shared" si="287"/>
        <v>1570.914</v>
      </c>
      <c r="CM304" s="443"/>
      <c r="CN304" s="443">
        <f>CL304</f>
        <v>1570.914</v>
      </c>
      <c r="CO304" s="443">
        <f t="shared" si="288"/>
        <v>1570.914</v>
      </c>
      <c r="CP304" s="443">
        <f t="shared" si="288"/>
        <v>1570.914</v>
      </c>
      <c r="CQ304" s="443">
        <f t="shared" si="288"/>
        <v>1570.914</v>
      </c>
      <c r="CR304" s="443"/>
      <c r="CS304" s="443">
        <f>CQ304</f>
        <v>1570.914</v>
      </c>
      <c r="CT304" s="443">
        <f t="shared" si="289"/>
        <v>1570.914</v>
      </c>
      <c r="CU304" s="443">
        <f t="shared" si="289"/>
        <v>1570.914</v>
      </c>
      <c r="CV304" s="443">
        <f t="shared" si="289"/>
        <v>1570.914</v>
      </c>
      <c r="CW304" s="443"/>
      <c r="CX304" s="443">
        <f>CV304</f>
        <v>1570.914</v>
      </c>
      <c r="CY304" s="443">
        <f t="shared" si="290"/>
        <v>1570.914</v>
      </c>
      <c r="CZ304" s="443">
        <f t="shared" si="290"/>
        <v>1570.914</v>
      </c>
      <c r="DA304" s="443">
        <f t="shared" si="290"/>
        <v>1570.914</v>
      </c>
      <c r="DC304" s="443">
        <f>DA304</f>
        <v>1570.914</v>
      </c>
      <c r="DD304" s="443">
        <f t="shared" si="291"/>
        <v>1570.914</v>
      </c>
      <c r="DE304" s="443">
        <f t="shared" si="291"/>
        <v>1570.914</v>
      </c>
      <c r="DF304" s="443">
        <f t="shared" si="291"/>
        <v>1570.914</v>
      </c>
      <c r="DH304" s="443">
        <f>DF304</f>
        <v>1570.914</v>
      </c>
      <c r="DI304" s="443">
        <f t="shared" si="292"/>
        <v>1570.914</v>
      </c>
      <c r="DJ304" s="443">
        <f t="shared" si="292"/>
        <v>1570.914</v>
      </c>
      <c r="DK304" s="443">
        <f t="shared" si="292"/>
        <v>1570.914</v>
      </c>
      <c r="DM304" s="443">
        <f>DK304</f>
        <v>1570.914</v>
      </c>
      <c r="DN304" s="443">
        <f t="shared" si="293"/>
        <v>1570.914</v>
      </c>
      <c r="DO304" s="443">
        <f t="shared" si="293"/>
        <v>1570.914</v>
      </c>
      <c r="DP304" s="443">
        <f t="shared" si="293"/>
        <v>1570.914</v>
      </c>
      <c r="DR304" s="443">
        <f>DP304</f>
        <v>1570.914</v>
      </c>
      <c r="DS304" s="443">
        <f t="shared" si="294"/>
        <v>1570.914</v>
      </c>
      <c r="DT304" s="443">
        <f t="shared" si="294"/>
        <v>1570.914</v>
      </c>
      <c r="DU304" s="443">
        <f t="shared" si="294"/>
        <v>1570.914</v>
      </c>
      <c r="DW304" s="443">
        <f>DU304</f>
        <v>1570.914</v>
      </c>
      <c r="DX304" s="443">
        <f t="shared" si="295"/>
        <v>1570.914</v>
      </c>
      <c r="DY304" s="443">
        <f t="shared" si="295"/>
        <v>1570.914</v>
      </c>
      <c r="DZ304" s="443">
        <f t="shared" si="295"/>
        <v>1570.914</v>
      </c>
      <c r="EB304" s="443">
        <f>DZ304</f>
        <v>1570.914</v>
      </c>
      <c r="EC304" s="443">
        <f t="shared" si="296"/>
        <v>1570.914</v>
      </c>
      <c r="ED304" s="443">
        <f t="shared" si="296"/>
        <v>1570.914</v>
      </c>
      <c r="EE304" s="443">
        <f t="shared" si="296"/>
        <v>1570.914</v>
      </c>
      <c r="EG304" s="443">
        <f>EE304</f>
        <v>1570.914</v>
      </c>
      <c r="EH304" s="443">
        <f t="shared" si="297"/>
        <v>1570.914</v>
      </c>
      <c r="EI304" s="443">
        <f t="shared" si="297"/>
        <v>1570.914</v>
      </c>
      <c r="EJ304" s="443">
        <f t="shared" si="297"/>
        <v>1570.914</v>
      </c>
      <c r="EL304" s="443">
        <f>EJ304</f>
        <v>1570.914</v>
      </c>
      <c r="EM304" s="443">
        <f t="shared" si="298"/>
        <v>1570.914</v>
      </c>
      <c r="EN304" s="443">
        <f t="shared" si="298"/>
        <v>1570.914</v>
      </c>
      <c r="EO304" s="443">
        <f t="shared" si="298"/>
        <v>1570.914</v>
      </c>
      <c r="EQ304" s="443">
        <f>EO304</f>
        <v>1570.914</v>
      </c>
      <c r="ER304" s="443">
        <f t="shared" si="299"/>
        <v>1570.914</v>
      </c>
      <c r="ES304" s="443">
        <f t="shared" si="299"/>
        <v>1570.914</v>
      </c>
      <c r="ET304" s="443">
        <f t="shared" si="299"/>
        <v>1570.914</v>
      </c>
      <c r="EV304" s="443">
        <f>ET304</f>
        <v>1570.914</v>
      </c>
      <c r="EW304" s="443">
        <f t="shared" si="300"/>
        <v>1570.914</v>
      </c>
      <c r="EX304" s="443">
        <f t="shared" si="300"/>
        <v>1570.914</v>
      </c>
      <c r="EY304" s="443">
        <f t="shared" si="300"/>
        <v>1570.914</v>
      </c>
      <c r="FA304" s="443">
        <f>EY304</f>
        <v>1570.914</v>
      </c>
      <c r="FB304" s="443">
        <f t="shared" si="301"/>
        <v>1570.914</v>
      </c>
      <c r="FC304" s="443">
        <f t="shared" si="301"/>
        <v>1570.914</v>
      </c>
      <c r="FD304" s="443">
        <f t="shared" si="301"/>
        <v>1570.914</v>
      </c>
      <c r="FF304" s="443">
        <f>FD304</f>
        <v>1570.914</v>
      </c>
      <c r="FG304" s="443">
        <f t="shared" si="302"/>
        <v>1570.914</v>
      </c>
      <c r="FH304" s="443">
        <f t="shared" si="302"/>
        <v>1570.914</v>
      </c>
      <c r="FI304" s="443">
        <f t="shared" si="302"/>
        <v>1570.914</v>
      </c>
      <c r="FK304" s="443">
        <f>FI304</f>
        <v>1570.914</v>
      </c>
      <c r="FL304" s="443">
        <f t="shared" si="303"/>
        <v>1570.914</v>
      </c>
      <c r="FM304" s="443">
        <f t="shared" si="303"/>
        <v>1570.914</v>
      </c>
      <c r="FN304" s="443">
        <f t="shared" si="303"/>
        <v>1570.914</v>
      </c>
    </row>
    <row r="305" spans="1:170" hidden="1" outlineLevel="2">
      <c r="A305" s="171" t="s">
        <v>544</v>
      </c>
      <c r="AD305" s="148"/>
      <c r="AE305" s="148"/>
      <c r="AF305" s="148"/>
      <c r="AH305" s="149">
        <v>-6.0469999999999997</v>
      </c>
      <c r="AI305" s="149">
        <v>-5.468</v>
      </c>
      <c r="AK305" s="149">
        <v>-5.085</v>
      </c>
      <c r="AL305" s="149">
        <v>-4.47</v>
      </c>
      <c r="AM305" s="149">
        <v>-3.4420000000000002</v>
      </c>
      <c r="AN305" s="149">
        <v>-2.9260000000000002</v>
      </c>
      <c r="AP305" s="149">
        <v>-2.6379999999999999</v>
      </c>
      <c r="AQ305" s="149">
        <v>-2.29</v>
      </c>
      <c r="AR305" s="149">
        <v>-1.9430000000000001</v>
      </c>
      <c r="AS305" s="149">
        <v>-1.6759999999999999</v>
      </c>
      <c r="AU305" s="149">
        <v>0</v>
      </c>
      <c r="AV305" s="211">
        <v>0</v>
      </c>
      <c r="AW305" s="211">
        <v>0</v>
      </c>
      <c r="AX305" s="211">
        <f>AW305</f>
        <v>0</v>
      </c>
      <c r="AY305" s="211"/>
      <c r="AZ305" s="149">
        <f>AX305</f>
        <v>0</v>
      </c>
      <c r="BA305" s="149">
        <f>AZ305</f>
        <v>0</v>
      </c>
      <c r="BB305" s="149">
        <f>BA305</f>
        <v>0</v>
      </c>
      <c r="BC305" s="149">
        <f>BB305</f>
        <v>0</v>
      </c>
      <c r="BE305" s="149">
        <f>BC305</f>
        <v>0</v>
      </c>
      <c r="BF305" s="149">
        <f>BE305</f>
        <v>0</v>
      </c>
      <c r="BG305" s="149">
        <f>BF305</f>
        <v>0</v>
      </c>
      <c r="BH305" s="149">
        <f>BG305</f>
        <v>0</v>
      </c>
      <c r="BJ305" s="149">
        <f>BH305</f>
        <v>0</v>
      </c>
      <c r="BK305" s="149">
        <f>BJ305</f>
        <v>0</v>
      </c>
      <c r="BL305" s="149">
        <f>BK305</f>
        <v>0</v>
      </c>
      <c r="BM305" s="149">
        <f>BL305</f>
        <v>0</v>
      </c>
      <c r="BO305" s="282">
        <f>BM305</f>
        <v>0</v>
      </c>
      <c r="BP305" s="152">
        <f>BO305</f>
        <v>0</v>
      </c>
      <c r="BQ305" s="152">
        <f>BP305</f>
        <v>0</v>
      </c>
      <c r="BR305" s="152">
        <f>BQ305</f>
        <v>0</v>
      </c>
      <c r="BS305" s="152"/>
      <c r="BT305" s="286">
        <f>BR305</f>
        <v>0</v>
      </c>
      <c r="BU305" s="149">
        <f>BT305</f>
        <v>0</v>
      </c>
      <c r="BV305" s="149">
        <f>BU305</f>
        <v>0</v>
      </c>
      <c r="BW305" s="149">
        <f>BV305</f>
        <v>0</v>
      </c>
      <c r="BY305" s="149">
        <f>BW305</f>
        <v>0</v>
      </c>
      <c r="BZ305" s="149">
        <f>BY305</f>
        <v>0</v>
      </c>
      <c r="CA305" s="149">
        <f>BZ305</f>
        <v>0</v>
      </c>
      <c r="CB305" s="149">
        <f>CA305</f>
        <v>0</v>
      </c>
      <c r="CD305" s="439">
        <f>CB305</f>
        <v>0</v>
      </c>
      <c r="CE305" s="439">
        <f t="shared" si="287"/>
        <v>0</v>
      </c>
      <c r="CF305" s="439">
        <f t="shared" si="287"/>
        <v>0</v>
      </c>
      <c r="CG305" s="439">
        <f t="shared" si="287"/>
        <v>0</v>
      </c>
      <c r="CH305" s="439"/>
      <c r="CI305" s="439">
        <f>CG305</f>
        <v>0</v>
      </c>
      <c r="CJ305" s="439">
        <f t="shared" si="287"/>
        <v>0</v>
      </c>
      <c r="CK305" s="439">
        <f t="shared" si="287"/>
        <v>0</v>
      </c>
      <c r="CL305" s="439">
        <f t="shared" si="287"/>
        <v>0</v>
      </c>
      <c r="CM305" s="439"/>
      <c r="CN305" s="439">
        <f>CL305</f>
        <v>0</v>
      </c>
      <c r="CO305" s="439">
        <f t="shared" si="288"/>
        <v>0</v>
      </c>
      <c r="CP305" s="439">
        <f t="shared" si="288"/>
        <v>0</v>
      </c>
      <c r="CQ305" s="439">
        <f t="shared" si="288"/>
        <v>0</v>
      </c>
      <c r="CR305" s="439"/>
      <c r="CS305" s="439">
        <f>CQ305</f>
        <v>0</v>
      </c>
      <c r="CT305" s="439">
        <f t="shared" si="289"/>
        <v>0</v>
      </c>
      <c r="CU305" s="439">
        <f t="shared" si="289"/>
        <v>0</v>
      </c>
      <c r="CV305" s="439">
        <f t="shared" si="289"/>
        <v>0</v>
      </c>
      <c r="CW305" s="439"/>
      <c r="CX305" s="439">
        <f>CV305</f>
        <v>0</v>
      </c>
      <c r="CY305" s="439">
        <f t="shared" si="290"/>
        <v>0</v>
      </c>
      <c r="CZ305" s="439">
        <f t="shared" si="290"/>
        <v>0</v>
      </c>
      <c r="DA305" s="439">
        <f t="shared" si="290"/>
        <v>0</v>
      </c>
      <c r="DC305" s="439">
        <f>DA305</f>
        <v>0</v>
      </c>
      <c r="DD305" s="439">
        <f t="shared" si="291"/>
        <v>0</v>
      </c>
      <c r="DE305" s="439">
        <f t="shared" si="291"/>
        <v>0</v>
      </c>
      <c r="DF305" s="439">
        <f t="shared" si="291"/>
        <v>0</v>
      </c>
      <c r="DH305" s="439">
        <f>DF305</f>
        <v>0</v>
      </c>
      <c r="DI305" s="439">
        <f t="shared" si="292"/>
        <v>0</v>
      </c>
      <c r="DJ305" s="439">
        <f t="shared" si="292"/>
        <v>0</v>
      </c>
      <c r="DK305" s="439">
        <f t="shared" si="292"/>
        <v>0</v>
      </c>
      <c r="DM305" s="439">
        <f>DK305</f>
        <v>0</v>
      </c>
      <c r="DN305" s="439">
        <f t="shared" si="293"/>
        <v>0</v>
      </c>
      <c r="DO305" s="439">
        <f t="shared" si="293"/>
        <v>0</v>
      </c>
      <c r="DP305" s="439">
        <f t="shared" si="293"/>
        <v>0</v>
      </c>
      <c r="DR305" s="439">
        <f>DP305</f>
        <v>0</v>
      </c>
      <c r="DS305" s="439">
        <f t="shared" si="294"/>
        <v>0</v>
      </c>
      <c r="DT305" s="439">
        <f t="shared" si="294"/>
        <v>0</v>
      </c>
      <c r="DU305" s="439">
        <f t="shared" si="294"/>
        <v>0</v>
      </c>
      <c r="DW305" s="439">
        <f>DU305</f>
        <v>0</v>
      </c>
      <c r="DX305" s="439">
        <f t="shared" si="295"/>
        <v>0</v>
      </c>
      <c r="DY305" s="439">
        <f t="shared" si="295"/>
        <v>0</v>
      </c>
      <c r="DZ305" s="439">
        <f t="shared" si="295"/>
        <v>0</v>
      </c>
      <c r="EB305" s="439">
        <f>DZ305</f>
        <v>0</v>
      </c>
      <c r="EC305" s="439">
        <f t="shared" si="296"/>
        <v>0</v>
      </c>
      <c r="ED305" s="439">
        <f t="shared" si="296"/>
        <v>0</v>
      </c>
      <c r="EE305" s="439">
        <f t="shared" si="296"/>
        <v>0</v>
      </c>
      <c r="EG305" s="439">
        <f>EE305</f>
        <v>0</v>
      </c>
      <c r="EH305" s="439">
        <f t="shared" si="297"/>
        <v>0</v>
      </c>
      <c r="EI305" s="439">
        <f t="shared" si="297"/>
        <v>0</v>
      </c>
      <c r="EJ305" s="439">
        <f t="shared" si="297"/>
        <v>0</v>
      </c>
      <c r="EL305" s="439">
        <f>EJ305</f>
        <v>0</v>
      </c>
      <c r="EM305" s="439">
        <f t="shared" si="298"/>
        <v>0</v>
      </c>
      <c r="EN305" s="439">
        <f t="shared" si="298"/>
        <v>0</v>
      </c>
      <c r="EO305" s="439">
        <f t="shared" si="298"/>
        <v>0</v>
      </c>
      <c r="EQ305" s="439">
        <f>EO305</f>
        <v>0</v>
      </c>
      <c r="ER305" s="439">
        <f t="shared" si="299"/>
        <v>0</v>
      </c>
      <c r="ES305" s="439">
        <f t="shared" si="299"/>
        <v>0</v>
      </c>
      <c r="ET305" s="439">
        <f t="shared" si="299"/>
        <v>0</v>
      </c>
      <c r="EV305" s="439">
        <f>ET305</f>
        <v>0</v>
      </c>
      <c r="EW305" s="439">
        <f t="shared" si="300"/>
        <v>0</v>
      </c>
      <c r="EX305" s="439">
        <f t="shared" si="300"/>
        <v>0</v>
      </c>
      <c r="EY305" s="439">
        <f t="shared" si="300"/>
        <v>0</v>
      </c>
      <c r="FA305" s="439">
        <f>EY305</f>
        <v>0</v>
      </c>
      <c r="FB305" s="439">
        <f t="shared" si="301"/>
        <v>0</v>
      </c>
      <c r="FC305" s="439">
        <f t="shared" si="301"/>
        <v>0</v>
      </c>
      <c r="FD305" s="439">
        <f t="shared" si="301"/>
        <v>0</v>
      </c>
      <c r="FF305" s="439">
        <f>FD305</f>
        <v>0</v>
      </c>
      <c r="FG305" s="439">
        <f t="shared" si="302"/>
        <v>0</v>
      </c>
      <c r="FH305" s="439">
        <f t="shared" si="302"/>
        <v>0</v>
      </c>
      <c r="FI305" s="439">
        <f t="shared" si="302"/>
        <v>0</v>
      </c>
      <c r="FK305" s="439">
        <f>FI305</f>
        <v>0</v>
      </c>
      <c r="FL305" s="439">
        <f t="shared" si="303"/>
        <v>0</v>
      </c>
      <c r="FM305" s="439">
        <f t="shared" si="303"/>
        <v>0</v>
      </c>
      <c r="FN305" s="439">
        <f t="shared" si="303"/>
        <v>0</v>
      </c>
    </row>
    <row r="306" spans="1:170" hidden="1" outlineLevel="2">
      <c r="A306" s="171" t="s">
        <v>545</v>
      </c>
      <c r="AD306" s="148">
        <v>3.76</v>
      </c>
      <c r="AE306" s="148"/>
      <c r="AF306" s="148">
        <v>4.1539999999999999</v>
      </c>
      <c r="AG306" s="149">
        <v>2.9889999999999999</v>
      </c>
      <c r="AH306" s="149">
        <v>0.38900000000000001</v>
      </c>
      <c r="AI306" s="149">
        <v>0.85</v>
      </c>
      <c r="AK306" s="149">
        <v>-1.145</v>
      </c>
      <c r="AL306" s="149">
        <v>-2.1749999999999998</v>
      </c>
      <c r="AM306" s="149">
        <v>-1.502</v>
      </c>
      <c r="AN306" s="149">
        <v>-3.4630000000000001</v>
      </c>
      <c r="AP306" s="149">
        <v>-3.9079999999999999</v>
      </c>
      <c r="AQ306" s="149">
        <v>-4.218</v>
      </c>
      <c r="AR306" s="149">
        <v>-4.3650000000000002</v>
      </c>
      <c r="AS306" s="149">
        <v>-1.9570000000000001</v>
      </c>
      <c r="AU306" s="149">
        <v>-2.4510000000000001</v>
      </c>
      <c r="AV306" s="211">
        <v>-2.3740000000000001</v>
      </c>
      <c r="AW306" s="211">
        <v>-1.325</v>
      </c>
      <c r="AX306" s="211">
        <v>1.4359999999999999</v>
      </c>
      <c r="AY306" s="211"/>
      <c r="AZ306" s="149">
        <v>1.284</v>
      </c>
      <c r="BA306" s="149">
        <v>1.5860000000000001</v>
      </c>
      <c r="BB306" s="149">
        <v>3.35</v>
      </c>
      <c r="BC306" s="149">
        <f>BB306</f>
        <v>3.35</v>
      </c>
      <c r="BE306" s="149">
        <f>BC306</f>
        <v>3.35</v>
      </c>
      <c r="BF306" s="149">
        <f>BE306</f>
        <v>3.35</v>
      </c>
      <c r="BG306" s="149">
        <v>-3.97</v>
      </c>
      <c r="BH306" s="149">
        <f>3.865</f>
        <v>3.8650000000000002</v>
      </c>
      <c r="BJ306" s="149">
        <v>4.931</v>
      </c>
      <c r="BK306" s="149">
        <v>0</v>
      </c>
      <c r="BL306" s="149">
        <v>45.667000000000002</v>
      </c>
      <c r="BM306" s="149">
        <v>12.172000000000001</v>
      </c>
      <c r="BO306" s="282">
        <f>BM306</f>
        <v>12.172000000000001</v>
      </c>
      <c r="BP306" s="152">
        <f>BO306</f>
        <v>12.172000000000001</v>
      </c>
      <c r="BQ306" s="152">
        <v>12.667</v>
      </c>
      <c r="BR306" s="152">
        <v>10.272</v>
      </c>
      <c r="BS306" s="152"/>
      <c r="BT306" s="286">
        <v>11.121</v>
      </c>
      <c r="BU306" s="149">
        <v>14.433999999999999</v>
      </c>
      <c r="BV306" s="149">
        <v>8.9969999999999999</v>
      </c>
      <c r="BW306" s="149">
        <v>10.614000000000001</v>
      </c>
      <c r="BY306" s="149">
        <v>10.446999999999999</v>
      </c>
      <c r="BZ306" s="149">
        <v>11.159000000000001</v>
      </c>
      <c r="CA306" s="149">
        <v>10.86</v>
      </c>
      <c r="CB306" s="149">
        <v>9.9809999999999999</v>
      </c>
      <c r="CD306" s="439">
        <f>CB306</f>
        <v>9.9809999999999999</v>
      </c>
      <c r="CE306" s="439">
        <f t="shared" si="287"/>
        <v>9.9809999999999999</v>
      </c>
      <c r="CF306" s="439">
        <f t="shared" si="287"/>
        <v>9.9809999999999999</v>
      </c>
      <c r="CG306" s="439">
        <f t="shared" si="287"/>
        <v>9.9809999999999999</v>
      </c>
      <c r="CH306" s="439"/>
      <c r="CI306" s="439">
        <f>CG306</f>
        <v>9.9809999999999999</v>
      </c>
      <c r="CJ306" s="439">
        <f t="shared" si="287"/>
        <v>9.9809999999999999</v>
      </c>
      <c r="CK306" s="439">
        <f t="shared" si="287"/>
        <v>9.9809999999999999</v>
      </c>
      <c r="CL306" s="439">
        <f t="shared" si="287"/>
        <v>9.9809999999999999</v>
      </c>
      <c r="CM306" s="439"/>
      <c r="CN306" s="439">
        <f>CL306</f>
        <v>9.9809999999999999</v>
      </c>
      <c r="CO306" s="439">
        <f t="shared" si="288"/>
        <v>9.9809999999999999</v>
      </c>
      <c r="CP306" s="439">
        <f t="shared" si="288"/>
        <v>9.9809999999999999</v>
      </c>
      <c r="CQ306" s="439">
        <f t="shared" si="288"/>
        <v>9.9809999999999999</v>
      </c>
      <c r="CR306" s="439"/>
      <c r="CS306" s="439">
        <f>CQ306</f>
        <v>9.9809999999999999</v>
      </c>
      <c r="CT306" s="439">
        <f t="shared" si="289"/>
        <v>9.9809999999999999</v>
      </c>
      <c r="CU306" s="439">
        <f t="shared" si="289"/>
        <v>9.9809999999999999</v>
      </c>
      <c r="CV306" s="439">
        <f t="shared" si="289"/>
        <v>9.9809999999999999</v>
      </c>
      <c r="CW306" s="439"/>
      <c r="CX306" s="439">
        <f>CV306</f>
        <v>9.9809999999999999</v>
      </c>
      <c r="CY306" s="439">
        <f t="shared" si="290"/>
        <v>9.9809999999999999</v>
      </c>
      <c r="CZ306" s="439">
        <f t="shared" si="290"/>
        <v>9.9809999999999999</v>
      </c>
      <c r="DA306" s="439">
        <f t="shared" si="290"/>
        <v>9.9809999999999999</v>
      </c>
      <c r="DC306" s="439">
        <f>DA306</f>
        <v>9.9809999999999999</v>
      </c>
      <c r="DD306" s="439">
        <f t="shared" si="291"/>
        <v>9.9809999999999999</v>
      </c>
      <c r="DE306" s="439">
        <f t="shared" si="291"/>
        <v>9.9809999999999999</v>
      </c>
      <c r="DF306" s="439">
        <f t="shared" si="291"/>
        <v>9.9809999999999999</v>
      </c>
      <c r="DH306" s="439">
        <f>DF306</f>
        <v>9.9809999999999999</v>
      </c>
      <c r="DI306" s="439">
        <f t="shared" si="292"/>
        <v>9.9809999999999999</v>
      </c>
      <c r="DJ306" s="439">
        <f t="shared" si="292"/>
        <v>9.9809999999999999</v>
      </c>
      <c r="DK306" s="439">
        <f t="shared" si="292"/>
        <v>9.9809999999999999</v>
      </c>
      <c r="DM306" s="439">
        <f>DK306</f>
        <v>9.9809999999999999</v>
      </c>
      <c r="DN306" s="439">
        <f t="shared" si="293"/>
        <v>9.9809999999999999</v>
      </c>
      <c r="DO306" s="439">
        <f t="shared" si="293"/>
        <v>9.9809999999999999</v>
      </c>
      <c r="DP306" s="439">
        <f t="shared" si="293"/>
        <v>9.9809999999999999</v>
      </c>
      <c r="DR306" s="439">
        <f>DP306</f>
        <v>9.9809999999999999</v>
      </c>
      <c r="DS306" s="439">
        <f t="shared" si="294"/>
        <v>9.9809999999999999</v>
      </c>
      <c r="DT306" s="439">
        <f t="shared" si="294"/>
        <v>9.9809999999999999</v>
      </c>
      <c r="DU306" s="439">
        <f t="shared" si="294"/>
        <v>9.9809999999999999</v>
      </c>
      <c r="DW306" s="439">
        <f>DU306</f>
        <v>9.9809999999999999</v>
      </c>
      <c r="DX306" s="439">
        <f t="shared" si="295"/>
        <v>9.9809999999999999</v>
      </c>
      <c r="DY306" s="439">
        <f t="shared" si="295"/>
        <v>9.9809999999999999</v>
      </c>
      <c r="DZ306" s="439">
        <f t="shared" si="295"/>
        <v>9.9809999999999999</v>
      </c>
      <c r="EB306" s="439">
        <f>DZ306</f>
        <v>9.9809999999999999</v>
      </c>
      <c r="EC306" s="439">
        <f t="shared" si="296"/>
        <v>9.9809999999999999</v>
      </c>
      <c r="ED306" s="439">
        <f t="shared" si="296"/>
        <v>9.9809999999999999</v>
      </c>
      <c r="EE306" s="439">
        <f t="shared" si="296"/>
        <v>9.9809999999999999</v>
      </c>
      <c r="EG306" s="439">
        <f>EE306</f>
        <v>9.9809999999999999</v>
      </c>
      <c r="EH306" s="439">
        <f t="shared" si="297"/>
        <v>9.9809999999999999</v>
      </c>
      <c r="EI306" s="439">
        <f t="shared" si="297"/>
        <v>9.9809999999999999</v>
      </c>
      <c r="EJ306" s="439">
        <f t="shared" si="297"/>
        <v>9.9809999999999999</v>
      </c>
      <c r="EL306" s="439">
        <f>EJ306</f>
        <v>9.9809999999999999</v>
      </c>
      <c r="EM306" s="439">
        <f t="shared" si="298"/>
        <v>9.9809999999999999</v>
      </c>
      <c r="EN306" s="439">
        <f t="shared" si="298"/>
        <v>9.9809999999999999</v>
      </c>
      <c r="EO306" s="439">
        <f t="shared" si="298"/>
        <v>9.9809999999999999</v>
      </c>
      <c r="EQ306" s="439">
        <f>EO306</f>
        <v>9.9809999999999999</v>
      </c>
      <c r="ER306" s="439">
        <f t="shared" si="299"/>
        <v>9.9809999999999999</v>
      </c>
      <c r="ES306" s="439">
        <f t="shared" si="299"/>
        <v>9.9809999999999999</v>
      </c>
      <c r="ET306" s="439">
        <f t="shared" si="299"/>
        <v>9.9809999999999999</v>
      </c>
      <c r="EV306" s="439">
        <f>ET306</f>
        <v>9.9809999999999999</v>
      </c>
      <c r="EW306" s="439">
        <f t="shared" si="300"/>
        <v>9.9809999999999999</v>
      </c>
      <c r="EX306" s="439">
        <f t="shared" si="300"/>
        <v>9.9809999999999999</v>
      </c>
      <c r="EY306" s="439">
        <f t="shared" si="300"/>
        <v>9.9809999999999999</v>
      </c>
      <c r="FA306" s="439">
        <f>EY306</f>
        <v>9.9809999999999999</v>
      </c>
      <c r="FB306" s="439">
        <f t="shared" si="301"/>
        <v>9.9809999999999999</v>
      </c>
      <c r="FC306" s="439">
        <f t="shared" si="301"/>
        <v>9.9809999999999999</v>
      </c>
      <c r="FD306" s="439">
        <f t="shared" si="301"/>
        <v>9.9809999999999999</v>
      </c>
      <c r="FF306" s="439">
        <f>FD306</f>
        <v>9.9809999999999999</v>
      </c>
      <c r="FG306" s="439">
        <f t="shared" si="302"/>
        <v>9.9809999999999999</v>
      </c>
      <c r="FH306" s="439">
        <f t="shared" si="302"/>
        <v>9.9809999999999999</v>
      </c>
      <c r="FI306" s="439">
        <f t="shared" si="302"/>
        <v>9.9809999999999999</v>
      </c>
      <c r="FK306" s="439">
        <f>FI306</f>
        <v>9.9809999999999999</v>
      </c>
      <c r="FL306" s="439">
        <f t="shared" si="303"/>
        <v>9.9809999999999999</v>
      </c>
      <c r="FM306" s="439">
        <f t="shared" si="303"/>
        <v>9.9809999999999999</v>
      </c>
      <c r="FN306" s="439">
        <f t="shared" si="303"/>
        <v>9.9809999999999999</v>
      </c>
    </row>
    <row r="307" spans="1:170" hidden="1" outlineLevel="2">
      <c r="A307" s="171" t="s">
        <v>546</v>
      </c>
      <c r="AD307" s="148">
        <v>397.73899999999998</v>
      </c>
      <c r="AE307" s="148"/>
      <c r="AF307" s="148">
        <v>417.48599999999999</v>
      </c>
      <c r="AG307" s="149">
        <v>441.63600000000002</v>
      </c>
      <c r="AH307" s="149">
        <v>447.99200000000002</v>
      </c>
      <c r="AI307" s="149">
        <v>472.15800000000002</v>
      </c>
      <c r="AK307" s="149">
        <v>493.50700000000001</v>
      </c>
      <c r="AL307" s="149">
        <v>498.62599999999998</v>
      </c>
      <c r="AM307" s="149">
        <v>524.505</v>
      </c>
      <c r="AN307" s="177">
        <v>572.51400000000001</v>
      </c>
      <c r="AO307" s="177"/>
      <c r="AP307" s="177">
        <v>636.95799999999997</v>
      </c>
      <c r="AQ307" s="177">
        <v>711.79499999999996</v>
      </c>
      <c r="AR307" s="177">
        <v>777.048</v>
      </c>
      <c r="AS307" s="177">
        <v>875.1</v>
      </c>
      <c r="AT307" s="177"/>
      <c r="AU307" s="177">
        <v>839.79499999999996</v>
      </c>
      <c r="AV307" s="441">
        <v>926.548</v>
      </c>
      <c r="AW307" s="177">
        <f>AV307+AW113</f>
        <v>1033.059</v>
      </c>
      <c r="AX307" s="177">
        <f>AW307+AX113</f>
        <v>1196.5650000000001</v>
      </c>
      <c r="AY307" s="177"/>
      <c r="AZ307" s="441">
        <v>1328.8240000000001</v>
      </c>
      <c r="BA307" s="441">
        <v>1501.556</v>
      </c>
      <c r="BB307" s="177">
        <v>1737.2170000000001</v>
      </c>
      <c r="BC307" s="177">
        <f>BB307+BC113+BC146+BC118</f>
        <v>1867.9660000000001</v>
      </c>
      <c r="BD307" s="177"/>
      <c r="BE307" s="177">
        <f>BC307+BE113+BE146+BE118</f>
        <v>1994.6940000000002</v>
      </c>
      <c r="BF307" s="177">
        <f>BE307+BF113+BF146+BF118</f>
        <v>1897.8150000000003</v>
      </c>
      <c r="BG307" s="177">
        <v>2111.8339999999998</v>
      </c>
      <c r="BH307" s="177">
        <v>1964.1690000000001</v>
      </c>
      <c r="BI307" s="177"/>
      <c r="BJ307" s="177">
        <v>1762.8309999999999</v>
      </c>
      <c r="BK307" s="177">
        <v>1762.8309999999999</v>
      </c>
      <c r="BL307" s="177">
        <f>BK307+BL113+BL146+BL118</f>
        <v>1893.3899999999999</v>
      </c>
      <c r="BM307" s="177">
        <v>1896.182</v>
      </c>
      <c r="BN307" s="177"/>
      <c r="BO307" s="152">
        <f>BM307+BO113+BO146+BO118</f>
        <v>2138.105</v>
      </c>
      <c r="BP307" s="152">
        <f>BO307+BP113+BP146+BP118</f>
        <v>2025.7910000000002</v>
      </c>
      <c r="BQ307" s="152">
        <v>1977.6769999999999</v>
      </c>
      <c r="BR307" s="152">
        <v>2149.328</v>
      </c>
      <c r="BS307" s="152"/>
      <c r="BT307" s="442">
        <v>2284.547</v>
      </c>
      <c r="BU307" s="177">
        <v>2436.12</v>
      </c>
      <c r="BV307" s="177">
        <v>2614.393</v>
      </c>
      <c r="BW307" s="177">
        <v>2730.4180000000001</v>
      </c>
      <c r="BX307" s="177"/>
      <c r="BY307" s="177">
        <v>2790.855</v>
      </c>
      <c r="BZ307" s="177">
        <v>2909.9009999999998</v>
      </c>
      <c r="CA307" s="177">
        <v>3118.9810000000002</v>
      </c>
      <c r="CB307" s="177">
        <v>3246.0880000000002</v>
      </c>
      <c r="CC307" s="177"/>
      <c r="CD307" s="177">
        <f>CB307+CD113+CD146+CD118</f>
        <v>3246.1370000000006</v>
      </c>
      <c r="CE307" s="177">
        <f>CD307+CE113+CE146+CE118</f>
        <v>2600.4700000000003</v>
      </c>
      <c r="CF307" s="177">
        <f>CE307+CF113+CF146+CF118</f>
        <v>2751.768</v>
      </c>
      <c r="CG307" s="177">
        <f>CF307+CG113+CG146+CG118</f>
        <v>4229.8119999999999</v>
      </c>
      <c r="CH307" s="177"/>
      <c r="CI307" s="177">
        <f>CG307+CI113+CI146+CI118</f>
        <v>3935.9270000000006</v>
      </c>
      <c r="CJ307" s="177">
        <f>CI307+CJ113+CJ146+CJ118</f>
        <v>4091.2330000000011</v>
      </c>
      <c r="CK307" s="177">
        <f>CJ307+CK113+CK146+CK118</f>
        <v>3994.2550000000019</v>
      </c>
      <c r="CL307" s="177">
        <f>CK307+CL113+CL146+CL118</f>
        <v>4220.2160000000013</v>
      </c>
      <c r="CM307" s="177"/>
      <c r="CN307" s="177">
        <f>CL307+CN113+CN146+CN118</f>
        <v>4366.2160000000013</v>
      </c>
      <c r="CO307" s="177">
        <f>CN307+CO113+CO146+CO118</f>
        <v>4044.2160000000013</v>
      </c>
      <c r="CP307" s="177">
        <f>CO307+CP113+CP146+CP118</f>
        <v>4331.2160000000013</v>
      </c>
      <c r="CQ307" s="177">
        <f>CP307+CQ113+CQ146+CQ118</f>
        <v>4449.2160000000013</v>
      </c>
      <c r="CR307" s="177"/>
      <c r="CS307" s="177">
        <f>CQ307+CS113+CS146+CS118</f>
        <v>4173.2160000000013</v>
      </c>
      <c r="CT307" s="177">
        <f>CS307+CT113+CT146+CT118</f>
        <v>4457.2160000000013</v>
      </c>
      <c r="CU307" s="177">
        <f>CT307+CU113+CU146+CU118</f>
        <v>6491.2160000000013</v>
      </c>
      <c r="CV307" s="177">
        <f>CU307+CV113+CV146+CV118</f>
        <v>6707.2160000000013</v>
      </c>
      <c r="CW307" s="177"/>
      <c r="CX307" s="177">
        <f>CV307+CX113+CX146+CX118</f>
        <v>6498.2160000000013</v>
      </c>
      <c r="CY307" s="177">
        <f>CX307+CY113+CY146+CY118</f>
        <v>6202.2160000000013</v>
      </c>
      <c r="CZ307" s="177">
        <f>CY307+CZ113+CZ146+CZ118</f>
        <v>6525.2160000000013</v>
      </c>
      <c r="DA307" s="177">
        <f>CZ307+DA113+DA146+DA118</f>
        <v>7640.2160000000013</v>
      </c>
      <c r="DC307" s="177">
        <f>DA307+DC113+DC146+DC118</f>
        <v>7874.2160000000003</v>
      </c>
      <c r="DD307" s="177">
        <f>DC307+DD113+DD146+DD118</f>
        <v>8939.2160000000003</v>
      </c>
      <c r="DE307" s="177">
        <f>DD307+DE113+DE146+DE118</f>
        <v>9591.2160000000003</v>
      </c>
      <c r="DF307" s="177">
        <f>DE307+DF113+DF146+DF118</f>
        <v>9428.2160000000003</v>
      </c>
      <c r="DH307" s="177">
        <f>DF307+DH113+DH146+DH118</f>
        <v>9773.2160000000003</v>
      </c>
      <c r="DI307" s="177">
        <f>DH307+DI113+DI146+DI118</f>
        <v>10486.216</v>
      </c>
      <c r="DJ307" s="177">
        <f>DI307+DJ113+DJ146+DJ118</f>
        <v>11291.216</v>
      </c>
      <c r="DK307" s="177">
        <f>DJ307+DK113+DK146+DK118</f>
        <v>12278.216</v>
      </c>
      <c r="DM307" s="177">
        <f>DK307+DM113+DM146+DM118</f>
        <v>18183.216</v>
      </c>
      <c r="DN307" s="177">
        <f>DM307+DN113+DN146+DN118</f>
        <v>18794.216</v>
      </c>
      <c r="DO307" s="177">
        <f>DN307+DO113+DO146+DO118</f>
        <v>20214.216</v>
      </c>
      <c r="DP307" s="177">
        <f>DO307+DP113+DP146+DP118</f>
        <v>21729.216</v>
      </c>
      <c r="DR307" s="177">
        <f>DP307+DR113+DR146+DR118</f>
        <v>23463.216</v>
      </c>
      <c r="DS307" s="177">
        <f>DR307+DS113+DS146+DS118</f>
        <v>30637.216</v>
      </c>
      <c r="DT307" s="177">
        <f>DS307+DT113+DT146+DT118</f>
        <v>32229.216</v>
      </c>
      <c r="DU307" s="177">
        <f>DT307+DU113+DU146+DU118</f>
        <v>35113.216</v>
      </c>
      <c r="DW307" s="177">
        <f>DU307+DW113+DW146+DW118</f>
        <v>36256.216</v>
      </c>
      <c r="DX307" s="177">
        <f>DW307+DX113+DX146+DX118</f>
        <v>33357.216</v>
      </c>
      <c r="DY307" s="177">
        <f>DX307+DY113+DY146+DY118</f>
        <v>30995.216</v>
      </c>
      <c r="DZ307" s="177">
        <f>DY307+DZ113+DZ146+DZ118</f>
        <v>31521.216</v>
      </c>
      <c r="EB307" s="177">
        <f>DZ307+EB113+EB146+EB118</f>
        <v>33899.216</v>
      </c>
      <c r="EC307" s="177">
        <f>EB307+EC113+EC146+EC118</f>
        <v>35702.216</v>
      </c>
      <c r="ED307" s="177">
        <f>EC307+ED113+ED146+ED118</f>
        <v>41400.216</v>
      </c>
      <c r="EE307" s="177">
        <f>ED307+EE113+EE146+EE118</f>
        <v>50680.216</v>
      </c>
      <c r="EG307" s="177">
        <f>EE307+EG113+EG146+EG118</f>
        <v>57013.216</v>
      </c>
      <c r="EH307" s="177">
        <f>EG307+EH113+EH146+EH118</f>
        <v>64109.216</v>
      </c>
      <c r="EI307" s="177">
        <f>EH307+EI113+EI146+EI118</f>
        <v>71806.216</v>
      </c>
      <c r="EJ307" s="177">
        <f>EI307+EJ113+EJ146+EJ118</f>
        <v>84404.216</v>
      </c>
      <c r="EL307" s="177">
        <f>EJ307+EL113+EL146+EL118</f>
        <v>89177.216</v>
      </c>
      <c r="EM307" s="177">
        <f>EL307+EM113+EM146+EM118</f>
        <v>103042.216</v>
      </c>
      <c r="EN307" s="177">
        <f>EM307+EN113+EN146+EN118</f>
        <v>120295.21600000001</v>
      </c>
      <c r="EO307" s="177">
        <f>EN307+EO113+EO146+EO118</f>
        <v>153178.21600000001</v>
      </c>
      <c r="EQ307" s="177">
        <f>EO307+EQ113+EQ146+EQ118</f>
        <v>176114.21600000001</v>
      </c>
      <c r="ER307" s="177">
        <f>EQ307+ER113+ER146+ER118</f>
        <v>203464.66775985164</v>
      </c>
      <c r="ES307" s="177">
        <f>ER307+ES113+ES146+ES118</f>
        <v>241471.49345100985</v>
      </c>
      <c r="ET307" s="177">
        <f>ES307+ET113+ET146+ET118</f>
        <v>288609.78943916009</v>
      </c>
      <c r="EV307" s="177">
        <f>ET307+EV113+EV146+EV118</f>
        <v>340053.66794229485</v>
      </c>
      <c r="EW307" s="177">
        <f>EV307+EW113+EW146+EW118</f>
        <v>399305.5810245329</v>
      </c>
      <c r="EX307" s="177">
        <f>EW307+EX113+EX146+EX118</f>
        <v>466680.42442624993</v>
      </c>
      <c r="EY307" s="177">
        <f>EX307+EY113+EY146+EY118</f>
        <v>540662.77441492374</v>
      </c>
      <c r="FA307" s="177">
        <f>EY307+FA113+FA146+FA118</f>
        <v>617354.31835214072</v>
      </c>
      <c r="FB307" s="177">
        <f>FA307+FB113+FB146+FB118</f>
        <v>693827.29281659483</v>
      </c>
      <c r="FC307" s="177">
        <f>FB307+FC113+FC146+FC118</f>
        <v>778429.45272791584</v>
      </c>
      <c r="FD307" s="177">
        <f>FC307+FD113+FD146+FD118</f>
        <v>869190.25941237493</v>
      </c>
      <c r="FF307" s="177">
        <f>FD307+FF113+FF146+FF118</f>
        <v>958380.74249135272</v>
      </c>
      <c r="FG307" s="177">
        <f>FF307+FG113+FG146+FG118</f>
        <v>1048974.4289944826</v>
      </c>
      <c r="FH307" s="177">
        <f>FG307+FH113+FH146+FH118</f>
        <v>1143823.2463410639</v>
      </c>
      <c r="FI307" s="177">
        <f>FH307+FI113+FI146+FI118</f>
        <v>1241524.3729329249</v>
      </c>
      <c r="FK307" s="177">
        <f>FI307+FK113+FK146+FK118</f>
        <v>1339102.3730832406</v>
      </c>
      <c r="FL307" s="177">
        <f>FK307+FL113+FL146+FL118</f>
        <v>1436526.3849855773</v>
      </c>
      <c r="FM307" s="177">
        <f>FL307+FM113+FM146+FM118</f>
        <v>1542796.9081577973</v>
      </c>
      <c r="FN307" s="177">
        <f>FM307+FN113+FN146+FN118</f>
        <v>1655286.8929599493</v>
      </c>
    </row>
    <row r="308" spans="1:170" hidden="1" outlineLevel="2">
      <c r="AD308" s="148"/>
      <c r="AE308" s="148"/>
      <c r="AF308" s="148"/>
      <c r="AN308" s="177"/>
      <c r="AO308" s="177"/>
      <c r="AP308" s="177"/>
      <c r="AQ308" s="177"/>
      <c r="AR308" s="177"/>
      <c r="AS308" s="177"/>
      <c r="AT308" s="177"/>
      <c r="AU308" s="444"/>
      <c r="AV308" s="444"/>
      <c r="AW308" s="444">
        <f t="shared" ref="AW308:BM308" si="304">SUM(AW303:AW307)</f>
        <v>1845.7169999999999</v>
      </c>
      <c r="AX308" s="444">
        <f t="shared" si="304"/>
        <v>2006.9190000000003</v>
      </c>
      <c r="AY308" s="444"/>
      <c r="AZ308" s="444">
        <f t="shared" si="304"/>
        <v>2095.8940000000002</v>
      </c>
      <c r="BA308" s="445">
        <f t="shared" si="304"/>
        <v>2260.2780000000002</v>
      </c>
      <c r="BB308" s="444">
        <f t="shared" si="304"/>
        <v>2477.9259999999999</v>
      </c>
      <c r="BC308" s="444">
        <f t="shared" si="304"/>
        <v>2608.6750000000002</v>
      </c>
      <c r="BD308" s="444"/>
      <c r="BE308" s="444">
        <f t="shared" si="304"/>
        <v>2735.4030000000002</v>
      </c>
      <c r="BF308" s="444">
        <f t="shared" si="304"/>
        <v>2638.5240000000003</v>
      </c>
      <c r="BG308" s="444">
        <f t="shared" si="304"/>
        <v>2487.0749999999998</v>
      </c>
      <c r="BH308" s="444">
        <f t="shared" si="304"/>
        <v>2394.652</v>
      </c>
      <c r="BI308" s="444"/>
      <c r="BJ308" s="444">
        <f t="shared" si="304"/>
        <v>2318.8760000000002</v>
      </c>
      <c r="BK308" s="444">
        <f t="shared" si="304"/>
        <v>2247.4090000000001</v>
      </c>
      <c r="BL308" s="444">
        <f>SUM(BL303:BL307)</f>
        <v>2423.6349999999998</v>
      </c>
      <c r="BM308" s="444">
        <f t="shared" si="304"/>
        <v>2665.14</v>
      </c>
      <c r="BN308" s="444"/>
      <c r="BO308" s="446">
        <f t="shared" ref="BO308:BW308" si="305">SUM(BO303:BO307)</f>
        <v>2860.645</v>
      </c>
      <c r="BP308" s="446">
        <f t="shared" si="305"/>
        <v>2760.5140000000001</v>
      </c>
      <c r="BQ308" s="446">
        <f t="shared" si="305"/>
        <v>2897.88</v>
      </c>
      <c r="BR308" s="446">
        <f t="shared" si="305"/>
        <v>3181.4620000000004</v>
      </c>
      <c r="BS308" s="446"/>
      <c r="BT308" s="447">
        <f t="shared" si="305"/>
        <v>3447.808</v>
      </c>
      <c r="BU308" s="444">
        <f t="shared" si="305"/>
        <v>3689.4690000000001</v>
      </c>
      <c r="BV308" s="444">
        <f t="shared" si="305"/>
        <v>3973.4500000000003</v>
      </c>
      <c r="BW308" s="444">
        <f t="shared" si="305"/>
        <v>4145.7240000000002</v>
      </c>
      <c r="BX308" s="444"/>
      <c r="BY308" s="444">
        <f t="shared" ref="BY308:CG308" si="306">SUM(BY303:BY307)</f>
        <v>4287.4279999999999</v>
      </c>
      <c r="BZ308" s="444">
        <f t="shared" si="306"/>
        <v>4453.665</v>
      </c>
      <c r="CA308" s="444">
        <f t="shared" si="306"/>
        <v>6245.5550000000003</v>
      </c>
      <c r="CB308" s="444">
        <f t="shared" si="306"/>
        <v>4827.7030000000004</v>
      </c>
      <c r="CC308" s="444"/>
      <c r="CD308" s="444">
        <f t="shared" si="306"/>
        <v>4827.7520000000004</v>
      </c>
      <c r="CE308" s="444">
        <f t="shared" si="306"/>
        <v>4182.085</v>
      </c>
      <c r="CF308" s="444">
        <f t="shared" si="306"/>
        <v>4333.3829999999998</v>
      </c>
      <c r="CG308" s="444">
        <f t="shared" si="306"/>
        <v>5811.4269999999997</v>
      </c>
      <c r="CH308" s="444"/>
      <c r="CI308" s="444">
        <f t="shared" ref="CI308:CQ308" si="307">SUM(CI303:CI307)</f>
        <v>5517.5420000000004</v>
      </c>
      <c r="CJ308" s="444">
        <f t="shared" si="307"/>
        <v>5672.8480000000009</v>
      </c>
      <c r="CK308" s="444">
        <f t="shared" si="307"/>
        <v>5575.8700000000017</v>
      </c>
      <c r="CL308" s="444">
        <f t="shared" si="307"/>
        <v>5801.831000000001</v>
      </c>
      <c r="CM308" s="444"/>
      <c r="CN308" s="444">
        <f t="shared" si="307"/>
        <v>5947.831000000001</v>
      </c>
      <c r="CO308" s="444">
        <f t="shared" si="307"/>
        <v>5625.831000000001</v>
      </c>
      <c r="CP308" s="444">
        <f t="shared" si="307"/>
        <v>5912.831000000001</v>
      </c>
      <c r="CQ308" s="444">
        <f t="shared" si="307"/>
        <v>6030.831000000001</v>
      </c>
      <c r="CR308" s="444"/>
      <c r="CS308" s="444">
        <f>SUM(CS303:CS307)</f>
        <v>5754.831000000001</v>
      </c>
      <c r="CT308" s="444">
        <f>SUM(CT303:CT307)</f>
        <v>6038.831000000001</v>
      </c>
      <c r="CU308" s="444">
        <f>SUM(CU303:CU307)</f>
        <v>8072.831000000001</v>
      </c>
      <c r="CV308" s="444">
        <f>SUM(CV303:CV307)</f>
        <v>8288.8310000000019</v>
      </c>
      <c r="CW308" s="444"/>
      <c r="CX308" s="444">
        <f>SUM(CX303:CX307)</f>
        <v>8079.831000000001</v>
      </c>
      <c r="CY308" s="444">
        <f>SUM(CY303:CY307)</f>
        <v>7783.831000000001</v>
      </c>
      <c r="CZ308" s="444">
        <f>SUM(CZ303:CZ307)</f>
        <v>8106.831000000001</v>
      </c>
      <c r="DA308" s="444">
        <f>SUM(DA303:DA307)</f>
        <v>9221.8310000000019</v>
      </c>
      <c r="DC308" s="444">
        <f>SUM(DC303:DC307)</f>
        <v>9455.8310000000001</v>
      </c>
      <c r="DD308" s="444">
        <f>SUM(DD303:DD307)</f>
        <v>10520.831</v>
      </c>
      <c r="DE308" s="444">
        <f>SUM(DE303:DE307)</f>
        <v>11172.831</v>
      </c>
      <c r="DF308" s="444">
        <f>SUM(DF303:DF307)</f>
        <v>11009.831</v>
      </c>
      <c r="DH308" s="444">
        <f>SUM(DH303:DH307)</f>
        <v>11354.831</v>
      </c>
      <c r="DI308" s="444">
        <f>SUM(DI303:DI307)</f>
        <v>12067.831</v>
      </c>
      <c r="DJ308" s="444">
        <f>SUM(DJ303:DJ307)</f>
        <v>12872.831</v>
      </c>
      <c r="DK308" s="444">
        <f>SUM(DK303:DK307)</f>
        <v>13859.831</v>
      </c>
      <c r="DM308" s="444">
        <f>SUM(DM303:DM307)</f>
        <v>19764.831000000002</v>
      </c>
      <c r="DN308" s="444">
        <f>SUM(DN303:DN307)</f>
        <v>20375.831000000002</v>
      </c>
      <c r="DO308" s="444">
        <f>SUM(DO303:DO307)</f>
        <v>21795.831000000002</v>
      </c>
      <c r="DP308" s="444">
        <f>SUM(DP303:DP307)</f>
        <v>23310.831000000002</v>
      </c>
      <c r="DR308" s="444">
        <f>SUM(DR303:DR307)</f>
        <v>25044.831000000002</v>
      </c>
      <c r="DS308" s="444">
        <f>SUM(DS303:DS307)</f>
        <v>32218.831000000002</v>
      </c>
      <c r="DT308" s="444">
        <f>SUM(DT303:DT307)</f>
        <v>33810.830999999998</v>
      </c>
      <c r="DU308" s="444">
        <f>SUM(DU303:DU307)</f>
        <v>36694.830999999998</v>
      </c>
      <c r="DW308" s="444">
        <f>SUM(DW303:DW307)</f>
        <v>37837.830999999998</v>
      </c>
      <c r="DX308" s="444">
        <f>SUM(DX303:DX307)</f>
        <v>34938.830999999998</v>
      </c>
      <c r="DY308" s="444">
        <f>SUM(DY303:DY307)</f>
        <v>32576.831000000002</v>
      </c>
      <c r="DZ308" s="444">
        <f>SUM(DZ303:DZ307)</f>
        <v>33102.830999999998</v>
      </c>
      <c r="EB308" s="444">
        <f>SUM(EB303:EB307)</f>
        <v>35480.830999999998</v>
      </c>
      <c r="EC308" s="444">
        <f>SUM(EC303:EC307)</f>
        <v>37283.830999999998</v>
      </c>
      <c r="ED308" s="444">
        <f>SUM(ED303:ED307)</f>
        <v>42981.830999999998</v>
      </c>
      <c r="EE308" s="444">
        <f>SUM(EE303:EE307)</f>
        <v>52261.830999999998</v>
      </c>
      <c r="EG308" s="444">
        <f>SUM(EG303:EG307)</f>
        <v>58594.830999999998</v>
      </c>
      <c r="EH308" s="444">
        <f>SUM(EH303:EH307)</f>
        <v>65690.831000000006</v>
      </c>
      <c r="EI308" s="444">
        <f>SUM(EI303:EI307)</f>
        <v>73387.831000000006</v>
      </c>
      <c r="EJ308" s="444">
        <f>SUM(EJ303:EJ307)</f>
        <v>85985.831000000006</v>
      </c>
      <c r="EL308" s="444">
        <f>SUM(EL303:EL307)</f>
        <v>90758.831000000006</v>
      </c>
      <c r="EM308" s="444">
        <f>SUM(EM303:EM307)</f>
        <v>104623.83100000001</v>
      </c>
      <c r="EN308" s="444">
        <f>SUM(EN303:EN307)</f>
        <v>121876.83100000002</v>
      </c>
      <c r="EO308" s="444">
        <f>SUM(EO303:EO307)</f>
        <v>154759.83100000001</v>
      </c>
      <c r="EQ308" s="444">
        <f>SUM(EQ303:EQ307)</f>
        <v>177695.83100000001</v>
      </c>
      <c r="ER308" s="444">
        <f>SUM(ER303:ER307)</f>
        <v>205046.28275985163</v>
      </c>
      <c r="ES308" s="444">
        <f>SUM(ES303:ES307)</f>
        <v>243053.10845100984</v>
      </c>
      <c r="ET308" s="444">
        <f>SUM(ET303:ET307)</f>
        <v>290191.40443916008</v>
      </c>
      <c r="EV308" s="444">
        <f>SUM(EV303:EV307)</f>
        <v>341635.28294229484</v>
      </c>
      <c r="EW308" s="444">
        <f>SUM(EW303:EW307)</f>
        <v>400887.1960245329</v>
      </c>
      <c r="EX308" s="444">
        <f>SUM(EX303:EX307)</f>
        <v>468262.03942624992</v>
      </c>
      <c r="EY308" s="444">
        <f>SUM(EY303:EY307)</f>
        <v>542244.38941492373</v>
      </c>
      <c r="FA308" s="444">
        <f>SUM(FA303:FA307)</f>
        <v>618935.93335214071</v>
      </c>
      <c r="FB308" s="444">
        <f>SUM(FB303:FB307)</f>
        <v>695408.90781659482</v>
      </c>
      <c r="FC308" s="444">
        <f>SUM(FC303:FC307)</f>
        <v>780011.06772791583</v>
      </c>
      <c r="FD308" s="444">
        <f>SUM(FD303:FD307)</f>
        <v>870771.87441237492</v>
      </c>
      <c r="FF308" s="444">
        <f>SUM(FF303:FF307)</f>
        <v>959962.35749135271</v>
      </c>
      <c r="FG308" s="444">
        <f>SUM(FG303:FG307)</f>
        <v>1050556.0439944826</v>
      </c>
      <c r="FH308" s="444">
        <f>SUM(FH303:FH307)</f>
        <v>1145404.8613410639</v>
      </c>
      <c r="FI308" s="444">
        <f>SUM(FI303:FI307)</f>
        <v>1243105.9879329249</v>
      </c>
      <c r="FK308" s="444">
        <f>SUM(FK303:FK307)</f>
        <v>1340683.9880832406</v>
      </c>
      <c r="FL308" s="444">
        <f>SUM(FL303:FL307)</f>
        <v>1438107.9999855773</v>
      </c>
      <c r="FM308" s="444">
        <f>SUM(FM303:FM307)</f>
        <v>1544378.5231577973</v>
      </c>
      <c r="FN308" s="444">
        <f>SUM(FN303:FN307)</f>
        <v>1656868.5079599493</v>
      </c>
    </row>
    <row r="309" spans="1:170" hidden="1" outlineLevel="2">
      <c r="AD309" s="148"/>
      <c r="AE309" s="148"/>
      <c r="AF309" s="148"/>
      <c r="AU309" s="448"/>
      <c r="AV309" s="448"/>
      <c r="AW309" s="448">
        <f>AW102</f>
        <v>1845.7170000000001</v>
      </c>
      <c r="AX309" s="448">
        <f>AX102</f>
        <v>2006.9190000000001</v>
      </c>
      <c r="AY309" s="448"/>
      <c r="AZ309" s="448">
        <f>AZ102</f>
        <v>2095.8939999999998</v>
      </c>
      <c r="BA309" s="449">
        <f>BA102</f>
        <v>2260.2779999999998</v>
      </c>
      <c r="BB309" s="448">
        <f>BB102</f>
        <v>2477.9259999999999</v>
      </c>
      <c r="BC309" s="448">
        <f>BC102</f>
        <v>2617.9119999999998</v>
      </c>
      <c r="BD309" s="448"/>
      <c r="BE309" s="448">
        <f>BE102</f>
        <v>2737.1779999999999</v>
      </c>
      <c r="BF309" s="448">
        <f>BF102</f>
        <v>2662.915</v>
      </c>
      <c r="BG309" s="448">
        <f>BG102</f>
        <v>2487.0749999999998</v>
      </c>
      <c r="BH309" s="448">
        <f>BH102</f>
        <v>2394.652</v>
      </c>
      <c r="BI309" s="448"/>
      <c r="BJ309" s="448">
        <f>BJ102</f>
        <v>2318.8760000000002</v>
      </c>
      <c r="BK309" s="448">
        <f>BK102</f>
        <v>2247.4090000000001</v>
      </c>
      <c r="BL309" s="448">
        <f>BL102</f>
        <v>2423.6350000000002</v>
      </c>
      <c r="BM309" s="448">
        <f>BM102</f>
        <v>2665.14</v>
      </c>
      <c r="BN309" s="448"/>
      <c r="BO309" s="450">
        <f>BO102</f>
        <v>2860.645</v>
      </c>
      <c r="BP309" s="450">
        <f>BP102</f>
        <v>2760.5140000000001</v>
      </c>
      <c r="BQ309" s="450">
        <f>BQ102</f>
        <v>2897.88</v>
      </c>
      <c r="BR309" s="450">
        <f>BR102</f>
        <v>3181.462</v>
      </c>
      <c r="BS309" s="450"/>
      <c r="BT309" s="451">
        <f>BT102</f>
        <v>3447.808</v>
      </c>
      <c r="BU309" s="448">
        <f>BU102</f>
        <v>3689.4690000000001</v>
      </c>
      <c r="BV309" s="448">
        <f>BV102</f>
        <v>3973.45</v>
      </c>
      <c r="BW309" s="448">
        <f>BW102</f>
        <v>4145.7240000000002</v>
      </c>
      <c r="BX309" s="448"/>
      <c r="BY309" s="448">
        <f>BY102</f>
        <v>4287.4279999999999</v>
      </c>
      <c r="BZ309" s="448">
        <f>BZ102</f>
        <v>4453.665</v>
      </c>
      <c r="CA309" s="448">
        <f>CA102</f>
        <v>4722.8459999999995</v>
      </c>
      <c r="CB309" s="448">
        <f>CB102</f>
        <v>4827.7030000000004</v>
      </c>
      <c r="CC309" s="448"/>
      <c r="CD309" s="448">
        <f>CD102</f>
        <v>4824.1840000000002</v>
      </c>
      <c r="CE309" s="448">
        <f>CE102</f>
        <v>4172.1729999999998</v>
      </c>
      <c r="CF309" s="448">
        <f>CF102</f>
        <v>4320.6469999999999</v>
      </c>
      <c r="CG309" s="448">
        <f>CG102</f>
        <v>4456.3980000000001</v>
      </c>
      <c r="CH309" s="448"/>
      <c r="CI309" s="448">
        <f>CI102</f>
        <v>4166.9849999999997</v>
      </c>
      <c r="CJ309" s="448">
        <f>CJ102</f>
        <v>4304.7860000000001</v>
      </c>
      <c r="CK309" s="448">
        <f>CK102</f>
        <v>4204.5929999999998</v>
      </c>
      <c r="CL309" s="448">
        <f>CL102</f>
        <v>4417.982</v>
      </c>
      <c r="CM309" s="448"/>
      <c r="CN309" s="448">
        <f>CN102</f>
        <v>4556</v>
      </c>
      <c r="CO309" s="448">
        <f>CO102</f>
        <v>4185</v>
      </c>
      <c r="CP309" s="448">
        <f>CP102</f>
        <v>4465</v>
      </c>
      <c r="CQ309" s="448">
        <f>CQ102</f>
        <v>4469</v>
      </c>
      <c r="CR309" s="448"/>
      <c r="CS309" s="448">
        <f>CS102</f>
        <v>4196</v>
      </c>
      <c r="CT309" s="448">
        <f>CT102</f>
        <v>4480</v>
      </c>
      <c r="CU309" s="448">
        <f>CU102</f>
        <v>5324</v>
      </c>
      <c r="CV309" s="448">
        <f>CV102</f>
        <v>5762</v>
      </c>
      <c r="CW309" s="448"/>
      <c r="CX309" s="448">
        <f>CX102</f>
        <v>6132</v>
      </c>
      <c r="CY309" s="448">
        <f>CY102</f>
        <v>5973</v>
      </c>
      <c r="CZ309" s="448">
        <f>CZ102</f>
        <v>6353</v>
      </c>
      <c r="DA309" s="448">
        <f>DA102</f>
        <v>7471</v>
      </c>
      <c r="DC309" s="448">
        <f>DC102</f>
        <v>7717</v>
      </c>
      <c r="DD309" s="448">
        <f>DD102</f>
        <v>8795</v>
      </c>
      <c r="DE309" s="448">
        <f>DE102</f>
        <v>9475</v>
      </c>
      <c r="DF309" s="448">
        <f>DF102</f>
        <v>9342</v>
      </c>
      <c r="DH309" s="448">
        <f>DH102</f>
        <v>9704</v>
      </c>
      <c r="DI309" s="448">
        <f>DI102</f>
        <v>10336</v>
      </c>
      <c r="DJ309" s="448">
        <f>DJ102</f>
        <v>11214</v>
      </c>
      <c r="DK309" s="448">
        <f>DK102</f>
        <v>12204</v>
      </c>
      <c r="DM309" s="448">
        <f>DM102</f>
        <v>13099</v>
      </c>
      <c r="DN309" s="448">
        <f>DN102</f>
        <v>13914</v>
      </c>
      <c r="DO309" s="448">
        <f>DO102</f>
        <v>15334</v>
      </c>
      <c r="DP309" s="448">
        <f>DP102</f>
        <v>16893</v>
      </c>
      <c r="DR309" s="448">
        <f>DR102</f>
        <v>18774</v>
      </c>
      <c r="DS309" s="448">
        <f>DS102</f>
        <v>21147</v>
      </c>
      <c r="DT309" s="448">
        <f>DT102</f>
        <v>23798</v>
      </c>
      <c r="DU309" s="448">
        <f>DU102</f>
        <v>26612</v>
      </c>
      <c r="DW309" s="448">
        <f>DW102</f>
        <v>26320</v>
      </c>
      <c r="DX309" s="448">
        <f>DX102</f>
        <v>23851</v>
      </c>
      <c r="DY309" s="448">
        <f>DY102</f>
        <v>21349</v>
      </c>
      <c r="DZ309" s="448">
        <f>DZ102</f>
        <v>22101</v>
      </c>
      <c r="EB309" s="448">
        <f>EB102</f>
        <v>24520</v>
      </c>
      <c r="EC309" s="448">
        <f>EC102</f>
        <v>27501</v>
      </c>
      <c r="ED309" s="448">
        <f>ED102</f>
        <v>33265</v>
      </c>
      <c r="EE309" s="448">
        <f>EE102</f>
        <v>42978</v>
      </c>
      <c r="EG309" s="448">
        <f>EG102</f>
        <v>49142</v>
      </c>
      <c r="EH309" s="448">
        <f>EH102</f>
        <v>58157</v>
      </c>
      <c r="EI309" s="448">
        <f>EI102</f>
        <v>65899</v>
      </c>
      <c r="EJ309" s="448">
        <f>EJ102</f>
        <v>79327</v>
      </c>
      <c r="EL309" s="448">
        <f>EL102</f>
        <v>83843</v>
      </c>
      <c r="EM309" s="448">
        <f>EM102</f>
        <v>100131</v>
      </c>
      <c r="EN309" s="448">
        <f>EN102</f>
        <v>118897</v>
      </c>
      <c r="EO309" s="448">
        <f>EO102</f>
        <v>157293</v>
      </c>
      <c r="EQ309" s="448">
        <f>EQ102</f>
        <v>195474</v>
      </c>
      <c r="ER309" s="448">
        <f>ER102</f>
        <v>222824.45175985162</v>
      </c>
      <c r="ES309" s="448">
        <f>ES102</f>
        <v>260831.27745100981</v>
      </c>
      <c r="ET309" s="448">
        <f>ET102</f>
        <v>307969.57343916007</v>
      </c>
      <c r="EV309" s="448">
        <f>EV102</f>
        <v>359413.45194229489</v>
      </c>
      <c r="EW309" s="448">
        <f>EW102</f>
        <v>418665.36502453295</v>
      </c>
      <c r="EX309" s="448">
        <f>EX102</f>
        <v>486040.20842624997</v>
      </c>
      <c r="EY309" s="448">
        <f>EY102</f>
        <v>560022.55841492384</v>
      </c>
      <c r="FA309" s="448">
        <f>FA102</f>
        <v>636714.10235214082</v>
      </c>
      <c r="FB309" s="448">
        <f>FB102</f>
        <v>713187.07681659493</v>
      </c>
      <c r="FC309" s="448">
        <f>FC102</f>
        <v>797789.23672791594</v>
      </c>
      <c r="FD309" s="448">
        <f>FD102</f>
        <v>888550.04341237503</v>
      </c>
      <c r="FF309" s="448">
        <f>FF102</f>
        <v>977740.52649135282</v>
      </c>
      <c r="FG309" s="448">
        <f>FG102</f>
        <v>1068334.2129944826</v>
      </c>
      <c r="FH309" s="448">
        <f>FH102</f>
        <v>1163183.0303410639</v>
      </c>
      <c r="FI309" s="448">
        <f>FI102</f>
        <v>1260884.1569329249</v>
      </c>
      <c r="FK309" s="448">
        <f>FK102</f>
        <v>1358462.1570832406</v>
      </c>
      <c r="FL309" s="448">
        <f>FL102</f>
        <v>1455886.1689855773</v>
      </c>
      <c r="FM309" s="448">
        <f>FM102</f>
        <v>1562156.6921577973</v>
      </c>
      <c r="FN309" s="448">
        <f>FN102</f>
        <v>1674646.6769599493</v>
      </c>
    </row>
    <row r="310" spans="1:170" hidden="1" outlineLevel="2">
      <c r="A310" s="171" t="s">
        <v>547</v>
      </c>
      <c r="AD310" s="206">
        <v>315.58004399999999</v>
      </c>
      <c r="AE310" s="206"/>
      <c r="AF310" s="150">
        <v>318.13434000000001</v>
      </c>
      <c r="AG310" s="150">
        <v>321.19002599999999</v>
      </c>
      <c r="AH310" s="150">
        <v>324.34550200000001</v>
      </c>
      <c r="AI310" s="150">
        <v>330.90576199999998</v>
      </c>
      <c r="AJ310" s="150"/>
      <c r="AK310" s="149">
        <v>331.86200000000002</v>
      </c>
      <c r="AL310" s="150">
        <v>333.08243199999998</v>
      </c>
      <c r="AM310" s="150">
        <v>332.42581200000001</v>
      </c>
      <c r="AN310" s="452">
        <v>339.85256399999997</v>
      </c>
      <c r="AO310" s="452"/>
      <c r="AP310" s="452">
        <v>337.91673600000001</v>
      </c>
      <c r="AQ310" s="452">
        <v>337.384142</v>
      </c>
      <c r="AR310" s="452">
        <v>342.352442</v>
      </c>
      <c r="AS310" s="452">
        <v>348.97079200000002</v>
      </c>
      <c r="AT310" s="452"/>
      <c r="AU310" s="452">
        <v>352.51303799999999</v>
      </c>
      <c r="AV310" s="452">
        <f>AV46+1</f>
        <v>21015.64</v>
      </c>
      <c r="AW310" s="452">
        <v>355.54498899999999</v>
      </c>
      <c r="AX310" s="452">
        <f>AX46+1</f>
        <v>21527.86</v>
      </c>
      <c r="AY310" s="452"/>
      <c r="AZ310" s="452">
        <f>AZ46+1</f>
        <v>21650.86</v>
      </c>
      <c r="BA310" s="453">
        <v>365.87487199999998</v>
      </c>
      <c r="BB310" s="452">
        <f>BB46+1</f>
        <v>22199.64</v>
      </c>
      <c r="BC310" s="452">
        <f>BC46+1</f>
        <v>22286.720000000001</v>
      </c>
      <c r="BD310" s="452"/>
      <c r="BE310" s="452">
        <f>BE46+1</f>
        <v>22227.919999999998</v>
      </c>
      <c r="BF310" s="452">
        <f>BF46+1</f>
        <v>22217.68</v>
      </c>
      <c r="BG310" s="452">
        <f>BG46+1</f>
        <v>21753.279999999999</v>
      </c>
      <c r="BH310" s="452">
        <f>BH46+1</f>
        <v>21504.800000000003</v>
      </c>
      <c r="BI310" s="452"/>
      <c r="BJ310" s="452">
        <f>BJ46+1</f>
        <v>21693.279999999999</v>
      </c>
      <c r="BK310" s="452">
        <f>BK46+1</f>
        <v>21866.560000000001</v>
      </c>
      <c r="BL310" s="452">
        <f>BL46+1</f>
        <v>22052.32</v>
      </c>
      <c r="BM310" s="452">
        <f>BM46+1</f>
        <v>22300.160000000003</v>
      </c>
      <c r="BN310" s="452"/>
      <c r="BO310" s="152">
        <f>BO46+1</f>
        <v>22688.32</v>
      </c>
      <c r="BP310" s="152">
        <f>BP48</f>
        <v>23295.32</v>
      </c>
      <c r="BQ310" s="152">
        <f>BQ48</f>
        <v>23305.920000000002</v>
      </c>
      <c r="BR310" s="152">
        <f>BR48</f>
        <v>24062.36</v>
      </c>
      <c r="BS310" s="152"/>
      <c r="BT310" s="454">
        <f>BT48</f>
        <v>24538.960000000003</v>
      </c>
      <c r="BU310" s="207">
        <f>BU48</f>
        <v>24557.360000000001</v>
      </c>
      <c r="BV310" s="207">
        <f>BV48</f>
        <v>24542.399999999998</v>
      </c>
      <c r="BW310" s="207">
        <f>BW48</f>
        <v>24743.960000000003</v>
      </c>
      <c r="BX310" s="207"/>
      <c r="BY310" s="207">
        <f>BY48</f>
        <v>24951.439999999999</v>
      </c>
      <c r="BZ310" s="207">
        <f>BZ48</f>
        <v>24925.72</v>
      </c>
      <c r="CA310" s="207">
        <f>CA48</f>
        <v>25153.800000000003</v>
      </c>
      <c r="CB310" s="207">
        <f>CB48</f>
        <v>24880.720000000001</v>
      </c>
      <c r="CC310" s="207"/>
      <c r="CD310" s="207">
        <f>CD48</f>
        <v>24772.080000000002</v>
      </c>
      <c r="CE310" s="207">
        <f>CE48</f>
        <v>23680.239999999998</v>
      </c>
      <c r="CF310" s="207">
        <f>CF48</f>
        <v>23550.079999999998</v>
      </c>
      <c r="CG310" s="207">
        <f>CG48</f>
        <v>23094.239999999998</v>
      </c>
      <c r="CH310" s="207"/>
      <c r="CI310" s="207">
        <f>CI48</f>
        <v>22816.880000000001</v>
      </c>
      <c r="CJ310" s="207">
        <f>CJ48</f>
        <v>22822.880000000001</v>
      </c>
      <c r="CK310" s="207">
        <f>CK48</f>
        <v>22328.04</v>
      </c>
      <c r="CL310" s="207">
        <f>CL48</f>
        <v>22262.92</v>
      </c>
      <c r="CM310" s="207"/>
      <c r="CN310" s="207">
        <f>CN48</f>
        <v>22480</v>
      </c>
      <c r="CO310" s="207">
        <f>CO48</f>
        <v>22080</v>
      </c>
      <c r="CP310" s="207">
        <f>CP48</f>
        <v>22200</v>
      </c>
      <c r="CQ310" s="207">
        <f>CQ48</f>
        <v>22680</v>
      </c>
      <c r="CR310" s="207"/>
      <c r="CS310" s="207">
        <f>CS48</f>
        <v>22720</v>
      </c>
      <c r="CT310" s="207">
        <f>CT48</f>
        <v>23640</v>
      </c>
      <c r="CU310" s="207">
        <f>CU48</f>
        <v>24320</v>
      </c>
      <c r="CV310" s="207">
        <f>CV48</f>
        <v>24960</v>
      </c>
      <c r="CW310" s="207"/>
      <c r="CX310" s="207">
        <f>CX48</f>
        <v>25080</v>
      </c>
      <c r="CY310" s="207">
        <f>CY48</f>
        <v>25160</v>
      </c>
      <c r="CZ310" s="207">
        <f>CZ48</f>
        <v>25040</v>
      </c>
      <c r="DA310" s="207">
        <f>DA48</f>
        <v>25080</v>
      </c>
      <c r="DC310" s="207">
        <f>DC48</f>
        <v>25080</v>
      </c>
      <c r="DD310" s="207">
        <f>DD48</f>
        <v>25000</v>
      </c>
      <c r="DE310" s="207">
        <f>DE48</f>
        <v>25000</v>
      </c>
      <c r="DF310" s="207">
        <f>DF48</f>
        <v>24760</v>
      </c>
      <c r="DH310" s="207">
        <f>DH48</f>
        <v>24640</v>
      </c>
      <c r="DI310" s="207">
        <f>DI48</f>
        <v>24640</v>
      </c>
      <c r="DJ310" s="207">
        <f>DJ48</f>
        <v>24720</v>
      </c>
      <c r="DK310" s="207">
        <f>DK48</f>
        <v>24840</v>
      </c>
      <c r="DM310" s="207">
        <f>DM48</f>
        <v>24880</v>
      </c>
      <c r="DN310" s="207">
        <f>DN48</f>
        <v>25040</v>
      </c>
      <c r="DO310" s="207">
        <f>DO48</f>
        <v>25200</v>
      </c>
      <c r="DP310" s="207">
        <f>DP48</f>
        <v>25240</v>
      </c>
      <c r="DR310" s="207">
        <f>DR48</f>
        <v>25280</v>
      </c>
      <c r="DS310" s="207">
        <f>DS48</f>
        <v>25320</v>
      </c>
      <c r="DT310" s="207">
        <f>DT48</f>
        <v>25380</v>
      </c>
      <c r="DU310" s="207">
        <f>DU48</f>
        <v>25450</v>
      </c>
      <c r="DW310" s="207">
        <f>DW48</f>
        <v>25370</v>
      </c>
      <c r="DX310" s="207">
        <f>DX48</f>
        <v>25160</v>
      </c>
      <c r="DY310" s="207">
        <f>DY48</f>
        <v>24990</v>
      </c>
      <c r="DZ310" s="207">
        <f>DZ48</f>
        <v>24770</v>
      </c>
      <c r="EB310" s="207">
        <f>EB48</f>
        <v>24900</v>
      </c>
      <c r="EC310" s="207">
        <f>EC48</f>
        <v>24990</v>
      </c>
      <c r="ED310" s="207">
        <f>ED48</f>
        <v>24940</v>
      </c>
      <c r="EE310" s="207">
        <f>EE48</f>
        <v>24900</v>
      </c>
      <c r="EG310" s="207">
        <f>EG48</f>
        <v>24890</v>
      </c>
      <c r="EH310" s="207">
        <f>EH48</f>
        <v>24848</v>
      </c>
      <c r="EI310" s="207">
        <f>EI48</f>
        <v>24774</v>
      </c>
      <c r="EJ310" s="207">
        <f>EJ48</f>
        <v>24706</v>
      </c>
      <c r="EL310" s="207">
        <f>EL48</f>
        <v>24611</v>
      </c>
      <c r="EM310" s="207">
        <f>EM48</f>
        <v>24532</v>
      </c>
      <c r="EN310" s="207">
        <f>EN48</f>
        <v>24483</v>
      </c>
      <c r="EO310" s="207">
        <f>EO48</f>
        <v>24432</v>
      </c>
      <c r="EQ310" s="207">
        <f>EQ48</f>
        <v>24391</v>
      </c>
      <c r="ER310" s="207">
        <f>ER48</f>
        <v>24283.148705882355</v>
      </c>
      <c r="ES310" s="207">
        <f>ES48</f>
        <v>24175.490974117649</v>
      </c>
      <c r="ET310" s="207">
        <f>ET48</f>
        <v>24068.030558305887</v>
      </c>
      <c r="EV310" s="207">
        <f>EV48</f>
        <v>23946.065404766119</v>
      </c>
      <c r="EW310" s="207">
        <f>EW48</f>
        <v>23824.305301096734</v>
      </c>
      <c r="EX310" s="207">
        <f>EX48</f>
        <v>23688.048348295139</v>
      </c>
      <c r="EY310" s="207">
        <f>EY48</f>
        <v>23552.00449173163</v>
      </c>
      <c r="FA310" s="207">
        <f>FA48</f>
        <v>23416.177875683908</v>
      </c>
      <c r="FB310" s="207">
        <f>FB48</f>
        <v>23280.572727315233</v>
      </c>
      <c r="FC310" s="207">
        <f>FC48</f>
        <v>23145.193358332126</v>
      </c>
      <c r="FD310" s="207">
        <f>FD48</f>
        <v>23010.044166675238</v>
      </c>
      <c r="FF310" s="207">
        <f>FF48</f>
        <v>22860.423755891094</v>
      </c>
      <c r="FG310" s="207">
        <f>FG48</f>
        <v>22711.042583950093</v>
      </c>
      <c r="FH310" s="207">
        <f>FH48</f>
        <v>22561.905317982037</v>
      </c>
      <c r="FI310" s="207">
        <f>FI48</f>
        <v>22413.016718459323</v>
      </c>
      <c r="FK310" s="207">
        <f>FK48</f>
        <v>22249.675758710862</v>
      </c>
      <c r="FL310" s="207">
        <f>FL48</f>
        <v>22086.593273885079</v>
      </c>
      <c r="FM310" s="207">
        <f>FM48</f>
        <v>21923.774315833369</v>
      </c>
      <c r="FN310" s="207">
        <f>FN48</f>
        <v>21761.224037444154</v>
      </c>
    </row>
    <row r="311" spans="1:170" hidden="1" outlineLevel="2">
      <c r="AD311" s="148"/>
      <c r="AE311" s="148"/>
      <c r="AF311" s="148"/>
      <c r="AU311" s="193"/>
      <c r="BP311" s="207"/>
      <c r="BQ311" s="207"/>
      <c r="BT311" s="286"/>
    </row>
    <row r="312" spans="1:170" hidden="1" outlineLevel="2">
      <c r="A312" s="171" t="s">
        <v>548</v>
      </c>
      <c r="AD312" s="148"/>
      <c r="AE312" s="148"/>
      <c r="AF312" s="148"/>
      <c r="AP312" s="150">
        <f>AP313*AP$41</f>
        <v>1.0386249999999997</v>
      </c>
      <c r="AQ312" s="150">
        <f>AQ313*AQ$41</f>
        <v>1.2411829977150342</v>
      </c>
      <c r="AR312" s="150">
        <f>AR313*AR$41</f>
        <v>1.1414863196558409</v>
      </c>
      <c r="AS312" s="150">
        <f>AS313*AS$41</f>
        <v>1.2712437767715086</v>
      </c>
      <c r="AT312" s="150"/>
      <c r="AU312" s="150">
        <v>1.2270000000000001</v>
      </c>
      <c r="AV312" s="150">
        <v>1.746</v>
      </c>
      <c r="AW312" s="150">
        <v>2.3050000000000002</v>
      </c>
      <c r="AX312" s="150">
        <v>2.9220000000000002</v>
      </c>
      <c r="AY312" s="150"/>
      <c r="AZ312" s="150">
        <v>2.8090000000000002</v>
      </c>
      <c r="BA312" s="150">
        <v>2.702</v>
      </c>
      <c r="BB312" s="150">
        <v>2.5659999999999998</v>
      </c>
      <c r="BC312" s="150">
        <f t="shared" ref="BC312:DN312" si="308">BC313*BC$41</f>
        <v>2.765968877917695</v>
      </c>
      <c r="BD312" s="150"/>
      <c r="BE312" s="150">
        <f t="shared" si="308"/>
        <v>3.3775016092241348</v>
      </c>
      <c r="BF312" s="150">
        <v>3.3330000000000002</v>
      </c>
      <c r="BG312" s="150">
        <v>3.5579999999999998</v>
      </c>
      <c r="BH312" s="150">
        <v>1.9119999999999999</v>
      </c>
      <c r="BI312" s="150"/>
      <c r="BJ312" s="150">
        <v>2.23</v>
      </c>
      <c r="BK312" s="150">
        <v>4.8280000000000003</v>
      </c>
      <c r="BL312" s="150">
        <v>2.65</v>
      </c>
      <c r="BM312" s="150">
        <f t="shared" si="308"/>
        <v>1.8426963722151046</v>
      </c>
      <c r="BN312" s="150"/>
      <c r="BO312" s="150">
        <f t="shared" si="308"/>
        <v>2.2836266615957483</v>
      </c>
      <c r="BP312" s="207">
        <f t="shared" si="308"/>
        <v>1.9749292003874637</v>
      </c>
      <c r="BQ312" s="207">
        <f t="shared" si="308"/>
        <v>2.0188517951442053</v>
      </c>
      <c r="BR312" s="207">
        <f t="shared" si="308"/>
        <v>1.7688941895744534</v>
      </c>
      <c r="BS312" s="207"/>
      <c r="BT312" s="150">
        <v>2.4769999999999999</v>
      </c>
      <c r="BU312" s="150">
        <v>2.7480000000000002</v>
      </c>
      <c r="BV312" s="150">
        <v>3.0489999999999999</v>
      </c>
      <c r="BW312" s="174">
        <f>11.322-SUM(BT312:BV312)</f>
        <v>3.048</v>
      </c>
      <c r="BX312" s="174"/>
      <c r="BY312" s="150">
        <v>2.5259999999999998</v>
      </c>
      <c r="BZ312" s="150">
        <v>2.649</v>
      </c>
      <c r="CA312" s="150">
        <f t="shared" si="308"/>
        <v>2.511437606572624</v>
      </c>
      <c r="CB312" s="150">
        <f t="shared" si="308"/>
        <v>2.9375935823903268</v>
      </c>
      <c r="CC312" s="150"/>
      <c r="CD312" s="150">
        <f t="shared" si="308"/>
        <v>2.7427888079367535</v>
      </c>
      <c r="CE312" s="150">
        <f t="shared" si="308"/>
        <v>2.6604977522864672</v>
      </c>
      <c r="CF312" s="150">
        <f t="shared" si="308"/>
        <v>2.816867183382421</v>
      </c>
      <c r="CG312" s="150">
        <f t="shared" si="308"/>
        <v>2.9733187412804214</v>
      </c>
      <c r="CH312" s="150"/>
      <c r="CI312" s="150">
        <f t="shared" si="308"/>
        <v>2.9172261354828701</v>
      </c>
      <c r="CJ312" s="150">
        <f t="shared" si="308"/>
        <v>3.1549011006045569</v>
      </c>
      <c r="CK312" s="150">
        <f t="shared" si="308"/>
        <v>3.4029240427840644</v>
      </c>
      <c r="CL312" s="150">
        <f t="shared" si="308"/>
        <v>3.4879252829018754</v>
      </c>
      <c r="CM312" s="150"/>
      <c r="CN312" s="150">
        <f t="shared" si="308"/>
        <v>3.6957060920787472</v>
      </c>
      <c r="CO312" s="150">
        <f t="shared" si="308"/>
        <v>3.8599596961711358</v>
      </c>
      <c r="CP312" s="150">
        <f t="shared" si="308"/>
        <v>4.1884669043559137</v>
      </c>
      <c r="CQ312" s="150">
        <f t="shared" si="308"/>
        <v>5.0097349248178569</v>
      </c>
      <c r="CR312" s="150"/>
      <c r="CS312" s="150">
        <f t="shared" si="308"/>
        <v>4.3527205084483018</v>
      </c>
      <c r="CT312" s="150">
        <f t="shared" si="308"/>
        <v>4.7633545186792743</v>
      </c>
      <c r="CU312" s="150">
        <f t="shared" si="308"/>
        <v>5.3382421330026348</v>
      </c>
      <c r="CV312" s="150">
        <f t="shared" si="308"/>
        <v>5.8310029452798009</v>
      </c>
      <c r="CW312" s="150"/>
      <c r="CX312" s="150">
        <f t="shared" si="308"/>
        <v>6.2416369555107725</v>
      </c>
      <c r="CY312" s="150">
        <f t="shared" si="308"/>
        <v>6.6522709657417449</v>
      </c>
      <c r="CZ312" s="150">
        <f t="shared" si="308"/>
        <v>8.787567818942799</v>
      </c>
      <c r="DA312" s="150">
        <f t="shared" si="308"/>
        <v>10.347977057820492</v>
      </c>
      <c r="DC312" s="150">
        <f t="shared" si="308"/>
        <v>10.594357463959074</v>
      </c>
      <c r="DD312" s="150">
        <f t="shared" si="308"/>
        <v>10.758611068051463</v>
      </c>
      <c r="DE312" s="150">
        <f t="shared" si="308"/>
        <v>12.407564534654528</v>
      </c>
      <c r="DF312" s="150">
        <f t="shared" si="308"/>
        <v>13.263961629295958</v>
      </c>
      <c r="DH312" s="150">
        <f t="shared" si="308"/>
        <v>16.420860310496618</v>
      </c>
      <c r="DI312" s="150">
        <f t="shared" si="308"/>
        <v>20.960958071685951</v>
      </c>
      <c r="DJ312" s="150">
        <f t="shared" si="308"/>
        <v>20.106117367839364</v>
      </c>
      <c r="DK312" s="150">
        <f t="shared" si="308"/>
        <v>19.472333779272056</v>
      </c>
      <c r="DM312" s="150">
        <f t="shared" si="308"/>
        <v>20.326383506433107</v>
      </c>
      <c r="DN312" s="150">
        <f t="shared" si="308"/>
        <v>34.152331283971975</v>
      </c>
      <c r="DO312" s="150">
        <f>DO313*DO$41</f>
        <v>33.925840463458776</v>
      </c>
      <c r="DP312" s="150">
        <f>DP313*DP$41</f>
        <v>36.181602590557787</v>
      </c>
      <c r="DR312" s="150">
        <f>DR313*DR$41</f>
        <v>38.953866876907441</v>
      </c>
      <c r="DS312" s="150">
        <f>DS313*DS$41</f>
        <v>45.249850911462161</v>
      </c>
      <c r="DT312" s="150">
        <f>DT313*DT$41</f>
        <v>52.774295154974268</v>
      </c>
      <c r="DU312" s="150">
        <f>DU313*DU$41</f>
        <v>49.697835658803449</v>
      </c>
      <c r="DW312" s="150">
        <f>DW313*DW$41</f>
        <v>53.907908826127901</v>
      </c>
      <c r="DX312" s="150">
        <f>DX313*DX$41</f>
        <v>53.96036009489012</v>
      </c>
      <c r="DY312" s="150">
        <f>DY313*DY$41</f>
        <v>65.554786633301575</v>
      </c>
      <c r="DZ312" s="150">
        <f>DZ313*DZ$41</f>
        <v>63.28799407378844</v>
      </c>
      <c r="EB312" s="150">
        <f>EB313*EB$41</f>
        <v>69.77478571485301</v>
      </c>
      <c r="EC312" s="150">
        <f>EC313*EC$41</f>
        <v>81.011047296970958</v>
      </c>
      <c r="ED312" s="150">
        <f>ED313*ED$41</f>
        <v>94.139510691839064</v>
      </c>
      <c r="EE312" s="150">
        <f>EE313*EE$41</f>
        <v>95.15766259863382</v>
      </c>
      <c r="EG312" s="150">
        <f>EG313*EG$41</f>
        <v>100.04708260311374</v>
      </c>
      <c r="EH312" s="150">
        <f>EH313*EH$41</f>
        <v>113.58719052012158</v>
      </c>
      <c r="EI312" s="150">
        <f>EI313*EI$41</f>
        <v>121.71727262395774</v>
      </c>
      <c r="EJ312" s="150">
        <f>EJ313*EJ$41</f>
        <v>127.69862804450334</v>
      </c>
      <c r="EL312" s="150">
        <f>EL313*EL$41</f>
        <v>144.35435509019379</v>
      </c>
      <c r="EM312" s="150">
        <f>EM313*EM$41</f>
        <v>158.73168116041029</v>
      </c>
      <c r="EN312" s="150">
        <f>EN313*EN$41</f>
        <v>163.97924054319768</v>
      </c>
      <c r="EO312" s="150">
        <f>EO313*EO$41</f>
        <v>158.44208425247911</v>
      </c>
      <c r="EQ312" s="150">
        <f>EQ313*EQ$41</f>
        <v>187.32976162721135</v>
      </c>
      <c r="ER312" s="150">
        <f>ER313*ER$41</f>
        <v>164.7760492909477</v>
      </c>
      <c r="ES312" s="150">
        <f>ES313*ES$41</f>
        <v>168.03199109505763</v>
      </c>
      <c r="ET312" s="150">
        <f>ET313*ET$41</f>
        <v>171.35107277616433</v>
      </c>
      <c r="EV312" s="150">
        <f>EV313*EV$41</f>
        <v>174.73455713180775</v>
      </c>
      <c r="EW312" s="150">
        <f>EW313*EW$41</f>
        <v>178.18373221547853</v>
      </c>
      <c r="EX312" s="150">
        <f>EX313*EX$41</f>
        <v>181.69991184173728</v>
      </c>
      <c r="EY312" s="150">
        <f>EY313*EY$41</f>
        <v>185.28443610143577</v>
      </c>
      <c r="FA312" s="150">
        <f>FA313*FA$41</f>
        <v>188.93867188724278</v>
      </c>
      <c r="FB312" s="150">
        <f>FB313*FB$41</f>
        <v>192.66401342968044</v>
      </c>
      <c r="FC312" s="150">
        <f>FC313*FC$41</f>
        <v>196.46188284388143</v>
      </c>
      <c r="FD312" s="150">
        <f>FD313*FD$41</f>
        <v>200.33373068728105</v>
      </c>
      <c r="FF312" s="150">
        <f>FF313*FF$41</f>
        <v>204.28103652846315</v>
      </c>
      <c r="FG312" s="150">
        <f>FG313*FG$41</f>
        <v>208.30530952738346</v>
      </c>
      <c r="FH312" s="150">
        <f>FH313*FH$41</f>
        <v>212.4080890271967</v>
      </c>
      <c r="FI312" s="150">
        <f>FI313*FI$41</f>
        <v>216.59094515792077</v>
      </c>
      <c r="FK312" s="150">
        <f>FK313*FK$41</f>
        <v>220.85547945217388</v>
      </c>
      <c r="FL312" s="150">
        <f>FL313*FL$41</f>
        <v>225.20332547322658</v>
      </c>
      <c r="FM312" s="150">
        <f>FM313*FM$41</f>
        <v>229.63614945561491</v>
      </c>
      <c r="FN312" s="150">
        <f>FN313*FN$41</f>
        <v>234.15565095856553</v>
      </c>
    </row>
    <row r="313" spans="1:170" s="457" customFormat="1" hidden="1" outlineLevel="2">
      <c r="A313" s="455"/>
      <c r="B313" s="456"/>
      <c r="C313" s="456"/>
      <c r="D313" s="456"/>
      <c r="E313" s="456"/>
      <c r="F313" s="456"/>
      <c r="G313" s="456"/>
      <c r="H313" s="456"/>
      <c r="I313" s="456"/>
      <c r="J313" s="456"/>
      <c r="K313" s="456"/>
      <c r="L313" s="456"/>
      <c r="M313" s="456"/>
      <c r="N313" s="456"/>
      <c r="O313" s="456"/>
      <c r="P313" s="456"/>
      <c r="Q313" s="456"/>
      <c r="R313" s="456"/>
      <c r="S313" s="456"/>
      <c r="T313" s="456"/>
      <c r="U313" s="456"/>
      <c r="V313" s="456"/>
      <c r="W313" s="456"/>
      <c r="X313" s="456"/>
      <c r="Y313" s="456"/>
      <c r="Z313" s="456"/>
      <c r="AA313" s="456"/>
      <c r="AB313" s="456"/>
      <c r="AC313" s="456"/>
      <c r="AD313" s="456"/>
      <c r="AE313" s="456"/>
      <c r="AF313" s="456"/>
      <c r="AK313" s="271"/>
      <c r="AL313" s="271"/>
      <c r="AM313" s="271"/>
      <c r="AN313" s="271"/>
      <c r="AO313" s="271"/>
      <c r="AP313" s="175">
        <v>0.05</v>
      </c>
      <c r="AQ313" s="175">
        <v>0.05</v>
      </c>
      <c r="AR313" s="175">
        <v>0.05</v>
      </c>
      <c r="AS313" s="175">
        <v>0.05</v>
      </c>
      <c r="AT313" s="175"/>
      <c r="AU313" s="175">
        <f t="shared" ref="AU313:BB313" si="309">AU312/AU$41</f>
        <v>5.5208098987626547E-2</v>
      </c>
      <c r="AV313" s="175">
        <f t="shared" si="309"/>
        <v>6.0603956959389103E-2</v>
      </c>
      <c r="AW313" s="175">
        <f t="shared" si="309"/>
        <v>7.2632739877107305E-2</v>
      </c>
      <c r="AX313" s="175">
        <f t="shared" si="309"/>
        <v>8.6171812793063796E-2</v>
      </c>
      <c r="AY313" s="175"/>
      <c r="AZ313" s="175">
        <f t="shared" si="309"/>
        <v>7.5096912177516378E-2</v>
      </c>
      <c r="BA313" s="175">
        <f t="shared" si="309"/>
        <v>9.1717583163611671E-2</v>
      </c>
      <c r="BB313" s="175">
        <f t="shared" si="309"/>
        <v>8.017998312658188E-2</v>
      </c>
      <c r="BC313" s="175">
        <f>BB313</f>
        <v>8.017998312658188E-2</v>
      </c>
      <c r="BD313" s="175"/>
      <c r="BE313" s="175">
        <f>BC313</f>
        <v>8.017998312658188E-2</v>
      </c>
      <c r="BF313" s="175">
        <f t="shared" ref="BF313:BM313" si="310">BE313</f>
        <v>8.017998312658188E-2</v>
      </c>
      <c r="BG313" s="175">
        <f t="shared" si="310"/>
        <v>8.017998312658188E-2</v>
      </c>
      <c r="BH313" s="175">
        <f t="shared" si="310"/>
        <v>8.017998312658188E-2</v>
      </c>
      <c r="BI313" s="175"/>
      <c r="BJ313" s="175">
        <f>BH313</f>
        <v>8.017998312658188E-2</v>
      </c>
      <c r="BK313" s="175">
        <f t="shared" si="310"/>
        <v>8.017998312658188E-2</v>
      </c>
      <c r="BL313" s="175">
        <f t="shared" si="310"/>
        <v>8.017998312658188E-2</v>
      </c>
      <c r="BM313" s="175">
        <f t="shared" si="310"/>
        <v>8.017998312658188E-2</v>
      </c>
      <c r="BN313" s="175"/>
      <c r="BO313" s="175">
        <f>BM313</f>
        <v>8.017998312658188E-2</v>
      </c>
      <c r="BP313" s="458">
        <f>BO313</f>
        <v>8.017998312658188E-2</v>
      </c>
      <c r="BQ313" s="458">
        <f>BP313</f>
        <v>8.017998312658188E-2</v>
      </c>
      <c r="BR313" s="458">
        <f>BQ313</f>
        <v>8.017998312658188E-2</v>
      </c>
      <c r="BS313" s="458"/>
      <c r="BT313" s="175">
        <f t="shared" ref="BT313:BZ317" si="311">BT312/BT$41</f>
        <v>7.8042786477204695E-2</v>
      </c>
      <c r="BU313" s="175">
        <f t="shared" si="311"/>
        <v>7.6439499304589709E-2</v>
      </c>
      <c r="BV313" s="175">
        <f t="shared" si="311"/>
        <v>9.175720003611304E-2</v>
      </c>
      <c r="BW313" s="175">
        <f t="shared" si="311"/>
        <v>8.601422282424652E-2</v>
      </c>
      <c r="BX313" s="175"/>
      <c r="BY313" s="175">
        <f t="shared" si="311"/>
        <v>7.1016896735921722E-2</v>
      </c>
      <c r="BZ313" s="175">
        <f t="shared" si="311"/>
        <v>8.212680204619438E-2</v>
      </c>
      <c r="CA313" s="459">
        <f t="shared" ref="CA313:CG313" si="312">BZ313</f>
        <v>8.212680204619438E-2</v>
      </c>
      <c r="CB313" s="459">
        <f>CA313</f>
        <v>8.212680204619438E-2</v>
      </c>
      <c r="CC313" s="459"/>
      <c r="CD313" s="459">
        <f>CB313</f>
        <v>8.212680204619438E-2</v>
      </c>
      <c r="CE313" s="459">
        <f t="shared" si="312"/>
        <v>8.212680204619438E-2</v>
      </c>
      <c r="CF313" s="459">
        <f t="shared" si="312"/>
        <v>8.212680204619438E-2</v>
      </c>
      <c r="CG313" s="459">
        <f t="shared" si="312"/>
        <v>8.212680204619438E-2</v>
      </c>
      <c r="CH313" s="459"/>
      <c r="CI313" s="459">
        <f>CG313</f>
        <v>8.212680204619438E-2</v>
      </c>
      <c r="CJ313" s="459">
        <f t="shared" ref="CJ313:CQ313" si="313">CI313</f>
        <v>8.212680204619438E-2</v>
      </c>
      <c r="CK313" s="459">
        <f t="shared" si="313"/>
        <v>8.212680204619438E-2</v>
      </c>
      <c r="CL313" s="459">
        <f t="shared" si="313"/>
        <v>8.212680204619438E-2</v>
      </c>
      <c r="CM313" s="459"/>
      <c r="CN313" s="459">
        <f>CL313</f>
        <v>8.212680204619438E-2</v>
      </c>
      <c r="CO313" s="459">
        <f t="shared" si="313"/>
        <v>8.212680204619438E-2</v>
      </c>
      <c r="CP313" s="459">
        <f t="shared" si="313"/>
        <v>8.212680204619438E-2</v>
      </c>
      <c r="CQ313" s="459">
        <f t="shared" si="313"/>
        <v>8.212680204619438E-2</v>
      </c>
      <c r="CR313" s="459"/>
      <c r="CS313" s="459">
        <f>CQ313</f>
        <v>8.212680204619438E-2</v>
      </c>
      <c r="CT313" s="459">
        <f>CS313</f>
        <v>8.212680204619438E-2</v>
      </c>
      <c r="CU313" s="459">
        <f>CT313</f>
        <v>8.212680204619438E-2</v>
      </c>
      <c r="CV313" s="459">
        <f>CU313</f>
        <v>8.212680204619438E-2</v>
      </c>
      <c r="CW313" s="459"/>
      <c r="CX313" s="459">
        <f>CV313</f>
        <v>8.212680204619438E-2</v>
      </c>
      <c r="CY313" s="459">
        <f>CX313</f>
        <v>8.212680204619438E-2</v>
      </c>
      <c r="CZ313" s="459">
        <f>CY313</f>
        <v>8.212680204619438E-2</v>
      </c>
      <c r="DA313" s="459">
        <f>CZ313</f>
        <v>8.212680204619438E-2</v>
      </c>
      <c r="DB313" s="456"/>
      <c r="DC313" s="459">
        <f>DA313</f>
        <v>8.212680204619438E-2</v>
      </c>
      <c r="DD313" s="459">
        <f>DC313</f>
        <v>8.212680204619438E-2</v>
      </c>
      <c r="DE313" s="459">
        <f>DD313</f>
        <v>8.212680204619438E-2</v>
      </c>
      <c r="DF313" s="459">
        <f>DE313</f>
        <v>8.212680204619438E-2</v>
      </c>
      <c r="DH313" s="459">
        <f>DF313</f>
        <v>8.212680204619438E-2</v>
      </c>
      <c r="DI313" s="459">
        <f>DH313</f>
        <v>8.212680204619438E-2</v>
      </c>
      <c r="DJ313" s="459">
        <f>DI313</f>
        <v>8.212680204619438E-2</v>
      </c>
      <c r="DK313" s="459">
        <f>DJ313</f>
        <v>8.212680204619438E-2</v>
      </c>
      <c r="DM313" s="459">
        <f>DK313</f>
        <v>8.212680204619438E-2</v>
      </c>
      <c r="DN313" s="459">
        <f>DM313</f>
        <v>8.212680204619438E-2</v>
      </c>
      <c r="DO313" s="459">
        <f>DN313</f>
        <v>8.212680204619438E-2</v>
      </c>
      <c r="DP313" s="459">
        <f>DO313</f>
        <v>8.212680204619438E-2</v>
      </c>
      <c r="DR313" s="459">
        <f>DP313</f>
        <v>8.212680204619438E-2</v>
      </c>
      <c r="DS313" s="459">
        <f>DR313</f>
        <v>8.212680204619438E-2</v>
      </c>
      <c r="DT313" s="459">
        <f>DS313</f>
        <v>8.212680204619438E-2</v>
      </c>
      <c r="DU313" s="459">
        <f>DT313</f>
        <v>8.212680204619438E-2</v>
      </c>
      <c r="DW313" s="459">
        <f>DU313</f>
        <v>8.212680204619438E-2</v>
      </c>
      <c r="DX313" s="459">
        <f>DW313</f>
        <v>8.212680204619438E-2</v>
      </c>
      <c r="DY313" s="459">
        <f>DX313</f>
        <v>8.212680204619438E-2</v>
      </c>
      <c r="DZ313" s="459">
        <f>DY313</f>
        <v>8.212680204619438E-2</v>
      </c>
      <c r="EB313" s="459">
        <f>DZ313</f>
        <v>8.212680204619438E-2</v>
      </c>
      <c r="EC313" s="459">
        <f>EB313</f>
        <v>8.212680204619438E-2</v>
      </c>
      <c r="ED313" s="459">
        <f>EC313</f>
        <v>8.212680204619438E-2</v>
      </c>
      <c r="EE313" s="459">
        <f>ED313</f>
        <v>8.212680204619438E-2</v>
      </c>
      <c r="EG313" s="459">
        <f>EE313</f>
        <v>8.212680204619438E-2</v>
      </c>
      <c r="EH313" s="459">
        <f>EG313</f>
        <v>8.212680204619438E-2</v>
      </c>
      <c r="EI313" s="459">
        <f>EH313</f>
        <v>8.212680204619438E-2</v>
      </c>
      <c r="EJ313" s="459">
        <f>EI313</f>
        <v>8.212680204619438E-2</v>
      </c>
      <c r="EL313" s="459">
        <f>EJ313</f>
        <v>8.212680204619438E-2</v>
      </c>
      <c r="EM313" s="459">
        <f>EL313</f>
        <v>8.212680204619438E-2</v>
      </c>
      <c r="EN313" s="459">
        <f>EM313</f>
        <v>8.212680204619438E-2</v>
      </c>
      <c r="EO313" s="459">
        <f>EN313</f>
        <v>8.212680204619438E-2</v>
      </c>
      <c r="EQ313" s="459">
        <f>EO313</f>
        <v>8.212680204619438E-2</v>
      </c>
      <c r="ER313" s="459">
        <f>EQ313</f>
        <v>8.212680204619438E-2</v>
      </c>
      <c r="ES313" s="459">
        <f>ER313</f>
        <v>8.212680204619438E-2</v>
      </c>
      <c r="ET313" s="459">
        <f>ES313</f>
        <v>8.212680204619438E-2</v>
      </c>
      <c r="EV313" s="459">
        <f>ET313</f>
        <v>8.212680204619438E-2</v>
      </c>
      <c r="EW313" s="459">
        <f>EV313</f>
        <v>8.212680204619438E-2</v>
      </c>
      <c r="EX313" s="459">
        <f>EW313</f>
        <v>8.212680204619438E-2</v>
      </c>
      <c r="EY313" s="459">
        <f>EX313</f>
        <v>8.212680204619438E-2</v>
      </c>
      <c r="FA313" s="459">
        <f>EY313</f>
        <v>8.212680204619438E-2</v>
      </c>
      <c r="FB313" s="459">
        <f>FA313</f>
        <v>8.212680204619438E-2</v>
      </c>
      <c r="FC313" s="459">
        <f>FB313</f>
        <v>8.212680204619438E-2</v>
      </c>
      <c r="FD313" s="459">
        <f>FC313</f>
        <v>8.212680204619438E-2</v>
      </c>
      <c r="FF313" s="459">
        <f>FD313</f>
        <v>8.212680204619438E-2</v>
      </c>
      <c r="FG313" s="459">
        <f>FF313</f>
        <v>8.212680204619438E-2</v>
      </c>
      <c r="FH313" s="459">
        <f>FG313</f>
        <v>8.212680204619438E-2</v>
      </c>
      <c r="FI313" s="459">
        <f>FH313</f>
        <v>8.212680204619438E-2</v>
      </c>
      <c r="FK313" s="459">
        <f>FI313</f>
        <v>8.212680204619438E-2</v>
      </c>
      <c r="FL313" s="459">
        <f>FK313</f>
        <v>8.212680204619438E-2</v>
      </c>
      <c r="FM313" s="459">
        <f>FL313</f>
        <v>8.212680204619438E-2</v>
      </c>
      <c r="FN313" s="459">
        <f>FM313</f>
        <v>8.212680204619438E-2</v>
      </c>
    </row>
    <row r="314" spans="1:170" hidden="1" outlineLevel="2">
      <c r="A314" s="171" t="s">
        <v>549</v>
      </c>
      <c r="AD314" s="148"/>
      <c r="AE314" s="148"/>
      <c r="AF314" s="148"/>
      <c r="AP314" s="150">
        <f>AP315*AP$41</f>
        <v>7.2703749999999969</v>
      </c>
      <c r="AQ314" s="150">
        <f>AQ315*AQ$41</f>
        <v>8.6882809840052371</v>
      </c>
      <c r="AR314" s="150">
        <f>AR315*AR$41</f>
        <v>7.9904042375908855</v>
      </c>
      <c r="AS314" s="150">
        <f>AS315*AS$41</f>
        <v>8.8987064374005573</v>
      </c>
      <c r="AT314" s="150"/>
      <c r="AU314" s="150">
        <v>6.5720000000000001</v>
      </c>
      <c r="AV314" s="150">
        <v>10.532</v>
      </c>
      <c r="AW314" s="150">
        <v>10.7</v>
      </c>
      <c r="AX314" s="150">
        <v>10.654</v>
      </c>
      <c r="AY314" s="150"/>
      <c r="AZ314" s="150">
        <v>12.196</v>
      </c>
      <c r="BA314" s="150">
        <v>10.337</v>
      </c>
      <c r="BB314" s="150">
        <v>10.787000000000001</v>
      </c>
      <c r="BC314" s="150">
        <f t="shared" ref="BC314:DN314" si="314">BC315*BC$41</f>
        <v>11.627633003155955</v>
      </c>
      <c r="BD314" s="150"/>
      <c r="BE314" s="150">
        <f t="shared" si="314"/>
        <v>14.198406024435208</v>
      </c>
      <c r="BF314" s="150">
        <v>12.805999999999999</v>
      </c>
      <c r="BG314" s="150">
        <v>12.086</v>
      </c>
      <c r="BH314" s="150">
        <v>13.414</v>
      </c>
      <c r="BI314" s="150"/>
      <c r="BJ314" s="150">
        <v>10.613</v>
      </c>
      <c r="BK314" s="150">
        <v>7.28</v>
      </c>
      <c r="BL314" s="150">
        <v>7.4790000000000001</v>
      </c>
      <c r="BM314" s="150">
        <f t="shared" si="314"/>
        <v>7.7463623410305287</v>
      </c>
      <c r="BN314" s="150"/>
      <c r="BO314" s="150">
        <f t="shared" si="314"/>
        <v>9.5999535458430785</v>
      </c>
      <c r="BP314" s="207">
        <f t="shared" si="314"/>
        <v>8.302245239508796</v>
      </c>
      <c r="BQ314" s="207">
        <f t="shared" si="314"/>
        <v>8.4868878855107344</v>
      </c>
      <c r="BR314" s="207">
        <f t="shared" si="314"/>
        <v>7.4361113105766297</v>
      </c>
      <c r="BS314" s="207"/>
      <c r="BT314" s="150">
        <v>10.673</v>
      </c>
      <c r="BU314" s="150">
        <v>11.505000000000001</v>
      </c>
      <c r="BV314" s="150">
        <v>10.872</v>
      </c>
      <c r="BW314" s="174">
        <f>44.53-SUM(BT314:BV314)</f>
        <v>11.480000000000004</v>
      </c>
      <c r="BX314" s="174"/>
      <c r="BY314" s="150">
        <v>11.836</v>
      </c>
      <c r="BZ314" s="150">
        <v>10.721</v>
      </c>
      <c r="CA314" s="150">
        <f t="shared" si="314"/>
        <v>10.164259184622537</v>
      </c>
      <c r="CB314" s="150">
        <f t="shared" si="314"/>
        <v>11.888992373275459</v>
      </c>
      <c r="CC314" s="150"/>
      <c r="CD314" s="150">
        <f t="shared" si="314"/>
        <v>11.100580902185706</v>
      </c>
      <c r="CE314" s="150">
        <f t="shared" si="314"/>
        <v>10.767533560688266</v>
      </c>
      <c r="CF314" s="150">
        <f t="shared" si="314"/>
        <v>11.400389986048673</v>
      </c>
      <c r="CG314" s="150">
        <f t="shared" si="314"/>
        <v>12.033578793985427</v>
      </c>
      <c r="CH314" s="150"/>
      <c r="CI314" s="150">
        <f t="shared" si="314"/>
        <v>11.80656149434196</v>
      </c>
      <c r="CJ314" s="150">
        <f t="shared" si="314"/>
        <v>12.768476670283675</v>
      </c>
      <c r="CK314" s="150">
        <f t="shared" si="314"/>
        <v>13.77227205084483</v>
      </c>
      <c r="CL314" s="150">
        <f t="shared" si="314"/>
        <v>14.116288017361647</v>
      </c>
      <c r="CM314" s="150"/>
      <c r="CN314" s="150">
        <f t="shared" si="314"/>
        <v>14.957215935513872</v>
      </c>
      <c r="CO314" s="150">
        <f t="shared" si="314"/>
        <v>15.621981088203377</v>
      </c>
      <c r="CP314" s="150">
        <f t="shared" si="314"/>
        <v>16.95151139358239</v>
      </c>
      <c r="CQ314" s="150">
        <f t="shared" si="314"/>
        <v>20.275337157029917</v>
      </c>
      <c r="CR314" s="150"/>
      <c r="CS314" s="150">
        <f t="shared" si="314"/>
        <v>17.616276546271894</v>
      </c>
      <c r="CT314" s="150">
        <f t="shared" si="314"/>
        <v>19.278189427995656</v>
      </c>
      <c r="CU314" s="150">
        <f t="shared" si="314"/>
        <v>21.604867462408926</v>
      </c>
      <c r="CV314" s="150">
        <f t="shared" si="314"/>
        <v>23.599162920477443</v>
      </c>
      <c r="CW314" s="150"/>
      <c r="CX314" s="150">
        <f t="shared" si="314"/>
        <v>25.261075802201205</v>
      </c>
      <c r="CY314" s="150">
        <f t="shared" si="314"/>
        <v>26.92298868392497</v>
      </c>
      <c r="CZ314" s="150">
        <f t="shared" si="314"/>
        <v>35.564935668888538</v>
      </c>
      <c r="DA314" s="150">
        <f t="shared" si="314"/>
        <v>41.880204619438842</v>
      </c>
      <c r="DC314" s="150">
        <f t="shared" si="314"/>
        <v>42.877352348473103</v>
      </c>
      <c r="DD314" s="150">
        <f t="shared" si="314"/>
        <v>43.542117501162608</v>
      </c>
      <c r="DE314" s="150">
        <f t="shared" si="314"/>
        <v>50.215741553805664</v>
      </c>
      <c r="DF314" s="150">
        <f t="shared" si="314"/>
        <v>53.681741271303117</v>
      </c>
      <c r="DH314" s="150">
        <f t="shared" si="314"/>
        <v>66.458302525041248</v>
      </c>
      <c r="DI314" s="150">
        <f t="shared" si="314"/>
        <v>84.832929968495691</v>
      </c>
      <c r="DJ314" s="150">
        <f t="shared" si="314"/>
        <v>81.373229256551824</v>
      </c>
      <c r="DK314" s="150">
        <f t="shared" si="314"/>
        <v>78.808188164430234</v>
      </c>
      <c r="DM314" s="150">
        <f t="shared" si="314"/>
        <v>82.264687645326291</v>
      </c>
      <c r="DN314" s="150">
        <f t="shared" si="314"/>
        <v>138.22089229726822</v>
      </c>
      <c r="DO314" s="150">
        <f>DO315*DO$41</f>
        <v>137.30424145290357</v>
      </c>
      <c r="DP314" s="150">
        <f>DP315*DP$41</f>
        <v>146.43373400278219</v>
      </c>
      <c r="DR314" s="150">
        <f>DR315*DR$41</f>
        <v>157.6536076962343</v>
      </c>
      <c r="DS314" s="150">
        <f>DS315*DS$41</f>
        <v>183.13463632381496</v>
      </c>
      <c r="DT314" s="150">
        <f>DT315*DT$41</f>
        <v>213.58747389825561</v>
      </c>
      <c r="DU314" s="150">
        <f>DU315*DU$41</f>
        <v>201.13646511816978</v>
      </c>
      <c r="DW314" s="150">
        <f>DW315*DW$41</f>
        <v>218.17542111170903</v>
      </c>
      <c r="DX314" s="150">
        <f>DX315*DX$41</f>
        <v>218.38770123719024</v>
      </c>
      <c r="DY314" s="150">
        <f>DY315*DY$41</f>
        <v>265.31252076090078</v>
      </c>
      <c r="DZ314" s="150">
        <f>DZ315*DZ$41</f>
        <v>256.13838598153484</v>
      </c>
      <c r="EB314" s="150">
        <f>EB315*EB$41</f>
        <v>282.39164879159648</v>
      </c>
      <c r="EC314" s="150">
        <f>EC315*EC$41</f>
        <v>327.86690753900552</v>
      </c>
      <c r="ED314" s="150">
        <f>ED315*ED$41</f>
        <v>381.00026203367554</v>
      </c>
      <c r="EE314" s="150">
        <f>EE315*EE$41</f>
        <v>385.12091382406692</v>
      </c>
      <c r="EG314" s="150">
        <f>EG315*EG$41</f>
        <v>404.90931392524811</v>
      </c>
      <c r="EH314" s="150">
        <f>EH315*EH$41</f>
        <v>459.70867103292693</v>
      </c>
      <c r="EI314" s="150">
        <f>EI315*EI$41</f>
        <v>492.61263865664432</v>
      </c>
      <c r="EJ314" s="150">
        <f>EJ315*EJ$41</f>
        <v>516.82030625334858</v>
      </c>
      <c r="EL314" s="150">
        <f>EL315*EL$41</f>
        <v>584.229158520939</v>
      </c>
      <c r="EM314" s="150">
        <f>EM315*EM$41</f>
        <v>642.41689457182281</v>
      </c>
      <c r="EN314" s="150">
        <f>EN315*EN$41</f>
        <v>663.65475193039731</v>
      </c>
      <c r="EO314" s="150">
        <f>EO315*EO$41</f>
        <v>641.24484155184155</v>
      </c>
      <c r="EQ314" s="150">
        <f>EQ315*EQ$41</f>
        <v>758.15869173474243</v>
      </c>
      <c r="ER314" s="150">
        <f>ER315*ER$41</f>
        <v>666.87958642818057</v>
      </c>
      <c r="ES314" s="150">
        <f>ES315*ES$41</f>
        <v>680.05699378260204</v>
      </c>
      <c r="ET314" s="150">
        <f>ET315*ET$41</f>
        <v>693.48994006540499</v>
      </c>
      <c r="EV314" s="150">
        <f>EV315*EV$41</f>
        <v>707.18353605515699</v>
      </c>
      <c r="EW314" s="150">
        <f>EW315*EW$41</f>
        <v>721.1429947459967</v>
      </c>
      <c r="EX314" s="150">
        <f>EX315*EX$41</f>
        <v>735.3736333919461</v>
      </c>
      <c r="EY314" s="150">
        <f>EY315*EY$41</f>
        <v>749.88087559210749</v>
      </c>
      <c r="FA314" s="150">
        <f>FA315*FA$41</f>
        <v>764.67025341756494</v>
      </c>
      <c r="FB314" s="150">
        <f>FB315*FB$41</f>
        <v>779.74740958082441</v>
      </c>
      <c r="FC314" s="150">
        <f>FC315*FC$41</f>
        <v>795.11809964864199</v>
      </c>
      <c r="FD314" s="150">
        <f>FD315*FD$41</f>
        <v>810.78819429910902</v>
      </c>
      <c r="FF314" s="150">
        <f>FF315*FF$41</f>
        <v>826.76368162387826</v>
      </c>
      <c r="FG314" s="150">
        <f>FG315*FG$41</f>
        <v>843.05066947643559</v>
      </c>
      <c r="FH314" s="150">
        <f>FH315*FH$41</f>
        <v>859.65538786733691</v>
      </c>
      <c r="FI314" s="150">
        <f>FI315*FI$41</f>
        <v>876.58419140734941</v>
      </c>
      <c r="FK314" s="150">
        <f>FK315*FK$41</f>
        <v>893.84356179945496</v>
      </c>
      <c r="FL314" s="150">
        <f>FL315*FL$41</f>
        <v>911.44011038069539</v>
      </c>
      <c r="FM314" s="150">
        <f>FM315*FM$41</f>
        <v>929.38058071485364</v>
      </c>
      <c r="FN314" s="150">
        <f>FN315*FN$41</f>
        <v>947.67185123698789</v>
      </c>
    </row>
    <row r="315" spans="1:170" s="457" customFormat="1" hidden="1" outlineLevel="2">
      <c r="A315" s="455"/>
      <c r="B315" s="456"/>
      <c r="C315" s="456"/>
      <c r="D315" s="456"/>
      <c r="E315" s="456"/>
      <c r="F315" s="456"/>
      <c r="G315" s="456"/>
      <c r="H315" s="456"/>
      <c r="I315" s="456"/>
      <c r="J315" s="456"/>
      <c r="K315" s="456"/>
      <c r="L315" s="456"/>
      <c r="M315" s="456"/>
      <c r="N315" s="456"/>
      <c r="O315" s="456"/>
      <c r="P315" s="456"/>
      <c r="Q315" s="456"/>
      <c r="R315" s="456"/>
      <c r="S315" s="456"/>
      <c r="T315" s="456"/>
      <c r="U315" s="456"/>
      <c r="V315" s="456"/>
      <c r="W315" s="456"/>
      <c r="X315" s="456"/>
      <c r="Y315" s="456"/>
      <c r="Z315" s="456"/>
      <c r="AA315" s="456"/>
      <c r="AB315" s="456"/>
      <c r="AC315" s="456"/>
      <c r="AD315" s="456"/>
      <c r="AE315" s="456"/>
      <c r="AF315" s="456"/>
      <c r="AK315" s="271"/>
      <c r="AL315" s="271"/>
      <c r="AM315" s="271"/>
      <c r="AN315" s="271"/>
      <c r="AO315" s="271"/>
      <c r="AP315" s="175">
        <v>0.35</v>
      </c>
      <c r="AQ315" s="175">
        <v>0.35</v>
      </c>
      <c r="AR315" s="175">
        <v>0.35</v>
      </c>
      <c r="AS315" s="175">
        <v>0.35</v>
      </c>
      <c r="AT315" s="175"/>
      <c r="AU315" s="175">
        <f t="shared" ref="AU315:BB315" si="315">AU314/AU$41</f>
        <v>0.29570303712035995</v>
      </c>
      <c r="AV315" s="175">
        <f t="shared" si="315"/>
        <v>0.36556751128080528</v>
      </c>
      <c r="AW315" s="175">
        <f t="shared" si="315"/>
        <v>0.33716716559004251</v>
      </c>
      <c r="AX315" s="175">
        <f t="shared" si="315"/>
        <v>0.31419387183343656</v>
      </c>
      <c r="AY315" s="175"/>
      <c r="AZ315" s="175">
        <f t="shared" si="315"/>
        <v>0.32605266675578132</v>
      </c>
      <c r="BA315" s="175">
        <f t="shared" si="315"/>
        <v>0.35088255261371348</v>
      </c>
      <c r="BB315" s="175">
        <f t="shared" si="315"/>
        <v>0.33706215042339782</v>
      </c>
      <c r="BC315" s="175">
        <f>BB315</f>
        <v>0.33706215042339782</v>
      </c>
      <c r="BD315" s="175"/>
      <c r="BE315" s="175">
        <f>BC315</f>
        <v>0.33706215042339782</v>
      </c>
      <c r="BF315" s="175">
        <f t="shared" ref="BF315:BM315" si="316">BE315</f>
        <v>0.33706215042339782</v>
      </c>
      <c r="BG315" s="175">
        <f t="shared" si="316"/>
        <v>0.33706215042339782</v>
      </c>
      <c r="BH315" s="175">
        <f t="shared" si="316"/>
        <v>0.33706215042339782</v>
      </c>
      <c r="BI315" s="175"/>
      <c r="BJ315" s="175">
        <f>BH315</f>
        <v>0.33706215042339782</v>
      </c>
      <c r="BK315" s="175">
        <f t="shared" si="316"/>
        <v>0.33706215042339782</v>
      </c>
      <c r="BL315" s="175">
        <f t="shared" si="316"/>
        <v>0.33706215042339782</v>
      </c>
      <c r="BM315" s="175">
        <f t="shared" si="316"/>
        <v>0.33706215042339782</v>
      </c>
      <c r="BN315" s="175"/>
      <c r="BO315" s="175">
        <f>BM315</f>
        <v>0.33706215042339782</v>
      </c>
      <c r="BP315" s="458">
        <f>BO315</f>
        <v>0.33706215042339782</v>
      </c>
      <c r="BQ315" s="458">
        <f>BP315</f>
        <v>0.33706215042339782</v>
      </c>
      <c r="BR315" s="458">
        <f>BQ315</f>
        <v>0.33706215042339782</v>
      </c>
      <c r="BS315" s="458"/>
      <c r="BT315" s="175">
        <f t="shared" si="311"/>
        <v>0.33627398468760827</v>
      </c>
      <c r="BU315" s="175">
        <f t="shared" si="311"/>
        <v>0.32002781641168287</v>
      </c>
      <c r="BV315" s="175">
        <f t="shared" si="311"/>
        <v>0.32718408618977401</v>
      </c>
      <c r="BW315" s="175">
        <f t="shared" si="311"/>
        <v>0.32396433005982622</v>
      </c>
      <c r="BX315" s="175"/>
      <c r="BY315" s="175">
        <f t="shared" si="311"/>
        <v>0.33276167449183275</v>
      </c>
      <c r="BZ315" s="175">
        <f t="shared" si="311"/>
        <v>0.33238257634475271</v>
      </c>
      <c r="CA315" s="459">
        <f t="shared" ref="CA315:CG315" si="317">BZ315</f>
        <v>0.33238257634475271</v>
      </c>
      <c r="CB315" s="459">
        <f>CA315</f>
        <v>0.33238257634475271</v>
      </c>
      <c r="CC315" s="459"/>
      <c r="CD315" s="459">
        <f>CB315</f>
        <v>0.33238257634475271</v>
      </c>
      <c r="CE315" s="459">
        <f t="shared" si="317"/>
        <v>0.33238257634475271</v>
      </c>
      <c r="CF315" s="459">
        <f t="shared" si="317"/>
        <v>0.33238257634475271</v>
      </c>
      <c r="CG315" s="459">
        <f t="shared" si="317"/>
        <v>0.33238257634475271</v>
      </c>
      <c r="CH315" s="459"/>
      <c r="CI315" s="459">
        <f>CG315</f>
        <v>0.33238257634475271</v>
      </c>
      <c r="CJ315" s="459">
        <f t="shared" ref="CJ315:CQ315" si="318">CI315</f>
        <v>0.33238257634475271</v>
      </c>
      <c r="CK315" s="459">
        <f t="shared" si="318"/>
        <v>0.33238257634475271</v>
      </c>
      <c r="CL315" s="459">
        <f t="shared" si="318"/>
        <v>0.33238257634475271</v>
      </c>
      <c r="CM315" s="459"/>
      <c r="CN315" s="459">
        <f>CL315</f>
        <v>0.33238257634475271</v>
      </c>
      <c r="CO315" s="459">
        <f t="shared" si="318"/>
        <v>0.33238257634475271</v>
      </c>
      <c r="CP315" s="459">
        <f t="shared" si="318"/>
        <v>0.33238257634475271</v>
      </c>
      <c r="CQ315" s="459">
        <f t="shared" si="318"/>
        <v>0.33238257634475271</v>
      </c>
      <c r="CR315" s="459"/>
      <c r="CS315" s="459">
        <f>CQ315</f>
        <v>0.33238257634475271</v>
      </c>
      <c r="CT315" s="459">
        <f>CS315</f>
        <v>0.33238257634475271</v>
      </c>
      <c r="CU315" s="459">
        <f>CT315</f>
        <v>0.33238257634475271</v>
      </c>
      <c r="CV315" s="459">
        <f>CU315</f>
        <v>0.33238257634475271</v>
      </c>
      <c r="CW315" s="459"/>
      <c r="CX315" s="459">
        <f>CV315</f>
        <v>0.33238257634475271</v>
      </c>
      <c r="CY315" s="459">
        <f>CX315</f>
        <v>0.33238257634475271</v>
      </c>
      <c r="CZ315" s="459">
        <f>CY315</f>
        <v>0.33238257634475271</v>
      </c>
      <c r="DA315" s="459">
        <f>CZ315</f>
        <v>0.33238257634475271</v>
      </c>
      <c r="DB315" s="456"/>
      <c r="DC315" s="459">
        <f>DA315</f>
        <v>0.33238257634475271</v>
      </c>
      <c r="DD315" s="459">
        <f>DC315</f>
        <v>0.33238257634475271</v>
      </c>
      <c r="DE315" s="459">
        <f>DD315</f>
        <v>0.33238257634475271</v>
      </c>
      <c r="DF315" s="459">
        <f>DE315</f>
        <v>0.33238257634475271</v>
      </c>
      <c r="DH315" s="459">
        <f>DF315</f>
        <v>0.33238257634475271</v>
      </c>
      <c r="DI315" s="459">
        <f>DH315</f>
        <v>0.33238257634475271</v>
      </c>
      <c r="DJ315" s="459">
        <f>DI315</f>
        <v>0.33238257634475271</v>
      </c>
      <c r="DK315" s="459">
        <f>DJ315</f>
        <v>0.33238257634475271</v>
      </c>
      <c r="DM315" s="459">
        <f>DK315</f>
        <v>0.33238257634475271</v>
      </c>
      <c r="DN315" s="459">
        <f>DM315</f>
        <v>0.33238257634475271</v>
      </c>
      <c r="DO315" s="459">
        <f>DN315</f>
        <v>0.33238257634475271</v>
      </c>
      <c r="DP315" s="459">
        <f>DO315</f>
        <v>0.33238257634475271</v>
      </c>
      <c r="DR315" s="459">
        <f>DP315</f>
        <v>0.33238257634475271</v>
      </c>
      <c r="DS315" s="459">
        <f>DR315</f>
        <v>0.33238257634475271</v>
      </c>
      <c r="DT315" s="459">
        <f>DS315</f>
        <v>0.33238257634475271</v>
      </c>
      <c r="DU315" s="459">
        <f>DT315</f>
        <v>0.33238257634475271</v>
      </c>
      <c r="DW315" s="459">
        <f>DU315</f>
        <v>0.33238257634475271</v>
      </c>
      <c r="DX315" s="459">
        <f>DW315</f>
        <v>0.33238257634475271</v>
      </c>
      <c r="DY315" s="459">
        <f>DX315</f>
        <v>0.33238257634475271</v>
      </c>
      <c r="DZ315" s="459">
        <f>DY315</f>
        <v>0.33238257634475271</v>
      </c>
      <c r="EB315" s="459">
        <f>DZ315</f>
        <v>0.33238257634475271</v>
      </c>
      <c r="EC315" s="459">
        <f>EB315</f>
        <v>0.33238257634475271</v>
      </c>
      <c r="ED315" s="459">
        <f>EC315</f>
        <v>0.33238257634475271</v>
      </c>
      <c r="EE315" s="459">
        <f>ED315</f>
        <v>0.33238257634475271</v>
      </c>
      <c r="EG315" s="459">
        <f>EE315</f>
        <v>0.33238257634475271</v>
      </c>
      <c r="EH315" s="459">
        <f>EG315</f>
        <v>0.33238257634475271</v>
      </c>
      <c r="EI315" s="459">
        <f>EH315</f>
        <v>0.33238257634475271</v>
      </c>
      <c r="EJ315" s="459">
        <f>EI315</f>
        <v>0.33238257634475271</v>
      </c>
      <c r="EL315" s="459">
        <f>EJ315</f>
        <v>0.33238257634475271</v>
      </c>
      <c r="EM315" s="459">
        <f>EL315</f>
        <v>0.33238257634475271</v>
      </c>
      <c r="EN315" s="459">
        <f>EM315</f>
        <v>0.33238257634475271</v>
      </c>
      <c r="EO315" s="459">
        <f>EN315</f>
        <v>0.33238257634475271</v>
      </c>
      <c r="EQ315" s="459">
        <f>EO315</f>
        <v>0.33238257634475271</v>
      </c>
      <c r="ER315" s="459">
        <f>EQ315</f>
        <v>0.33238257634475271</v>
      </c>
      <c r="ES315" s="459">
        <f>ER315</f>
        <v>0.33238257634475271</v>
      </c>
      <c r="ET315" s="459">
        <f>ES315</f>
        <v>0.33238257634475271</v>
      </c>
      <c r="EV315" s="459">
        <f>ET315</f>
        <v>0.33238257634475271</v>
      </c>
      <c r="EW315" s="459">
        <f>EV315</f>
        <v>0.33238257634475271</v>
      </c>
      <c r="EX315" s="459">
        <f>EW315</f>
        <v>0.33238257634475271</v>
      </c>
      <c r="EY315" s="459">
        <f>EX315</f>
        <v>0.33238257634475271</v>
      </c>
      <c r="FA315" s="459">
        <f>EY315</f>
        <v>0.33238257634475271</v>
      </c>
      <c r="FB315" s="459">
        <f>FA315</f>
        <v>0.33238257634475271</v>
      </c>
      <c r="FC315" s="459">
        <f>FB315</f>
        <v>0.33238257634475271</v>
      </c>
      <c r="FD315" s="459">
        <f>FC315</f>
        <v>0.33238257634475271</v>
      </c>
      <c r="FF315" s="459">
        <f>FD315</f>
        <v>0.33238257634475271</v>
      </c>
      <c r="FG315" s="459">
        <f>FF315</f>
        <v>0.33238257634475271</v>
      </c>
      <c r="FH315" s="459">
        <f>FG315</f>
        <v>0.33238257634475271</v>
      </c>
      <c r="FI315" s="459">
        <f>FH315</f>
        <v>0.33238257634475271</v>
      </c>
      <c r="FK315" s="459">
        <f>FI315</f>
        <v>0.33238257634475271</v>
      </c>
      <c r="FL315" s="459">
        <f>FK315</f>
        <v>0.33238257634475271</v>
      </c>
      <c r="FM315" s="459">
        <f>FL315</f>
        <v>0.33238257634475271</v>
      </c>
      <c r="FN315" s="459">
        <f>FM315</f>
        <v>0.33238257634475271</v>
      </c>
    </row>
    <row r="316" spans="1:170" hidden="1" outlineLevel="2">
      <c r="A316" s="171" t="s">
        <v>550</v>
      </c>
      <c r="AD316" s="148"/>
      <c r="AE316" s="148"/>
      <c r="AF316" s="148"/>
      <c r="AP316" s="150">
        <f>AP317*AP$41</f>
        <v>12.463499999999996</v>
      </c>
      <c r="AQ316" s="150">
        <f>AQ317*AQ$41</f>
        <v>14.894195972580407</v>
      </c>
      <c r="AR316" s="150">
        <f>AR317*AR$41</f>
        <v>13.697835835870091</v>
      </c>
      <c r="AS316" s="150">
        <f>AS317*AS$41</f>
        <v>15.254925321258099</v>
      </c>
      <c r="AT316" s="150"/>
      <c r="AU316" s="150">
        <v>14.426</v>
      </c>
      <c r="AV316" s="150">
        <v>16.532</v>
      </c>
      <c r="AW316" s="150">
        <v>18.73</v>
      </c>
      <c r="AX316" s="150">
        <v>20.332999999999998</v>
      </c>
      <c r="AY316" s="150"/>
      <c r="AZ316" s="150">
        <v>22.4</v>
      </c>
      <c r="BA316" s="150">
        <v>16.420999999999999</v>
      </c>
      <c r="BB316" s="150">
        <v>18.649999999999999</v>
      </c>
      <c r="BC316" s="150">
        <f t="shared" ref="BC316:DN316" si="319">BC317*BC$41</f>
        <v>20.10339811892635</v>
      </c>
      <c r="BD316" s="150"/>
      <c r="BE316" s="150">
        <f t="shared" si="319"/>
        <v>24.548092366340651</v>
      </c>
      <c r="BF316" s="150">
        <v>24.225999999999999</v>
      </c>
      <c r="BG316" s="150">
        <v>22.74</v>
      </c>
      <c r="BH316" s="150">
        <v>26.507000000000001</v>
      </c>
      <c r="BI316" s="150"/>
      <c r="BJ316" s="150">
        <v>21.27</v>
      </c>
      <c r="BK316" s="150">
        <v>13.268000000000001</v>
      </c>
      <c r="BL316" s="150">
        <v>12.853</v>
      </c>
      <c r="BM316" s="150">
        <f t="shared" si="319"/>
        <v>12.852999999999998</v>
      </c>
      <c r="BN316" s="150"/>
      <c r="BO316" s="150">
        <f t="shared" si="319"/>
        <v>15.92853490355917</v>
      </c>
      <c r="BP316" s="207">
        <f t="shared" si="319"/>
        <v>13.775337812200853</v>
      </c>
      <c r="BQ316" s="207">
        <f t="shared" si="319"/>
        <v>14.081702506309286</v>
      </c>
      <c r="BR316" s="207">
        <f t="shared" si="319"/>
        <v>12.338222054059832</v>
      </c>
      <c r="BS316" s="207"/>
      <c r="BT316" s="150">
        <v>18.588999999999999</v>
      </c>
      <c r="BU316" s="150">
        <v>21.696999999999999</v>
      </c>
      <c r="BV316" s="150">
        <v>19.308</v>
      </c>
      <c r="BW316" s="174">
        <f>80.502-SUM(BT316:BV316)</f>
        <v>20.907999999999994</v>
      </c>
      <c r="BX316" s="174"/>
      <c r="BY316" s="150">
        <v>21.207000000000001</v>
      </c>
      <c r="BZ316" s="150">
        <v>18.885000000000002</v>
      </c>
      <c r="CA316" s="150">
        <f t="shared" si="319"/>
        <v>17.904303208804834</v>
      </c>
      <c r="CB316" s="150">
        <f t="shared" si="319"/>
        <v>20.94241404433421</v>
      </c>
      <c r="CC316" s="150"/>
      <c r="CD316" s="150">
        <f t="shared" si="319"/>
        <v>19.553630289877539</v>
      </c>
      <c r="CE316" s="150">
        <f t="shared" si="319"/>
        <v>18.966968687025268</v>
      </c>
      <c r="CF316" s="150">
        <f t="shared" si="319"/>
        <v>20.081742830568903</v>
      </c>
      <c r="CG316" s="150">
        <f t="shared" si="319"/>
        <v>21.197102464734151</v>
      </c>
      <c r="CH316" s="150"/>
      <c r="CI316" s="150">
        <f t="shared" si="319"/>
        <v>20.797212370175163</v>
      </c>
      <c r="CJ316" s="150">
        <f t="shared" si="319"/>
        <v>22.491622229111766</v>
      </c>
      <c r="CK316" s="150">
        <f t="shared" si="319"/>
        <v>24.259803906371108</v>
      </c>
      <c r="CL316" s="150">
        <f t="shared" si="319"/>
        <v>24.865786699736475</v>
      </c>
      <c r="CM316" s="150"/>
      <c r="CN316" s="150">
        <f t="shared" si="319"/>
        <v>26.34707797240738</v>
      </c>
      <c r="CO316" s="150">
        <f t="shared" si="319"/>
        <v>27.518059215625485</v>
      </c>
      <c r="CP316" s="150">
        <f t="shared" si="319"/>
        <v>29.860021702061694</v>
      </c>
      <c r="CQ316" s="150">
        <f t="shared" si="319"/>
        <v>35.714927918152227</v>
      </c>
      <c r="CR316" s="150"/>
      <c r="CS316" s="150">
        <f t="shared" si="319"/>
        <v>31.031002945279802</v>
      </c>
      <c r="CT316" s="150">
        <f t="shared" si="319"/>
        <v>33.958456053325065</v>
      </c>
      <c r="CU316" s="150">
        <f t="shared" si="319"/>
        <v>38.056890404588437</v>
      </c>
      <c r="CV316" s="150">
        <f t="shared" si="319"/>
        <v>41.569834134242754</v>
      </c>
      <c r="CW316" s="150"/>
      <c r="CX316" s="150">
        <f t="shared" si="319"/>
        <v>44.497287242288017</v>
      </c>
      <c r="CY316" s="150">
        <f t="shared" si="319"/>
        <v>47.424740350333281</v>
      </c>
      <c r="CZ316" s="150">
        <f t="shared" si="319"/>
        <v>62.647496512168658</v>
      </c>
      <c r="DA316" s="150">
        <f t="shared" si="319"/>
        <v>73.771818322740657</v>
      </c>
      <c r="DC316" s="150">
        <f t="shared" si="319"/>
        <v>75.528290187567819</v>
      </c>
      <c r="DD316" s="150">
        <f t="shared" si="319"/>
        <v>76.699271430785927</v>
      </c>
      <c r="DE316" s="150">
        <f t="shared" si="319"/>
        <v>88.45483436653484</v>
      </c>
      <c r="DF316" s="150">
        <f t="shared" si="319"/>
        <v>94.560179452342084</v>
      </c>
      <c r="DH316" s="150">
        <f t="shared" si="319"/>
        <v>117.06604264391419</v>
      </c>
      <c r="DI316" s="150">
        <f t="shared" si="319"/>
        <v>149.43287775907484</v>
      </c>
      <c r="DJ316" s="150">
        <f t="shared" si="319"/>
        <v>143.33862834716737</v>
      </c>
      <c r="DK316" s="150">
        <f t="shared" si="319"/>
        <v>138.82031839243217</v>
      </c>
      <c r="DM316" s="150">
        <f t="shared" si="319"/>
        <v>144.90892884824058</v>
      </c>
      <c r="DN316" s="150">
        <f t="shared" si="319"/>
        <v>243.47556674134043</v>
      </c>
      <c r="DO316" s="150">
        <f>DO317*DO$41</f>
        <v>241.86088982726275</v>
      </c>
      <c r="DP316" s="150">
        <f>DP317*DP$41</f>
        <v>257.94245561445217</v>
      </c>
      <c r="DR316" s="150">
        <f>DR317*DR$41</f>
        <v>277.70621969437417</v>
      </c>
      <c r="DS316" s="150">
        <f>DS317*DS$41</f>
        <v>322.59095298715096</v>
      </c>
      <c r="DT316" s="150">
        <f>DT317*DT$41</f>
        <v>376.23350849440891</v>
      </c>
      <c r="DU316" s="150">
        <f>DU317*DU$41</f>
        <v>354.30110472499177</v>
      </c>
      <c r="DW316" s="150">
        <f>DW317*DW$41</f>
        <v>384.31515975138751</v>
      </c>
      <c r="DX316" s="150">
        <f>DX317*DX$41</f>
        <v>384.68909037070591</v>
      </c>
      <c r="DY316" s="150">
        <f>DY317*DY$41</f>
        <v>467.34697832008322</v>
      </c>
      <c r="DZ316" s="150">
        <f>DZ317*DZ$41</f>
        <v>451.18677541845784</v>
      </c>
      <c r="EB316" s="150">
        <f>EB317*EB$41</f>
        <v>497.43179623442774</v>
      </c>
      <c r="EC316" s="150">
        <f>EC317*EC$41</f>
        <v>577.53628848746564</v>
      </c>
      <c r="ED316" s="150">
        <f>ED317*ED$41</f>
        <v>671.13048675552307</v>
      </c>
      <c r="EE316" s="150">
        <f>EE317*EE$41</f>
        <v>678.38899893363532</v>
      </c>
      <c r="EG316" s="150">
        <f>EG317*EG$41</f>
        <v>713.24618911279845</v>
      </c>
      <c r="EH316" s="150">
        <f>EH317*EH$41</f>
        <v>809.77504453472875</v>
      </c>
      <c r="EI316" s="150">
        <f>EI317*EI$41</f>
        <v>867.73525613568972</v>
      </c>
      <c r="EJ316" s="150">
        <f>EJ317*EJ$41</f>
        <v>910.37696890164057</v>
      </c>
      <c r="EL316" s="150">
        <f>EL317*EL$41</f>
        <v>1029.117401237565</v>
      </c>
      <c r="EM316" s="150">
        <f>EM317*EM$41</f>
        <v>1131.6148730518491</v>
      </c>
      <c r="EN316" s="150">
        <f>EN317*EN$41</f>
        <v>1169.0252765791954</v>
      </c>
      <c r="EO316" s="150">
        <f>EO317*EO$41</f>
        <v>1129.5503061940612</v>
      </c>
      <c r="EQ316" s="150">
        <f>EQ317*EQ$41</f>
        <v>1335.4936007285339</v>
      </c>
      <c r="ER316" s="150">
        <f>ER317*ER$41</f>
        <v>1174.7058100640043</v>
      </c>
      <c r="ES316" s="150">
        <f>ES317*ES$41</f>
        <v>1197.917762110292</v>
      </c>
      <c r="ET316" s="150">
        <f>ET317*ET$41</f>
        <v>1221.5798449897561</v>
      </c>
      <c r="EV316" s="150">
        <f>EV317*EV$41</f>
        <v>1245.7010613190598</v>
      </c>
      <c r="EW316" s="150">
        <f>EW317*EW$41</f>
        <v>1270.2905937671999</v>
      </c>
      <c r="EX316" s="150">
        <f>EX317*EX$41</f>
        <v>1295.3578086565531</v>
      </c>
      <c r="EY316" s="150">
        <f>EY317*EY$41</f>
        <v>1320.9122596359437</v>
      </c>
      <c r="FA316" s="150">
        <f>FA317*FA$41</f>
        <v>1346.9636914271725</v>
      </c>
      <c r="FB316" s="150">
        <f>FB317*FB$41</f>
        <v>1373.5220436464763</v>
      </c>
      <c r="FC316" s="150">
        <f>FC317*FC$41</f>
        <v>1400.5974547024164</v>
      </c>
      <c r="FD316" s="150">
        <f>FD317*FD$41</f>
        <v>1428.2002657717262</v>
      </c>
      <c r="FF316" s="150">
        <f>FF317*FF$41</f>
        <v>1456.3410248546722</v>
      </c>
      <c r="FG316" s="150">
        <f>FG317*FG$41</f>
        <v>1485.0304909115277</v>
      </c>
      <c r="FH316" s="150">
        <f>FH317*FH$41</f>
        <v>1514.2796380817704</v>
      </c>
      <c r="FI316" s="150">
        <f>FI317*FI$41</f>
        <v>1544.0996599876685</v>
      </c>
      <c r="FK316" s="150">
        <f>FK317*FK$41</f>
        <v>1574.501974123935</v>
      </c>
      <c r="FL316" s="150">
        <f>FL317*FL$41</f>
        <v>1605.4982263351772</v>
      </c>
      <c r="FM316" s="150">
        <f>FM317*FM$41</f>
        <v>1637.1002953828947</v>
      </c>
      <c r="FN316" s="150">
        <f>FN317*FN$41</f>
        <v>1669.3202976038167</v>
      </c>
    </row>
    <row r="317" spans="1:170" s="457" customFormat="1" hidden="1" outlineLevel="2">
      <c r="A317" s="455"/>
      <c r="B317" s="456"/>
      <c r="C317" s="456"/>
      <c r="D317" s="456"/>
      <c r="E317" s="456"/>
      <c r="F317" s="456"/>
      <c r="G317" s="456"/>
      <c r="H317" s="456"/>
      <c r="I317" s="456"/>
      <c r="J317" s="456"/>
      <c r="K317" s="456"/>
      <c r="L317" s="456"/>
      <c r="M317" s="456"/>
      <c r="N317" s="456"/>
      <c r="O317" s="456"/>
      <c r="P317" s="456"/>
      <c r="Q317" s="456"/>
      <c r="R317" s="456"/>
      <c r="S317" s="456"/>
      <c r="T317" s="456"/>
      <c r="U317" s="456"/>
      <c r="V317" s="456"/>
      <c r="W317" s="456"/>
      <c r="X317" s="456"/>
      <c r="Y317" s="456"/>
      <c r="Z317" s="456"/>
      <c r="AA317" s="456"/>
      <c r="AB317" s="456"/>
      <c r="AC317" s="456"/>
      <c r="AD317" s="456"/>
      <c r="AE317" s="456"/>
      <c r="AF317" s="456"/>
      <c r="AK317" s="271"/>
      <c r="AL317" s="271"/>
      <c r="AM317" s="271"/>
      <c r="AN317" s="271"/>
      <c r="AO317" s="271"/>
      <c r="AP317" s="175">
        <v>0.6</v>
      </c>
      <c r="AQ317" s="175">
        <v>0.6</v>
      </c>
      <c r="AR317" s="175">
        <v>0.6</v>
      </c>
      <c r="AS317" s="175">
        <v>0.6</v>
      </c>
      <c r="AT317" s="175"/>
      <c r="AU317" s="175">
        <f t="shared" ref="AU317:BL317" si="320">AU316/AU$41</f>
        <v>0.64908886389201348</v>
      </c>
      <c r="AV317" s="175">
        <f t="shared" si="320"/>
        <v>0.57382853175980564</v>
      </c>
      <c r="AW317" s="175">
        <f t="shared" si="320"/>
        <v>0.59020009453285016</v>
      </c>
      <c r="AX317" s="175">
        <f t="shared" si="320"/>
        <v>0.59963431537349965</v>
      </c>
      <c r="AY317" s="175"/>
      <c r="AZ317" s="175">
        <f t="shared" si="320"/>
        <v>0.59885042106670228</v>
      </c>
      <c r="BA317" s="175">
        <f t="shared" si="320"/>
        <v>0.55739986422267473</v>
      </c>
      <c r="BB317" s="175">
        <f t="shared" si="320"/>
        <v>0.58275786645002026</v>
      </c>
      <c r="BC317" s="175">
        <f>BB317</f>
        <v>0.58275786645002026</v>
      </c>
      <c r="BD317" s="175"/>
      <c r="BE317" s="175">
        <f>BC317</f>
        <v>0.58275786645002026</v>
      </c>
      <c r="BF317" s="175">
        <f t="shared" si="320"/>
        <v>0.60017341756472198</v>
      </c>
      <c r="BG317" s="175">
        <f t="shared" si="320"/>
        <v>0.59243434764485192</v>
      </c>
      <c r="BH317" s="175">
        <f t="shared" si="320"/>
        <v>0.63363851504792867</v>
      </c>
      <c r="BI317" s="175"/>
      <c r="BJ317" s="175">
        <f t="shared" si="320"/>
        <v>0.62351596165684631</v>
      </c>
      <c r="BK317" s="175">
        <f t="shared" si="320"/>
        <v>0.52285624211853721</v>
      </c>
      <c r="BL317" s="175">
        <f t="shared" si="320"/>
        <v>0.55926377164737617</v>
      </c>
      <c r="BM317" s="175">
        <f>BL317</f>
        <v>0.55926377164737617</v>
      </c>
      <c r="BN317" s="175"/>
      <c r="BO317" s="175">
        <f>BM317</f>
        <v>0.55926377164737617</v>
      </c>
      <c r="BP317" s="458">
        <f>BO317</f>
        <v>0.55926377164737617</v>
      </c>
      <c r="BQ317" s="458">
        <f>BP317</f>
        <v>0.55926377164737617</v>
      </c>
      <c r="BR317" s="458">
        <f>BQ317</f>
        <v>0.55926377164737617</v>
      </c>
      <c r="BS317" s="458"/>
      <c r="BT317" s="175">
        <f t="shared" si="311"/>
        <v>0.58568322883518698</v>
      </c>
      <c r="BU317" s="175">
        <f t="shared" si="311"/>
        <v>0.60353268428372731</v>
      </c>
      <c r="BV317" s="175">
        <f t="shared" si="311"/>
        <v>0.581058713774113</v>
      </c>
      <c r="BW317" s="175">
        <f t="shared" si="311"/>
        <v>0.59002144711592708</v>
      </c>
      <c r="BX317" s="175"/>
      <c r="BY317" s="175">
        <f t="shared" si="311"/>
        <v>0.59622142877224549</v>
      </c>
      <c r="BZ317" s="175">
        <f t="shared" si="311"/>
        <v>0.58549062160905285</v>
      </c>
      <c r="CA317" s="459">
        <f t="shared" ref="CA317:CG317" si="321">BZ317</f>
        <v>0.58549062160905285</v>
      </c>
      <c r="CB317" s="459">
        <f>CA317</f>
        <v>0.58549062160905285</v>
      </c>
      <c r="CC317" s="459"/>
      <c r="CD317" s="459">
        <f>CB317</f>
        <v>0.58549062160905285</v>
      </c>
      <c r="CE317" s="459">
        <f t="shared" si="321"/>
        <v>0.58549062160905285</v>
      </c>
      <c r="CF317" s="459">
        <f t="shared" si="321"/>
        <v>0.58549062160905285</v>
      </c>
      <c r="CG317" s="459">
        <f t="shared" si="321"/>
        <v>0.58549062160905285</v>
      </c>
      <c r="CH317" s="459"/>
      <c r="CI317" s="459">
        <f>CG317</f>
        <v>0.58549062160905285</v>
      </c>
      <c r="CJ317" s="459">
        <f t="shared" ref="CJ317:CQ317" si="322">CI317</f>
        <v>0.58549062160905285</v>
      </c>
      <c r="CK317" s="459">
        <f t="shared" si="322"/>
        <v>0.58549062160905285</v>
      </c>
      <c r="CL317" s="459">
        <f t="shared" si="322"/>
        <v>0.58549062160905285</v>
      </c>
      <c r="CM317" s="459"/>
      <c r="CN317" s="459">
        <f>CL317</f>
        <v>0.58549062160905285</v>
      </c>
      <c r="CO317" s="459">
        <f t="shared" si="322"/>
        <v>0.58549062160905285</v>
      </c>
      <c r="CP317" s="459">
        <f t="shared" si="322"/>
        <v>0.58549062160905285</v>
      </c>
      <c r="CQ317" s="459">
        <f t="shared" si="322"/>
        <v>0.58549062160905285</v>
      </c>
      <c r="CR317" s="459"/>
      <c r="CS317" s="459">
        <f>CQ317</f>
        <v>0.58549062160905285</v>
      </c>
      <c r="CT317" s="459">
        <f>CS317</f>
        <v>0.58549062160905285</v>
      </c>
      <c r="CU317" s="459">
        <f>CT317</f>
        <v>0.58549062160905285</v>
      </c>
      <c r="CV317" s="459">
        <f>CU317</f>
        <v>0.58549062160905285</v>
      </c>
      <c r="CW317" s="459"/>
      <c r="CX317" s="459">
        <f>CV317</f>
        <v>0.58549062160905285</v>
      </c>
      <c r="CY317" s="459">
        <f>CX317</f>
        <v>0.58549062160905285</v>
      </c>
      <c r="CZ317" s="459">
        <f>CY317</f>
        <v>0.58549062160905285</v>
      </c>
      <c r="DA317" s="459">
        <f>CZ317</f>
        <v>0.58549062160905285</v>
      </c>
      <c r="DB317" s="456"/>
      <c r="DC317" s="459">
        <f>DA317</f>
        <v>0.58549062160905285</v>
      </c>
      <c r="DD317" s="459">
        <f>DC317</f>
        <v>0.58549062160905285</v>
      </c>
      <c r="DE317" s="459">
        <f>DD317</f>
        <v>0.58549062160905285</v>
      </c>
      <c r="DF317" s="459">
        <f>DE317</f>
        <v>0.58549062160905285</v>
      </c>
      <c r="DH317" s="459">
        <f>DF317</f>
        <v>0.58549062160905285</v>
      </c>
      <c r="DI317" s="459">
        <f>DH317</f>
        <v>0.58549062160905285</v>
      </c>
      <c r="DJ317" s="459">
        <f>DI317</f>
        <v>0.58549062160905285</v>
      </c>
      <c r="DK317" s="459">
        <f>DJ317</f>
        <v>0.58549062160905285</v>
      </c>
      <c r="DM317" s="459">
        <f>DK317</f>
        <v>0.58549062160905285</v>
      </c>
      <c r="DN317" s="459">
        <f>DM317</f>
        <v>0.58549062160905285</v>
      </c>
      <c r="DO317" s="459">
        <f>DN317</f>
        <v>0.58549062160905285</v>
      </c>
      <c r="DP317" s="459">
        <f>DO317</f>
        <v>0.58549062160905285</v>
      </c>
      <c r="DR317" s="459">
        <f>DP317</f>
        <v>0.58549062160905285</v>
      </c>
      <c r="DS317" s="459">
        <f>DR317</f>
        <v>0.58549062160905285</v>
      </c>
      <c r="DT317" s="459">
        <f>DS317</f>
        <v>0.58549062160905285</v>
      </c>
      <c r="DU317" s="459">
        <f>DT317</f>
        <v>0.58549062160905285</v>
      </c>
      <c r="DW317" s="459">
        <f>DU317</f>
        <v>0.58549062160905285</v>
      </c>
      <c r="DX317" s="459">
        <f>DW317</f>
        <v>0.58549062160905285</v>
      </c>
      <c r="DY317" s="459">
        <f>DX317</f>
        <v>0.58549062160905285</v>
      </c>
      <c r="DZ317" s="459">
        <f>DY317</f>
        <v>0.58549062160905285</v>
      </c>
      <c r="EB317" s="459">
        <f>DZ317</f>
        <v>0.58549062160905285</v>
      </c>
      <c r="EC317" s="459">
        <f>EB317</f>
        <v>0.58549062160905285</v>
      </c>
      <c r="ED317" s="459">
        <f>EC317</f>
        <v>0.58549062160905285</v>
      </c>
      <c r="EE317" s="459">
        <f>ED317</f>
        <v>0.58549062160905285</v>
      </c>
      <c r="EG317" s="459">
        <f>EE317</f>
        <v>0.58549062160905285</v>
      </c>
      <c r="EH317" s="459">
        <f>EG317</f>
        <v>0.58549062160905285</v>
      </c>
      <c r="EI317" s="459">
        <f>EH317</f>
        <v>0.58549062160905285</v>
      </c>
      <c r="EJ317" s="459">
        <f>EI317</f>
        <v>0.58549062160905285</v>
      </c>
      <c r="EL317" s="459">
        <f>EJ317</f>
        <v>0.58549062160905285</v>
      </c>
      <c r="EM317" s="459">
        <f>EL317</f>
        <v>0.58549062160905285</v>
      </c>
      <c r="EN317" s="459">
        <f>EM317</f>
        <v>0.58549062160905285</v>
      </c>
      <c r="EO317" s="459">
        <f>EN317</f>
        <v>0.58549062160905285</v>
      </c>
      <c r="EQ317" s="459">
        <f>EO317</f>
        <v>0.58549062160905285</v>
      </c>
      <c r="ER317" s="459">
        <f>EQ317</f>
        <v>0.58549062160905285</v>
      </c>
      <c r="ES317" s="459">
        <f>ER317</f>
        <v>0.58549062160905285</v>
      </c>
      <c r="ET317" s="459">
        <f>ES317</f>
        <v>0.58549062160905285</v>
      </c>
      <c r="EV317" s="459">
        <f>ET317</f>
        <v>0.58549062160905285</v>
      </c>
      <c r="EW317" s="459">
        <f>EV317</f>
        <v>0.58549062160905285</v>
      </c>
      <c r="EX317" s="459">
        <f>EW317</f>
        <v>0.58549062160905285</v>
      </c>
      <c r="EY317" s="459">
        <f>EX317</f>
        <v>0.58549062160905285</v>
      </c>
      <c r="FA317" s="459">
        <f>EY317</f>
        <v>0.58549062160905285</v>
      </c>
      <c r="FB317" s="459">
        <f>FA317</f>
        <v>0.58549062160905285</v>
      </c>
      <c r="FC317" s="459">
        <f>FB317</f>
        <v>0.58549062160905285</v>
      </c>
      <c r="FD317" s="459">
        <f>FC317</f>
        <v>0.58549062160905285</v>
      </c>
      <c r="FF317" s="459">
        <f>FD317</f>
        <v>0.58549062160905285</v>
      </c>
      <c r="FG317" s="459">
        <f>FF317</f>
        <v>0.58549062160905285</v>
      </c>
      <c r="FH317" s="459">
        <f>FG317</f>
        <v>0.58549062160905285</v>
      </c>
      <c r="FI317" s="459">
        <f>FH317</f>
        <v>0.58549062160905285</v>
      </c>
      <c r="FK317" s="459">
        <f>FI317</f>
        <v>0.58549062160905285</v>
      </c>
      <c r="FL317" s="459">
        <f>FK317</f>
        <v>0.58549062160905285</v>
      </c>
      <c r="FM317" s="459">
        <f>FL317</f>
        <v>0.58549062160905285</v>
      </c>
      <c r="FN317" s="459">
        <f>FM317</f>
        <v>0.58549062160905285</v>
      </c>
    </row>
    <row r="318" spans="1:170" s="461" customFormat="1" hidden="1" outlineLevel="2">
      <c r="A318" s="460" t="s">
        <v>456</v>
      </c>
      <c r="AP318" s="462" t="b">
        <f>SUM(AP312,AP314,AP316)=AP41</f>
        <v>1</v>
      </c>
      <c r="AQ318" s="462" t="b">
        <f>SUM(AQ312,AQ314,AQ316)=AQ41</f>
        <v>1</v>
      </c>
      <c r="AR318" s="462" t="b">
        <f>SUM(AR312,AR314,AR316)=AR41</f>
        <v>1</v>
      </c>
      <c r="AS318" s="462" t="b">
        <f>SUM(AS312,AS314,AS316)=AS41</f>
        <v>1</v>
      </c>
      <c r="AT318" s="462"/>
      <c r="AU318" s="462" t="b">
        <f>SUM(AU312,AU314,AU316)=AU41</f>
        <v>1</v>
      </c>
      <c r="AV318" s="462" t="b">
        <f>SUM(AV312,AV314,AV316)=AV41</f>
        <v>1</v>
      </c>
      <c r="AW318" s="462" t="b">
        <f>SUM(AW312,AW314,AW316)=AW41</f>
        <v>1</v>
      </c>
      <c r="AX318" s="462" t="b">
        <f>SUM(AX312,AX314,AX316)=AX41</f>
        <v>1</v>
      </c>
      <c r="AY318" s="462"/>
      <c r="AZ318" s="462" t="b">
        <f>SUM(AZ312,AZ314,AZ316)=AZ41</f>
        <v>1</v>
      </c>
      <c r="BA318" s="462" t="b">
        <f>SUM(BA312,BA314,BA316)=BA41</f>
        <v>1</v>
      </c>
      <c r="BB318" s="462" t="b">
        <f>SUM(BB312,BB314,BB316)=BB41</f>
        <v>1</v>
      </c>
      <c r="BC318" s="462" t="b">
        <f>SUM(BC312,BC314,BC316)=BC41</f>
        <v>1</v>
      </c>
      <c r="BD318" s="462"/>
      <c r="BE318" s="462" t="b">
        <f>SUM(BE312,BE314,BE316)=BE41</f>
        <v>1</v>
      </c>
      <c r="BF318" s="462" t="b">
        <f>SUM(BF312,BF314,BF316)=BF41</f>
        <v>1</v>
      </c>
      <c r="BG318" s="462" t="b">
        <f>SUM(BG312,BG314,BG316)=BG41</f>
        <v>1</v>
      </c>
      <c r="BH318" s="462" t="b">
        <f>SUM(BH312,BH314,BH316)=BH41</f>
        <v>1</v>
      </c>
      <c r="BI318" s="462"/>
      <c r="BJ318" s="462" t="b">
        <f>SUM(BJ312,BJ314,BJ316)=BJ41</f>
        <v>1</v>
      </c>
      <c r="BK318" s="462" t="b">
        <f>SUM(BK312,BK314,BK316)=BK41</f>
        <v>1</v>
      </c>
      <c r="BL318" s="462" t="b">
        <f>SUM(BL312,BL314,BL316)=BL41</f>
        <v>1</v>
      </c>
      <c r="BM318" s="462" t="b">
        <f>SUM(BM312,BM314,BM316)=BM41</f>
        <v>0</v>
      </c>
      <c r="BN318" s="462"/>
      <c r="BO318" s="462" t="b">
        <f>SUM(BO312,BO314,BO316)=BO41</f>
        <v>0</v>
      </c>
      <c r="BP318" s="463" t="b">
        <f>SUM(BP312,BP314,BP316)=BP41</f>
        <v>0</v>
      </c>
      <c r="BQ318" s="463" t="b">
        <f>SUM(BQ312,BQ314,BQ316)=BQ41</f>
        <v>0</v>
      </c>
      <c r="BR318" s="463" t="b">
        <f>SUM(BR312,BR314,BR316)=BR41</f>
        <v>0</v>
      </c>
      <c r="BS318" s="463"/>
      <c r="BT318" s="462" t="b">
        <f>SUM(BT312,BT314,BT316)=BT41</f>
        <v>1</v>
      </c>
      <c r="BU318" s="462" t="b">
        <f>SUM(BU312,BU314,BU316)=BU41</f>
        <v>1</v>
      </c>
      <c r="BV318" s="206" t="b">
        <f>SUM(BV312,BV314,BV316)=BV41</f>
        <v>1</v>
      </c>
      <c r="BW318" s="462" t="b">
        <f>SUM(BW312,BW314,BW316)=BW41</f>
        <v>1</v>
      </c>
      <c r="BX318" s="462"/>
      <c r="BY318" s="462" t="b">
        <f>SUM(BY312,BY314,BY316)=BY41</f>
        <v>1</v>
      </c>
      <c r="BZ318" s="462" t="b">
        <f>SUM(BZ312,BZ314,BZ316)=BZ41</f>
        <v>1</v>
      </c>
      <c r="CA318" s="462" t="b">
        <f>SUM(CA312,CA314,CA316)=CA41</f>
        <v>1</v>
      </c>
      <c r="CB318" s="462" t="b">
        <f>SUM(CB312,CB314,CB316)=CB41</f>
        <v>1</v>
      </c>
      <c r="CC318" s="462"/>
      <c r="CD318" s="462" t="b">
        <f>SUM(CD312,CD314,CD316)=CD41</f>
        <v>1</v>
      </c>
      <c r="CE318" s="462" t="b">
        <f>SUM(CE312,CE314,CE316)=CE41</f>
        <v>1</v>
      </c>
      <c r="CF318" s="462" t="b">
        <f>SUM(CF312,CF314,CF316)=CF41</f>
        <v>1</v>
      </c>
      <c r="CG318" s="462" t="b">
        <f>SUM(CG312,CG314,CG316)=CG41</f>
        <v>1</v>
      </c>
      <c r="CH318" s="462"/>
      <c r="CI318" s="462" t="b">
        <f>SUM(CI312,CI314,CI316)=CI41</f>
        <v>1</v>
      </c>
      <c r="CJ318" s="462" t="b">
        <f>SUM(CJ312,CJ314,CJ316)=CJ41</f>
        <v>1</v>
      </c>
      <c r="CK318" s="462" t="b">
        <f>SUM(CK312,CK314,CK316)=CK41</f>
        <v>1</v>
      </c>
      <c r="CL318" s="462" t="b">
        <f>SUM(CL312,CL314,CL316)=CL41</f>
        <v>1</v>
      </c>
      <c r="CM318" s="462"/>
      <c r="CN318" s="462" t="b">
        <f>SUM(CN312,CN314,CN316)=CN41</f>
        <v>1</v>
      </c>
      <c r="CO318" s="462" t="b">
        <f>SUM(CO312,CO314,CO316)=CO41</f>
        <v>1</v>
      </c>
      <c r="CP318" s="462" t="b">
        <f>SUM(CP312,CP314,CP316)=CP41</f>
        <v>1</v>
      </c>
      <c r="CQ318" s="462" t="b">
        <f>SUM(CQ312,CQ314,CQ316)=CQ41</f>
        <v>1</v>
      </c>
      <c r="CR318" s="462"/>
      <c r="CS318" s="462" t="b">
        <f>SUM(CS312,CS314,CS316)=CS41</f>
        <v>1</v>
      </c>
      <c r="CT318" s="462" t="b">
        <f>SUM(CT312,CT314,CT316)=CT41</f>
        <v>1</v>
      </c>
      <c r="CU318" s="462" t="b">
        <f>SUM(CU312,CU314,CU316)=CU41</f>
        <v>1</v>
      </c>
      <c r="CV318" s="462" t="b">
        <f>SUM(CV312,CV314,CV316)=CV41</f>
        <v>1</v>
      </c>
      <c r="CW318" s="462"/>
      <c r="CX318" s="462" t="b">
        <f>SUM(CX312,CX314,CX316)=CX41</f>
        <v>1</v>
      </c>
      <c r="CY318" s="462" t="b">
        <f>SUM(CY312,CY314,CY316)=CY41</f>
        <v>1</v>
      </c>
      <c r="CZ318" s="462" t="b">
        <f>SUM(CZ312,CZ314,CZ316)=CZ41</f>
        <v>1</v>
      </c>
      <c r="DA318" s="462" t="b">
        <f>SUM(DA312,DA314,DA316)=DA41</f>
        <v>1</v>
      </c>
      <c r="DC318" s="462" t="b">
        <f>SUM(DC312,DC314,DC316)=DC41</f>
        <v>1</v>
      </c>
      <c r="DD318" s="462" t="b">
        <f>SUM(DD312,DD314,DD316)=DD41</f>
        <v>1</v>
      </c>
      <c r="DE318" s="462" t="b">
        <f>SUM(DE312,DE314,DE316)=DE41</f>
        <v>1</v>
      </c>
      <c r="DF318" s="462" t="b">
        <f>SUM(DF312,DF314,DF316)=DF41</f>
        <v>1</v>
      </c>
      <c r="DH318" s="462" t="b">
        <f>SUM(DH312,DH314,DH316)=DH41</f>
        <v>1</v>
      </c>
      <c r="DI318" s="462" t="b">
        <f>SUM(DI312,DI314,DI316)=DI41</f>
        <v>1</v>
      </c>
      <c r="DJ318" s="462" t="b">
        <f>SUM(DJ312,DJ314,DJ316)=DJ41</f>
        <v>1</v>
      </c>
      <c r="DK318" s="462" t="b">
        <f>SUM(DK312,DK314,DK316)=DK41</f>
        <v>1</v>
      </c>
      <c r="DM318" s="462" t="b">
        <f>SUM(DM312,DM314,DM316)=DM41</f>
        <v>1</v>
      </c>
      <c r="DN318" s="462" t="b">
        <f>SUM(DN312,DN314,DN316)=DN41</f>
        <v>1</v>
      </c>
      <c r="DO318" s="462" t="b">
        <f>SUM(DO312,DO314,DO316)=DO41</f>
        <v>1</v>
      </c>
      <c r="DP318" s="462" t="b">
        <f>SUM(DP312,DP314,DP316)=DP41</f>
        <v>1</v>
      </c>
      <c r="DR318" s="462" t="b">
        <f>SUM(DR312,DR314,DR316)=DR41</f>
        <v>1</v>
      </c>
      <c r="DS318" s="462" t="b">
        <f>SUM(DS312,DS314,DS316)=DS41</f>
        <v>1</v>
      </c>
      <c r="DT318" s="462" t="b">
        <f>SUM(DT312,DT314,DT316)=DT41</f>
        <v>1</v>
      </c>
      <c r="DU318" s="462" t="b">
        <f>SUM(DU312,DU314,DU316)=DU41</f>
        <v>1</v>
      </c>
      <c r="DW318" s="462" t="b">
        <f>SUM(DW312,DW314,DW316)=DW41</f>
        <v>1</v>
      </c>
      <c r="DX318" s="462" t="b">
        <f>SUM(DX312,DX314,DX316)=DX41</f>
        <v>1</v>
      </c>
      <c r="DY318" s="462" t="b">
        <f>SUM(DY312,DY314,DY316)=DY41</f>
        <v>1</v>
      </c>
      <c r="DZ318" s="462" t="b">
        <f>SUM(DZ312,DZ314,DZ316)=DZ41</f>
        <v>1</v>
      </c>
      <c r="EB318" s="462" t="b">
        <f>SUM(EB312,EB314,EB316)=EB41</f>
        <v>1</v>
      </c>
      <c r="EC318" s="462" t="b">
        <f>SUM(EC312,EC314,EC316)=EC41</f>
        <v>1</v>
      </c>
      <c r="ED318" s="462" t="b">
        <f>SUM(ED312,ED314,ED316)=ED41</f>
        <v>1</v>
      </c>
      <c r="EE318" s="462" t="b">
        <f>SUM(EE312,EE314,EE316)=EE41</f>
        <v>1</v>
      </c>
      <c r="EG318" s="462" t="b">
        <f>SUM(EG312,EG314,EG316)=EG41</f>
        <v>1</v>
      </c>
      <c r="EH318" s="462" t="b">
        <f>SUM(EH312,EH314,EH316)=EH41</f>
        <v>1</v>
      </c>
      <c r="EI318" s="462" t="b">
        <f>SUM(EI312,EI314,EI316)=EI41</f>
        <v>1</v>
      </c>
      <c r="EJ318" s="462" t="b">
        <f>SUM(EJ312,EJ314,EJ316)=EJ41</f>
        <v>1</v>
      </c>
      <c r="EL318" s="462" t="b">
        <f>SUM(EL312,EL314,EL316)=EL41</f>
        <v>1</v>
      </c>
      <c r="EM318" s="462" t="b">
        <f>SUM(EM312,EM314,EM316)=EM41</f>
        <v>1</v>
      </c>
      <c r="EN318" s="462" t="b">
        <f>SUM(EN312,EN314,EN316)=EN41</f>
        <v>1</v>
      </c>
      <c r="EO318" s="462" t="b">
        <f>SUM(EO312,EO314,EO316)=EO41</f>
        <v>1</v>
      </c>
      <c r="EQ318" s="462" t="b">
        <f>SUM(EQ312,EQ314,EQ316)=EQ41</f>
        <v>1</v>
      </c>
      <c r="ER318" s="462" t="b">
        <f>SUM(ER312,ER314,ER316)=ER41</f>
        <v>1</v>
      </c>
      <c r="ES318" s="462" t="b">
        <f>SUM(ES312,ES314,ES316)=ES41</f>
        <v>1</v>
      </c>
      <c r="ET318" s="462" t="b">
        <f>SUM(ET312,ET314,ET316)=ET41</f>
        <v>1</v>
      </c>
      <c r="EV318" s="462" t="b">
        <f>SUM(EV312,EV314,EV316)=EV41</f>
        <v>1</v>
      </c>
      <c r="EW318" s="462" t="b">
        <f>SUM(EW312,EW314,EW316)=EW41</f>
        <v>1</v>
      </c>
      <c r="EX318" s="462" t="b">
        <f>SUM(EX312,EX314,EX316)=EX41</f>
        <v>1</v>
      </c>
      <c r="EY318" s="462" t="b">
        <f>SUM(EY312,EY314,EY316)=EY41</f>
        <v>1</v>
      </c>
      <c r="FA318" s="462" t="b">
        <f>SUM(FA312,FA314,FA316)=FA41</f>
        <v>1</v>
      </c>
      <c r="FB318" s="462" t="b">
        <f>SUM(FB312,FB314,FB316)=FB41</f>
        <v>1</v>
      </c>
      <c r="FC318" s="462" t="b">
        <f>SUM(FC312,FC314,FC316)=FC41</f>
        <v>1</v>
      </c>
      <c r="FD318" s="462" t="b">
        <f>SUM(FD312,FD314,FD316)=FD41</f>
        <v>1</v>
      </c>
      <c r="FF318" s="462" t="b">
        <f>SUM(FF312,FF314,FF316)=FF41</f>
        <v>1</v>
      </c>
      <c r="FG318" s="462" t="b">
        <f>SUM(FG312,FG314,FG316)=FG41</f>
        <v>1</v>
      </c>
      <c r="FH318" s="462" t="b">
        <f>SUM(FH312,FH314,FH316)=FH41</f>
        <v>1</v>
      </c>
      <c r="FI318" s="462" t="b">
        <f>SUM(FI312,FI314,FI316)=FI41</f>
        <v>1</v>
      </c>
      <c r="FK318" s="462" t="b">
        <f>SUM(FK312,FK314,FK316)=FK41</f>
        <v>1</v>
      </c>
      <c r="FL318" s="462" t="b">
        <f>SUM(FL312,FL314,FL316)=FL41</f>
        <v>1</v>
      </c>
      <c r="FM318" s="462" t="b">
        <f>SUM(FM312,FM314,FM316)=FM41</f>
        <v>1</v>
      </c>
      <c r="FN318" s="462" t="b">
        <f>SUM(FN312,FN314,FN316)=FN41</f>
        <v>1</v>
      </c>
    </row>
    <row r="319" spans="1:170" hidden="1" outlineLevel="2">
      <c r="B319" s="189"/>
      <c r="C319" s="189"/>
      <c r="D319" s="189"/>
      <c r="E319" s="189"/>
      <c r="F319" s="189"/>
      <c r="G319" s="189"/>
      <c r="H319" s="189"/>
      <c r="I319" s="189"/>
      <c r="J319" s="189"/>
      <c r="K319" s="189"/>
      <c r="L319" s="189"/>
      <c r="M319" s="189"/>
      <c r="N319" s="189"/>
      <c r="O319" s="189"/>
      <c r="P319" s="189"/>
      <c r="Q319" s="189"/>
      <c r="R319" s="189"/>
      <c r="S319" s="189"/>
      <c r="T319" s="189"/>
      <c r="U319" s="189"/>
      <c r="V319" s="189"/>
      <c r="W319" s="189"/>
      <c r="X319" s="189"/>
      <c r="Y319" s="189"/>
      <c r="Z319" s="189"/>
      <c r="AA319" s="189"/>
      <c r="AB319" s="189"/>
      <c r="AC319" s="189"/>
      <c r="AD319" s="189"/>
      <c r="AE319" s="189"/>
      <c r="AF319" s="189"/>
      <c r="AG319" s="189"/>
      <c r="AK319" s="187"/>
      <c r="AL319" s="187"/>
      <c r="AM319" s="187"/>
      <c r="AN319" s="187"/>
      <c r="AO319" s="187"/>
      <c r="AP319" s="187"/>
      <c r="AQ319" s="464"/>
      <c r="AR319" s="464"/>
      <c r="AS319" s="464"/>
      <c r="AT319" s="464"/>
      <c r="AU319" s="464"/>
      <c r="AV319" s="464"/>
      <c r="AW319" s="464"/>
      <c r="AX319" s="464"/>
      <c r="AY319" s="464"/>
      <c r="AZ319" s="464"/>
      <c r="BA319" s="464"/>
      <c r="BB319" s="464"/>
      <c r="BC319" s="464"/>
      <c r="BD319" s="464"/>
      <c r="BE319" s="464"/>
      <c r="BF319" s="464"/>
      <c r="BG319" s="464"/>
      <c r="BH319" s="464">
        <f>BH37/BH46</f>
        <v>-6.0052176824561231E-3</v>
      </c>
      <c r="BI319" s="464"/>
      <c r="BJ319" s="464">
        <f>BJ37/BJ46</f>
        <v>-3.5606676661005658E-3</v>
      </c>
      <c r="BK319" s="464">
        <f>BK37/BK46</f>
        <v>5.6499810661149192E-4</v>
      </c>
      <c r="BL319" s="464">
        <f>BL37/BL46</f>
        <v>3.9603071380760876E-3</v>
      </c>
      <c r="BM319" s="464"/>
      <c r="BN319" s="464"/>
      <c r="BO319" s="464"/>
      <c r="BP319" s="464"/>
      <c r="BQ319" s="191"/>
      <c r="BR319" s="464"/>
      <c r="BS319" s="464"/>
      <c r="BT319" s="191"/>
      <c r="BU319" s="191"/>
      <c r="BV319" s="191"/>
      <c r="BW319" s="191"/>
      <c r="BX319" s="191"/>
      <c r="BY319" s="465"/>
      <c r="BZ319" s="191"/>
      <c r="CA319" s="191"/>
      <c r="CB319" s="191"/>
      <c r="CC319" s="191"/>
      <c r="CD319" s="191"/>
      <c r="CE319" s="191"/>
      <c r="CF319" s="191"/>
      <c r="CG319" s="191"/>
      <c r="CH319" s="191"/>
      <c r="CI319" s="191"/>
      <c r="CJ319" s="191"/>
      <c r="CK319" s="191"/>
      <c r="CL319" s="191"/>
      <c r="CM319" s="191"/>
      <c r="CN319" s="191"/>
      <c r="CO319" s="191"/>
      <c r="CP319" s="191"/>
      <c r="CQ319" s="191"/>
      <c r="CR319" s="191"/>
      <c r="CS319" s="191"/>
      <c r="CT319" s="191"/>
      <c r="CU319" s="191"/>
      <c r="CV319" s="191"/>
      <c r="CW319" s="191"/>
      <c r="CX319" s="191"/>
      <c r="CY319" s="191"/>
      <c r="CZ319" s="191"/>
      <c r="DA319" s="191"/>
      <c r="DC319" s="191"/>
      <c r="DD319" s="191"/>
      <c r="DE319" s="191"/>
      <c r="DF319" s="191"/>
      <c r="DH319" s="191"/>
      <c r="DI319" s="191"/>
      <c r="DJ319" s="191"/>
      <c r="DK319" s="191"/>
      <c r="DM319" s="191"/>
      <c r="DN319" s="191"/>
      <c r="DO319" s="191"/>
      <c r="DP319" s="191"/>
      <c r="DR319" s="191"/>
      <c r="DS319" s="191"/>
      <c r="DT319" s="191"/>
      <c r="DU319" s="191"/>
      <c r="DW319" s="191"/>
      <c r="DX319" s="191"/>
      <c r="DY319" s="191"/>
      <c r="DZ319" s="191"/>
      <c r="EB319" s="191"/>
      <c r="EC319" s="191"/>
      <c r="ED319" s="191"/>
      <c r="EE319" s="191"/>
      <c r="EG319" s="191"/>
      <c r="EH319" s="191"/>
      <c r="EI319" s="191"/>
      <c r="EJ319" s="191"/>
      <c r="EL319" s="191"/>
      <c r="EM319" s="191"/>
      <c r="EN319" s="191"/>
      <c r="EO319" s="191"/>
      <c r="EQ319" s="191"/>
      <c r="ER319" s="191"/>
      <c r="ES319" s="191"/>
      <c r="ET319" s="191"/>
      <c r="EV319" s="191"/>
      <c r="EW319" s="191"/>
      <c r="EX319" s="191"/>
      <c r="EY319" s="191"/>
      <c r="FA319" s="191"/>
      <c r="FB319" s="191"/>
      <c r="FC319" s="191"/>
      <c r="FD319" s="191"/>
      <c r="FF319" s="191"/>
      <c r="FG319" s="191"/>
      <c r="FH319" s="191"/>
      <c r="FI319" s="191"/>
      <c r="FK319" s="191"/>
      <c r="FL319" s="191"/>
      <c r="FM319" s="191"/>
      <c r="FN319" s="191"/>
    </row>
    <row r="320" spans="1:170" hidden="1" outlineLevel="2">
      <c r="A320" s="171" t="s">
        <v>551</v>
      </c>
      <c r="B320" s="189"/>
      <c r="C320" s="189"/>
      <c r="D320" s="189"/>
      <c r="E320" s="189"/>
      <c r="F320" s="189"/>
      <c r="G320" s="189"/>
      <c r="H320" s="189"/>
      <c r="I320" s="189"/>
      <c r="J320" s="189"/>
      <c r="K320" s="189"/>
      <c r="L320" s="187">
        <f>L44/L48</f>
        <v>3.6790630112258166E-4</v>
      </c>
      <c r="M320" s="187">
        <f>M44/M48</f>
        <v>4.1584402764067118E-4</v>
      </c>
      <c r="N320" s="187">
        <f>N44/N48</f>
        <v>7.5544098410843018E-4</v>
      </c>
      <c r="O320" s="187">
        <f>O44/O48</f>
        <v>8.0956565737264053E-4</v>
      </c>
      <c r="P320" s="187"/>
      <c r="Q320" s="187">
        <f>Q44/Q48</f>
        <v>7.8722989362887529E-4</v>
      </c>
      <c r="R320" s="187">
        <f>R44/R48</f>
        <v>1.2390390881527808E-3</v>
      </c>
      <c r="S320" s="187">
        <f>S44/S48</f>
        <v>1.4670230620998318E-3</v>
      </c>
      <c r="T320" s="187">
        <f>T44/T48</f>
        <v>1.6389836724937953E-3</v>
      </c>
      <c r="U320" s="187"/>
      <c r="V320" s="187">
        <f>V44/V48</f>
        <v>1.3401846186030697E-3</v>
      </c>
      <c r="W320" s="187">
        <f>W44/W48</f>
        <v>1.6111574340485343E-3</v>
      </c>
      <c r="X320" s="187">
        <f>X44/X48</f>
        <v>2.0233526681907319E-3</v>
      </c>
      <c r="Y320" s="187">
        <f>Y44/Y48</f>
        <v>3.6603424928059567E-3</v>
      </c>
      <c r="Z320" s="187"/>
      <c r="AA320" s="187">
        <f>AA44/AA48</f>
        <v>2.122879925249736E-3</v>
      </c>
      <c r="AB320" s="187">
        <f>AB44/AB48</f>
        <v>2.5942604333313763E-4</v>
      </c>
      <c r="AC320" s="187">
        <f>AC44/AC48</f>
        <v>-1.320987171464331E-3</v>
      </c>
      <c r="AD320" s="187">
        <f>AD44/AD48</f>
        <v>2.5338721841166359E-3</v>
      </c>
      <c r="AE320" s="187"/>
      <c r="AF320" s="187">
        <f>AF44/AF48</f>
        <v>9.799513671778083E-4</v>
      </c>
      <c r="AG320" s="187">
        <f>AG44/AG48</f>
        <v>1.1529581612250849E-3</v>
      </c>
      <c r="AH320" s="187">
        <f>AH44/AH48</f>
        <v>3.0590223834192984E-4</v>
      </c>
      <c r="AI320" s="187">
        <f>AI44/AI48</f>
        <v>1.1412600992498666E-3</v>
      </c>
      <c r="AJ320" s="187"/>
      <c r="AK320" s="187">
        <f>AK44/AK48</f>
        <v>9.9680261169847809E-4</v>
      </c>
      <c r="AL320" s="187">
        <f>AL44/AL48</f>
        <v>2.4043835966459635E-4</v>
      </c>
      <c r="AM320" s="187">
        <f>AM44/AM48</f>
        <v>1.2475246188346873E-3</v>
      </c>
      <c r="AN320" s="187">
        <f>AN44/AN48</f>
        <v>2.2570335727220936E-3</v>
      </c>
      <c r="AO320" s="187"/>
      <c r="AP320" s="187">
        <f>AP44/AP48</f>
        <v>2.9753857973391275E-3</v>
      </c>
      <c r="AQ320" s="187">
        <f>AQ44/AQ48</f>
        <v>3.4495362944115641E-3</v>
      </c>
      <c r="AR320" s="187">
        <f>AR44/AR48</f>
        <v>2.9630769901426005E-3</v>
      </c>
      <c r="AS320" s="187">
        <f>AS44/AS48</f>
        <v>4.3901312042638717E-3</v>
      </c>
      <c r="AT320" s="187"/>
      <c r="AU320" s="187">
        <f>AU44/AU48</f>
        <v>3.9401378431956615E-3</v>
      </c>
      <c r="AV320" s="187">
        <f>AV44/AV48</f>
        <v>3.7498044117786921E-3</v>
      </c>
      <c r="AW320" s="187">
        <f>AW44/AW48</f>
        <v>4.537615718552033E-3</v>
      </c>
      <c r="AX320" s="187">
        <f>AX44/AX48</f>
        <v>6.829927267076698E-3</v>
      </c>
      <c r="AY320" s="187"/>
      <c r="AZ320" s="187">
        <f>AZ44/AZ48</f>
        <v>5.5264591784375382E-3</v>
      </c>
      <c r="BA320" s="187">
        <f>BA44/BA48</f>
        <v>7.1515220770101496E-3</v>
      </c>
      <c r="BB320" s="187">
        <f>BB44/BB48</f>
        <v>9.6112058206970791E-3</v>
      </c>
      <c r="BC320" s="187">
        <f>BC44/BC48</f>
        <v>1.0546798692653809E-2</v>
      </c>
      <c r="BD320" s="187"/>
      <c r="BE320" s="187">
        <f>BE44/BE48</f>
        <v>7.4665661017349963E-3</v>
      </c>
      <c r="BF320" s="187">
        <f>BF44/BF46</f>
        <v>-5.4431625247336694E-3</v>
      </c>
      <c r="BG320" s="187">
        <f>BG44/BG48</f>
        <v>5.5124916745787468E-4</v>
      </c>
      <c r="BH320" s="187">
        <f>BH44/BH48</f>
        <v>-6.8669258456644858E-3</v>
      </c>
      <c r="BI320" s="187"/>
      <c r="BJ320" s="187">
        <f>BJ44/BJ48</f>
        <v>-9.2815508558805257E-3</v>
      </c>
      <c r="BK320" s="187">
        <f>BK44/BK48</f>
        <v>-4.6789659370639952E-3</v>
      </c>
      <c r="BL320" s="187">
        <f>BL44/BL48</f>
        <v>4.682301468885635E-3</v>
      </c>
      <c r="BM320" s="187">
        <f>BM44/BM48</f>
        <v>5.6296288660856487E-3</v>
      </c>
      <c r="BN320" s="187"/>
      <c r="BO320" s="187">
        <f>BO44/BO48</f>
        <v>5.8204187161694544E-3</v>
      </c>
      <c r="BP320" s="187">
        <f>BP44/BP48</f>
        <v>-6.0510437289550047E-3</v>
      </c>
      <c r="BQ320" s="187">
        <f>BQ44/BQ48</f>
        <v>3.6412207713748274E-3</v>
      </c>
      <c r="BR320" s="187">
        <f>BR44/BR48</f>
        <v>7.1335895564691078E-3</v>
      </c>
      <c r="BS320" s="187"/>
      <c r="BT320" s="187">
        <f>BT44/BT48</f>
        <v>5.5103802280129233E-3</v>
      </c>
      <c r="BU320" s="187">
        <f>BU44/BU48</f>
        <v>6.1722025494597129E-3</v>
      </c>
      <c r="BV320" s="187">
        <f>BV44/BV48</f>
        <v>7.2638780233392E-3</v>
      </c>
      <c r="BW320" s="187">
        <f>BW44/BW48</f>
        <v>4.6890230989704114E-3</v>
      </c>
      <c r="BX320" s="187"/>
      <c r="BY320" s="187">
        <f>BY44/BY48</f>
        <v>2.4221848518562483E-3</v>
      </c>
      <c r="BZ320" s="187">
        <f>BZ44/BZ48</f>
        <v>4.776030541946228E-3</v>
      </c>
      <c r="CA320" s="187">
        <f>CA44/CA48</f>
        <v>8.3120641811575153E-3</v>
      </c>
      <c r="CB320" s="187">
        <f>CB44/CB48</f>
        <v>6.9922815738451324E-3</v>
      </c>
      <c r="CC320" s="187"/>
      <c r="CD320" s="187">
        <f>CD44/CD48</f>
        <v>3.1443060090230613E-3</v>
      </c>
      <c r="CE320" s="187">
        <f>CE44/CE48</f>
        <v>4.0729316932598689E-3</v>
      </c>
      <c r="CF320" s="187">
        <f>CF44/CF48</f>
        <v>5.041766312471131E-3</v>
      </c>
      <c r="CG320" s="187">
        <f>CG44/CG48</f>
        <v>6.3616295665066295E-3</v>
      </c>
      <c r="CH320" s="187"/>
      <c r="CI320" s="187">
        <f>CI44/CI48</f>
        <v>5.9831142557615295E-3</v>
      </c>
      <c r="CJ320" s="187">
        <f>CJ44/CJ48</f>
        <v>5.6073554257832503E-3</v>
      </c>
      <c r="CK320" s="187">
        <f>CK44/CK48</f>
        <v>7.7466271110227377E-3</v>
      </c>
      <c r="CL320" s="187">
        <f>CL44/CL48</f>
        <v>8.6748728378846975E-3</v>
      </c>
      <c r="CM320" s="187"/>
      <c r="CN320" s="187">
        <f>CN44/CN48</f>
        <v>5.9608540925266901E-3</v>
      </c>
      <c r="CO320" s="187">
        <f>CO44/CO48</f>
        <v>1.177536231884058E-3</v>
      </c>
      <c r="CP320" s="187">
        <f>CP44/CP48</f>
        <v>1.1081081081081081E-2</v>
      </c>
      <c r="CQ320" s="187">
        <f>CQ44/CQ48</f>
        <v>9.1269841269841275E-3</v>
      </c>
      <c r="CR320" s="187"/>
      <c r="CS320" s="187">
        <f>CS44/CS48</f>
        <v>8.6267605633802823E-3</v>
      </c>
      <c r="CT320" s="187">
        <f>CT44/CT48</f>
        <v>1.0702199661590524E-2</v>
      </c>
      <c r="CU320" s="187">
        <f>CU44/CU48</f>
        <v>2.2286184210526316E-2</v>
      </c>
      <c r="CV320" s="187">
        <f>CV44/CV48</f>
        <v>2.624198717948718E-2</v>
      </c>
      <c r="CW320" s="187"/>
      <c r="CX320" s="187">
        <f>CX44/CX48</f>
        <v>2.021531100478469E-2</v>
      </c>
      <c r="CY320" s="187">
        <f>CY44/CY48</f>
        <v>2.3171701112877585E-2</v>
      </c>
      <c r="CZ320" s="187">
        <f>CZ44/CZ48</f>
        <v>3.3466453674121405E-2</v>
      </c>
      <c r="DA320" s="187">
        <f>DA44/DA48</f>
        <v>4.4577352472089313E-2</v>
      </c>
      <c r="DC320" s="187">
        <f>DC44/DC48</f>
        <v>4.9601275917065389E-2</v>
      </c>
      <c r="DD320" s="187">
        <f>DD44/DD48</f>
        <v>4.4040000000000003E-2</v>
      </c>
      <c r="DE320" s="187">
        <f>DE44/DE48</f>
        <v>4.9200000000000001E-2</v>
      </c>
      <c r="DF320" s="187">
        <f>DF44/DF48</f>
        <v>2.2899838449111469E-2</v>
      </c>
      <c r="DH320" s="187">
        <f>DH44/DH48</f>
        <v>1.5990259740259739E-2</v>
      </c>
      <c r="DI320" s="187">
        <f>DI44/DI48</f>
        <v>2.2402597402597403E-2</v>
      </c>
      <c r="DJ320" s="187">
        <f>DJ44/DJ48</f>
        <v>3.6367313915857603E-2</v>
      </c>
      <c r="DK320" s="187">
        <f>DK44/DK48</f>
        <v>3.8244766505636074E-2</v>
      </c>
      <c r="DM320" s="187">
        <f>DM44/DM48</f>
        <v>3.6856913183279744E-2</v>
      </c>
      <c r="DN320" s="187">
        <f>DN44/DN48</f>
        <v>2.4840255591054312E-2</v>
      </c>
      <c r="DO320" s="187">
        <f>DO44/DO48</f>
        <v>5.3015873015873016E-2</v>
      </c>
      <c r="DP320" s="187">
        <f>DP44/DP48</f>
        <v>5.7725832012678287E-2</v>
      </c>
      <c r="DR320" s="187">
        <f>DR44/DR48</f>
        <v>7.5632911392405064E-2</v>
      </c>
      <c r="DS320" s="187">
        <f>DS44/DS48</f>
        <v>9.3759873617693529E-2</v>
      </c>
      <c r="DT320" s="187">
        <f>DT44/DT48</f>
        <v>9.7084318360914107E-2</v>
      </c>
      <c r="DU320" s="187">
        <f>DU44/DU48</f>
        <v>0.11799607072691552</v>
      </c>
      <c r="DW320" s="187">
        <f>DW44/DW48</f>
        <v>6.3776113519905406E-2</v>
      </c>
      <c r="DX320" s="187">
        <f>DX44/DX48</f>
        <v>2.6073131955484895E-2</v>
      </c>
      <c r="DY320" s="187">
        <f>DY44/DY48</f>
        <v>2.7210884353741496E-2</v>
      </c>
      <c r="DZ320" s="187">
        <f>DZ44/DZ48</f>
        <v>5.708518368994752E-2</v>
      </c>
      <c r="EB320" s="187">
        <f>EB44/EB48</f>
        <v>8.2048192771084341E-2</v>
      </c>
      <c r="EC320" s="187">
        <f>EC44/EC48</f>
        <v>0.24761904761904763</v>
      </c>
      <c r="ED320" s="187">
        <f>ED44/ED48</f>
        <v>0.37060946271050521</v>
      </c>
      <c r="EE320" s="187">
        <f>EE44/EE48</f>
        <v>0.49337349397590363</v>
      </c>
      <c r="EG320" s="187">
        <f>EG44/EG48</f>
        <v>0.5978706307754118</v>
      </c>
      <c r="EH320" s="187">
        <f>EH44/EH48</f>
        <v>0.66802157115260785</v>
      </c>
      <c r="EI320" s="187">
        <f>EI44/EI48</f>
        <v>0.77940582869136998</v>
      </c>
      <c r="EJ320" s="187">
        <f>EJ44/EJ48</f>
        <v>0.8941552659273051</v>
      </c>
      <c r="EL320" s="187">
        <f>EL44/EL48</f>
        <v>0.7628702612652879</v>
      </c>
      <c r="EM320" s="187">
        <f>EM44/EM48</f>
        <v>1.0770422305560086</v>
      </c>
      <c r="EN320" s="187">
        <f>EN44/EN48</f>
        <v>1.3033533472205203</v>
      </c>
      <c r="EO320" s="187">
        <f>EO44/EO48</f>
        <v>1.7583497053045187</v>
      </c>
      <c r="EQ320" s="187">
        <f>EQ44/EQ48</f>
        <v>2.3910868763068347</v>
      </c>
      <c r="ER320" s="187">
        <f>ER44/ER48</f>
        <v>2.1162258697567786</v>
      </c>
      <c r="ES320" s="187">
        <f>ES44/ES48</f>
        <v>2.5636890582306679</v>
      </c>
      <c r="ET320" s="187">
        <f>ET44/ET48</f>
        <v>2.9517426695047355</v>
      </c>
      <c r="EV320" s="187">
        <f>EV44/EV48</f>
        <v>3.2479876917207471</v>
      </c>
      <c r="EW320" s="187">
        <f>EW44/EW48</f>
        <v>3.5892808208282614</v>
      </c>
      <c r="EX320" s="187">
        <f>EX44/EX48</f>
        <v>4.0551324753528704</v>
      </c>
      <c r="EY320" s="187">
        <f>EY44/EY48</f>
        <v>4.3558085926950545</v>
      </c>
      <c r="FA320" s="187">
        <f>FA44/FA48</f>
        <v>4.4934218704696658</v>
      </c>
      <c r="FB320" s="187">
        <f>FB44/FB48</f>
        <v>4.6561255755336362</v>
      </c>
      <c r="FC320" s="187">
        <f>FC44/FC48</f>
        <v>5.0302478797631744</v>
      </c>
      <c r="FD320" s="187">
        <f>FD44/FD48</f>
        <v>5.3230450699334311</v>
      </c>
      <c r="FF320" s="187">
        <f>FF44/FF48</f>
        <v>5.3938311973132853</v>
      </c>
      <c r="FG320" s="187">
        <f>FG44/FG48</f>
        <v>5.486305465996054</v>
      </c>
      <c r="FH320" s="187">
        <f>FH44/FH48</f>
        <v>5.7063104620063658</v>
      </c>
      <c r="FI320" s="187">
        <f>FI44/FI48</f>
        <v>5.8665488958654732</v>
      </c>
      <c r="FK320" s="187">
        <f>FK44/FK48</f>
        <v>6.011173865581485</v>
      </c>
      <c r="FL320" s="187">
        <f>FL44/FL48</f>
        <v>6.2422857384482011</v>
      </c>
      <c r="FM320" s="187">
        <f>FM44/FM48</f>
        <v>6.6852389841614448</v>
      </c>
      <c r="FN320" s="187">
        <f>FN44/FN48</f>
        <v>7.0139699477468209</v>
      </c>
    </row>
    <row r="321" spans="1:170" hidden="1" outlineLevel="2">
      <c r="A321" s="171" t="s">
        <v>552</v>
      </c>
      <c r="B321" s="189"/>
      <c r="C321" s="189"/>
      <c r="D321" s="189"/>
      <c r="E321" s="189"/>
      <c r="F321" s="189"/>
      <c r="G321" s="189"/>
      <c r="H321" s="189"/>
      <c r="I321" s="189"/>
      <c r="J321" s="189"/>
      <c r="K321" s="189"/>
      <c r="L321" s="187" t="e">
        <f>L331/#REF!</f>
        <v>#REF!</v>
      </c>
      <c r="M321" s="187" t="e">
        <f>M331/#REF!</f>
        <v>#REF!</v>
      </c>
      <c r="N321" s="187" t="e">
        <f>N331/#REF!</f>
        <v>#REF!</v>
      </c>
      <c r="O321" s="187" t="e">
        <f>O331/#REF!</f>
        <v>#REF!</v>
      </c>
      <c r="P321" s="187"/>
      <c r="Q321" s="187" t="e">
        <f>Q331/#REF!</f>
        <v>#REF!</v>
      </c>
      <c r="R321" s="187" t="e">
        <f>R331/#REF!</f>
        <v>#REF!</v>
      </c>
      <c r="S321" s="187" t="e">
        <f>S331/#REF!</f>
        <v>#REF!</v>
      </c>
      <c r="T321" s="187" t="e">
        <f>T331/#REF!</f>
        <v>#REF!</v>
      </c>
      <c r="U321" s="187"/>
      <c r="V321" s="187" t="e">
        <f>V331/#REF!</f>
        <v>#REF!</v>
      </c>
      <c r="W321" s="187" t="e">
        <f>W331/#REF!</f>
        <v>#REF!</v>
      </c>
      <c r="X321" s="187" t="e">
        <f>X331/#REF!</f>
        <v>#REF!</v>
      </c>
      <c r="Y321" s="187" t="e">
        <f>Y331/#REF!</f>
        <v>#REF!</v>
      </c>
      <c r="Z321" s="187"/>
      <c r="AA321" s="187" t="e">
        <f>AA331/#REF!</f>
        <v>#REF!</v>
      </c>
      <c r="AB321" s="187" t="e">
        <f>AB331/#REF!</f>
        <v>#REF!</v>
      </c>
      <c r="AC321" s="187" t="e">
        <f>AC331/#REF!</f>
        <v>#REF!</v>
      </c>
      <c r="AD321" s="187" t="e">
        <f>AD331/#REF!</f>
        <v>#REF!</v>
      </c>
      <c r="AE321" s="187"/>
      <c r="AF321" s="187" t="e">
        <f>AF331/#REF!</f>
        <v>#REF!</v>
      </c>
      <c r="AG321" s="187" t="e">
        <f>AG331/#REF!</f>
        <v>#REF!</v>
      </c>
      <c r="AH321" s="187"/>
      <c r="AI321" s="187"/>
      <c r="AJ321" s="187"/>
      <c r="AK321" s="187"/>
      <c r="AL321" s="187"/>
      <c r="AM321" s="187"/>
      <c r="AN321" s="187"/>
      <c r="AO321" s="187"/>
      <c r="AP321" s="187"/>
      <c r="AQ321" s="187"/>
      <c r="AR321" s="187"/>
      <c r="AS321" s="187"/>
      <c r="AT321" s="187"/>
      <c r="AU321" s="187"/>
      <c r="AV321" s="187"/>
      <c r="AW321" s="187"/>
      <c r="AX321" s="187"/>
      <c r="AY321" s="187"/>
      <c r="AZ321" s="187"/>
      <c r="BA321" s="187"/>
      <c r="BB321" s="187"/>
      <c r="BC321" s="187"/>
      <c r="BD321" s="187"/>
      <c r="BE321" s="187"/>
      <c r="BF321" s="187"/>
      <c r="BG321" s="187"/>
      <c r="BH321" s="187"/>
      <c r="BI321" s="187"/>
      <c r="BJ321" s="187"/>
      <c r="BK321" s="187"/>
      <c r="BL321" s="187"/>
      <c r="BM321" s="187"/>
      <c r="BN321" s="187"/>
      <c r="BO321" s="187"/>
      <c r="BP321" s="187"/>
      <c r="BQ321" s="187"/>
      <c r="BR321" s="187"/>
      <c r="BS321" s="187"/>
      <c r="BT321" s="187"/>
      <c r="BU321" s="187"/>
      <c r="BV321" s="187"/>
      <c r="BW321" s="187"/>
      <c r="BX321" s="187"/>
      <c r="BY321" s="187"/>
      <c r="BZ321" s="187"/>
      <c r="CA321" s="187"/>
      <c r="CB321" s="187"/>
      <c r="CC321" s="187"/>
      <c r="CD321" s="187"/>
      <c r="CE321" s="187"/>
      <c r="CF321" s="187"/>
      <c r="CG321" s="187"/>
      <c r="CH321" s="187"/>
      <c r="CI321" s="187"/>
      <c r="CJ321" s="187"/>
      <c r="CK321" s="187"/>
      <c r="CL321" s="187"/>
      <c r="CM321" s="187"/>
      <c r="CN321" s="187"/>
      <c r="CO321" s="187"/>
      <c r="CP321" s="187"/>
      <c r="CQ321" s="187"/>
      <c r="CR321" s="187"/>
      <c r="CS321" s="187"/>
      <c r="CT321" s="187"/>
      <c r="CU321" s="187"/>
      <c r="CV321" s="187"/>
      <c r="CW321" s="187"/>
      <c r="CX321" s="187"/>
      <c r="CY321" s="187"/>
      <c r="CZ321" s="187"/>
      <c r="DA321" s="187"/>
      <c r="DC321" s="187"/>
      <c r="DD321" s="187"/>
      <c r="DE321" s="187"/>
      <c r="DF321" s="187"/>
      <c r="DH321" s="187"/>
      <c r="DI321" s="187"/>
      <c r="DJ321" s="187"/>
      <c r="DK321" s="187"/>
      <c r="DM321" s="187"/>
      <c r="DN321" s="187"/>
      <c r="DO321" s="187"/>
      <c r="DP321" s="187"/>
      <c r="DR321" s="187"/>
      <c r="DS321" s="187"/>
      <c r="DT321" s="187"/>
      <c r="DU321" s="187"/>
      <c r="DW321" s="187"/>
      <c r="DX321" s="187"/>
      <c r="DY321" s="187"/>
      <c r="DZ321" s="187"/>
      <c r="EB321" s="187"/>
      <c r="EC321" s="187"/>
      <c r="ED321" s="187"/>
      <c r="EE321" s="187"/>
      <c r="EG321" s="187"/>
      <c r="EH321" s="187"/>
      <c r="EI321" s="187"/>
      <c r="EJ321" s="187"/>
      <c r="EL321" s="187"/>
      <c r="EM321" s="187"/>
      <c r="EN321" s="187"/>
      <c r="EO321" s="187"/>
      <c r="EQ321" s="187"/>
      <c r="ER321" s="187"/>
      <c r="ES321" s="187"/>
      <c r="ET321" s="187"/>
      <c r="EV321" s="187"/>
      <c r="EW321" s="187"/>
      <c r="EX321" s="187"/>
      <c r="EY321" s="187"/>
      <c r="FA321" s="187"/>
      <c r="FB321" s="187"/>
      <c r="FC321" s="187"/>
      <c r="FD321" s="187"/>
      <c r="FF321" s="187"/>
      <c r="FG321" s="187"/>
      <c r="FH321" s="187"/>
      <c r="FI321" s="187"/>
      <c r="FK321" s="187"/>
      <c r="FL321" s="187"/>
      <c r="FM321" s="187"/>
      <c r="FN321" s="187"/>
    </row>
    <row r="322" spans="1:170" hidden="1" outlineLevel="2">
      <c r="A322" s="171" t="s">
        <v>553</v>
      </c>
      <c r="B322" s="189"/>
      <c r="C322" s="189"/>
      <c r="D322" s="189"/>
      <c r="E322" s="189"/>
      <c r="F322" s="189"/>
      <c r="G322" s="189"/>
      <c r="H322" s="189"/>
      <c r="I322" s="189"/>
      <c r="J322" s="189"/>
      <c r="K322" s="189"/>
      <c r="L322" s="187" t="e">
        <f t="shared" ref="L322:AG322" si="323">MIN(L320:L321)</f>
        <v>#REF!</v>
      </c>
      <c r="M322" s="187" t="e">
        <f t="shared" si="323"/>
        <v>#REF!</v>
      </c>
      <c r="N322" s="187" t="e">
        <f t="shared" si="323"/>
        <v>#REF!</v>
      </c>
      <c r="O322" s="187" t="e">
        <f t="shared" si="323"/>
        <v>#REF!</v>
      </c>
      <c r="P322" s="187"/>
      <c r="Q322" s="187" t="e">
        <f t="shared" si="323"/>
        <v>#REF!</v>
      </c>
      <c r="R322" s="187" t="e">
        <f t="shared" si="323"/>
        <v>#REF!</v>
      </c>
      <c r="S322" s="187" t="e">
        <f t="shared" si="323"/>
        <v>#REF!</v>
      </c>
      <c r="T322" s="187" t="e">
        <f t="shared" si="323"/>
        <v>#REF!</v>
      </c>
      <c r="U322" s="187"/>
      <c r="V322" s="187" t="e">
        <f t="shared" si="323"/>
        <v>#REF!</v>
      </c>
      <c r="W322" s="187" t="e">
        <f t="shared" si="323"/>
        <v>#REF!</v>
      </c>
      <c r="X322" s="187" t="e">
        <f t="shared" si="323"/>
        <v>#REF!</v>
      </c>
      <c r="Y322" s="187" t="e">
        <f t="shared" si="323"/>
        <v>#REF!</v>
      </c>
      <c r="Z322" s="187"/>
      <c r="AA322" s="187" t="e">
        <f t="shared" si="323"/>
        <v>#REF!</v>
      </c>
      <c r="AB322" s="187" t="e">
        <f t="shared" si="323"/>
        <v>#REF!</v>
      </c>
      <c r="AC322" s="187" t="e">
        <f t="shared" si="323"/>
        <v>#REF!</v>
      </c>
      <c r="AD322" s="187" t="e">
        <f t="shared" si="323"/>
        <v>#REF!</v>
      </c>
      <c r="AE322" s="187"/>
      <c r="AF322" s="187" t="e">
        <f t="shared" si="323"/>
        <v>#REF!</v>
      </c>
      <c r="AG322" s="187" t="e">
        <f t="shared" si="323"/>
        <v>#REF!</v>
      </c>
      <c r="AH322" s="187">
        <f t="shared" ref="AH322:BM322" si="324">AH320</f>
        <v>3.0590223834192984E-4</v>
      </c>
      <c r="AI322" s="187">
        <f t="shared" si="324"/>
        <v>1.1412600992498666E-3</v>
      </c>
      <c r="AJ322" s="187"/>
      <c r="AK322" s="187">
        <f t="shared" si="324"/>
        <v>9.9680261169847809E-4</v>
      </c>
      <c r="AL322" s="187">
        <f t="shared" si="324"/>
        <v>2.4043835966459635E-4</v>
      </c>
      <c r="AM322" s="187">
        <f t="shared" si="324"/>
        <v>1.2475246188346873E-3</v>
      </c>
      <c r="AN322" s="187">
        <f t="shared" si="324"/>
        <v>2.2570335727220936E-3</v>
      </c>
      <c r="AO322" s="187"/>
      <c r="AP322" s="187">
        <f t="shared" si="324"/>
        <v>2.9753857973391275E-3</v>
      </c>
      <c r="AQ322" s="187">
        <f t="shared" si="324"/>
        <v>3.4495362944115641E-3</v>
      </c>
      <c r="AR322" s="187">
        <f t="shared" si="324"/>
        <v>2.9630769901426005E-3</v>
      </c>
      <c r="AS322" s="187">
        <f t="shared" si="324"/>
        <v>4.3901312042638717E-3</v>
      </c>
      <c r="AT322" s="187"/>
      <c r="AU322" s="187">
        <f t="shared" si="324"/>
        <v>3.9401378431956615E-3</v>
      </c>
      <c r="AV322" s="187">
        <f t="shared" si="324"/>
        <v>3.7498044117786921E-3</v>
      </c>
      <c r="AW322" s="187">
        <f t="shared" si="324"/>
        <v>4.537615718552033E-3</v>
      </c>
      <c r="AX322" s="187">
        <f t="shared" si="324"/>
        <v>6.829927267076698E-3</v>
      </c>
      <c r="AY322" s="187"/>
      <c r="AZ322" s="187">
        <f t="shared" si="324"/>
        <v>5.5264591784375382E-3</v>
      </c>
      <c r="BA322" s="187">
        <f t="shared" si="324"/>
        <v>7.1515220770101496E-3</v>
      </c>
      <c r="BB322" s="187">
        <f t="shared" si="324"/>
        <v>9.6112058206970791E-3</v>
      </c>
      <c r="BC322" s="187">
        <f>BC44/BC48</f>
        <v>1.0546798692653809E-2</v>
      </c>
      <c r="BD322" s="187"/>
      <c r="BE322" s="187">
        <f t="shared" si="324"/>
        <v>7.4665661017349963E-3</v>
      </c>
      <c r="BF322" s="187">
        <f t="shared" si="324"/>
        <v>-5.4431625247336694E-3</v>
      </c>
      <c r="BG322" s="187">
        <f t="shared" si="324"/>
        <v>5.5124916745787468E-4</v>
      </c>
      <c r="BH322" s="187">
        <f t="shared" si="324"/>
        <v>-6.8669258456644858E-3</v>
      </c>
      <c r="BI322" s="187"/>
      <c r="BJ322" s="187">
        <f>BJ320</f>
        <v>-9.2815508558805257E-3</v>
      </c>
      <c r="BK322" s="187">
        <f t="shared" si="324"/>
        <v>-4.6789659370639952E-3</v>
      </c>
      <c r="BL322" s="187">
        <f t="shared" si="324"/>
        <v>4.682301468885635E-3</v>
      </c>
      <c r="BM322" s="187">
        <f t="shared" si="324"/>
        <v>5.6296288660856487E-3</v>
      </c>
      <c r="BN322" s="187"/>
      <c r="BO322" s="187">
        <f t="shared" ref="BO322:BW322" si="325">BO320</f>
        <v>5.8204187161694544E-3</v>
      </c>
      <c r="BP322" s="187">
        <f t="shared" si="325"/>
        <v>-6.0510437289550047E-3</v>
      </c>
      <c r="BQ322" s="187">
        <f t="shared" si="325"/>
        <v>3.6412207713748274E-3</v>
      </c>
      <c r="BR322" s="187">
        <f t="shared" si="325"/>
        <v>7.1335895564691078E-3</v>
      </c>
      <c r="BS322" s="187"/>
      <c r="BT322" s="187">
        <f t="shared" si="325"/>
        <v>5.5103802280129233E-3</v>
      </c>
      <c r="BU322" s="187">
        <f t="shared" si="325"/>
        <v>6.1722025494597129E-3</v>
      </c>
      <c r="BV322" s="187">
        <f t="shared" si="325"/>
        <v>7.2638780233392E-3</v>
      </c>
      <c r="BW322" s="187">
        <f t="shared" si="325"/>
        <v>4.6890230989704114E-3</v>
      </c>
      <c r="BX322" s="187"/>
      <c r="BY322" s="187">
        <f t="shared" ref="BY322:CG322" si="326">BY320</f>
        <v>2.4221848518562483E-3</v>
      </c>
      <c r="BZ322" s="187">
        <f t="shared" si="326"/>
        <v>4.776030541946228E-3</v>
      </c>
      <c r="CA322" s="187">
        <f t="shared" si="326"/>
        <v>8.3120641811575153E-3</v>
      </c>
      <c r="CB322" s="187">
        <f t="shared" si="326"/>
        <v>6.9922815738451324E-3</v>
      </c>
      <c r="CC322" s="187"/>
      <c r="CD322" s="187">
        <f t="shared" si="326"/>
        <v>3.1443060090230613E-3</v>
      </c>
      <c r="CE322" s="187">
        <f t="shared" si="326"/>
        <v>4.0729316932598689E-3</v>
      </c>
      <c r="CF322" s="187">
        <f t="shared" si="326"/>
        <v>5.041766312471131E-3</v>
      </c>
      <c r="CG322" s="187">
        <f t="shared" si="326"/>
        <v>6.3616295665066295E-3</v>
      </c>
      <c r="CH322" s="187"/>
      <c r="CI322" s="187">
        <f>CI320</f>
        <v>5.9831142557615295E-3</v>
      </c>
      <c r="CJ322" s="187">
        <f t="shared" ref="CJ322:CQ322" si="327">CJ320</f>
        <v>5.6073554257832503E-3</v>
      </c>
      <c r="CK322" s="187">
        <f t="shared" si="327"/>
        <v>7.7466271110227377E-3</v>
      </c>
      <c r="CL322" s="187">
        <f>CL320</f>
        <v>8.6748728378846975E-3</v>
      </c>
      <c r="CM322" s="187"/>
      <c r="CN322" s="187">
        <f t="shared" si="327"/>
        <v>5.9608540925266901E-3</v>
      </c>
      <c r="CO322" s="187">
        <f t="shared" si="327"/>
        <v>1.177536231884058E-3</v>
      </c>
      <c r="CP322" s="187">
        <f t="shared" si="327"/>
        <v>1.1081081081081081E-2</v>
      </c>
      <c r="CQ322" s="187">
        <f t="shared" si="327"/>
        <v>9.1269841269841275E-3</v>
      </c>
      <c r="CR322" s="187"/>
      <c r="CS322" s="187">
        <f>CS320</f>
        <v>8.6267605633802823E-3</v>
      </c>
      <c r="CT322" s="187">
        <f>CT320</f>
        <v>1.0702199661590524E-2</v>
      </c>
      <c r="CU322" s="187">
        <f>CU320</f>
        <v>2.2286184210526316E-2</v>
      </c>
      <c r="CV322" s="187">
        <f>CV320</f>
        <v>2.624198717948718E-2</v>
      </c>
      <c r="CW322" s="187"/>
      <c r="CX322" s="187">
        <f>CX320</f>
        <v>2.021531100478469E-2</v>
      </c>
      <c r="CY322" s="187">
        <f>CY320</f>
        <v>2.3171701112877585E-2</v>
      </c>
      <c r="CZ322" s="187">
        <f>CZ320</f>
        <v>3.3466453674121405E-2</v>
      </c>
      <c r="DA322" s="187">
        <f>DA320</f>
        <v>4.4577352472089313E-2</v>
      </c>
      <c r="DC322" s="187">
        <f>DC320</f>
        <v>4.9601275917065389E-2</v>
      </c>
      <c r="DD322" s="187">
        <f>DD320</f>
        <v>4.4040000000000003E-2</v>
      </c>
      <c r="DE322" s="187">
        <f>DE320</f>
        <v>4.9200000000000001E-2</v>
      </c>
      <c r="DF322" s="187">
        <f>DF320</f>
        <v>2.2899838449111469E-2</v>
      </c>
      <c r="DH322" s="187">
        <f>DH320</f>
        <v>1.5990259740259739E-2</v>
      </c>
      <c r="DI322" s="187">
        <f>DI320</f>
        <v>2.2402597402597403E-2</v>
      </c>
      <c r="DJ322" s="187">
        <f>DJ320</f>
        <v>3.6367313915857603E-2</v>
      </c>
      <c r="DK322" s="187">
        <f>DK320</f>
        <v>3.8244766505636074E-2</v>
      </c>
      <c r="DM322" s="187">
        <f>DM320</f>
        <v>3.6856913183279744E-2</v>
      </c>
      <c r="DN322" s="187">
        <f>DN320</f>
        <v>2.4840255591054312E-2</v>
      </c>
      <c r="DO322" s="187">
        <f>DO320</f>
        <v>5.3015873015873016E-2</v>
      </c>
      <c r="DP322" s="187">
        <f>DP320</f>
        <v>5.7725832012678287E-2</v>
      </c>
      <c r="DR322" s="187">
        <f>DR320</f>
        <v>7.5632911392405064E-2</v>
      </c>
      <c r="DS322" s="187">
        <f>DS320</f>
        <v>9.3759873617693529E-2</v>
      </c>
      <c r="DT322" s="187">
        <f>DT320</f>
        <v>9.7084318360914107E-2</v>
      </c>
      <c r="DU322" s="187">
        <f>DU320</f>
        <v>0.11799607072691552</v>
      </c>
      <c r="DW322" s="187">
        <f>DW320</f>
        <v>6.3776113519905406E-2</v>
      </c>
      <c r="DX322" s="187">
        <f>DX320</f>
        <v>2.6073131955484895E-2</v>
      </c>
      <c r="DY322" s="187">
        <f>DY320</f>
        <v>2.7210884353741496E-2</v>
      </c>
      <c r="DZ322" s="187">
        <f>DZ320</f>
        <v>5.708518368994752E-2</v>
      </c>
      <c r="EB322" s="187">
        <f>EB320</f>
        <v>8.2048192771084341E-2</v>
      </c>
      <c r="EC322" s="187">
        <f>EC320</f>
        <v>0.24761904761904763</v>
      </c>
      <c r="ED322" s="187">
        <f>ED320</f>
        <v>0.37060946271050521</v>
      </c>
      <c r="EE322" s="187">
        <f>EE320</f>
        <v>0.49337349397590363</v>
      </c>
      <c r="EG322" s="187">
        <f>EG320</f>
        <v>0.5978706307754118</v>
      </c>
      <c r="EH322" s="187">
        <f>EH320</f>
        <v>0.66802157115260785</v>
      </c>
      <c r="EI322" s="187">
        <f>EI320</f>
        <v>0.77940582869136998</v>
      </c>
      <c r="EJ322" s="187">
        <f>EJ320</f>
        <v>0.8941552659273051</v>
      </c>
      <c r="EL322" s="187">
        <f>EL320</f>
        <v>0.7628702612652879</v>
      </c>
      <c r="EM322" s="187">
        <f>EM320</f>
        <v>1.0770422305560086</v>
      </c>
      <c r="EN322" s="187">
        <f>EN320</f>
        <v>1.3033533472205203</v>
      </c>
      <c r="EO322" s="187">
        <f>EO320</f>
        <v>1.7583497053045187</v>
      </c>
      <c r="EQ322" s="187">
        <f>EQ320</f>
        <v>2.3910868763068347</v>
      </c>
      <c r="ER322" s="187">
        <f>ER320</f>
        <v>2.1162258697567786</v>
      </c>
      <c r="ES322" s="187">
        <f>ES320</f>
        <v>2.5636890582306679</v>
      </c>
      <c r="ET322" s="187">
        <f>ET320</f>
        <v>2.9517426695047355</v>
      </c>
      <c r="EV322" s="187">
        <f>EV320</f>
        <v>3.2479876917207471</v>
      </c>
      <c r="EW322" s="187">
        <f>EW320</f>
        <v>3.5892808208282614</v>
      </c>
      <c r="EX322" s="187">
        <f>EX320</f>
        <v>4.0551324753528704</v>
      </c>
      <c r="EY322" s="187">
        <f>EY320</f>
        <v>4.3558085926950545</v>
      </c>
      <c r="FA322" s="187">
        <f>FA320</f>
        <v>4.4934218704696658</v>
      </c>
      <c r="FB322" s="187">
        <f>FB320</f>
        <v>4.6561255755336362</v>
      </c>
      <c r="FC322" s="187">
        <f>FC320</f>
        <v>5.0302478797631744</v>
      </c>
      <c r="FD322" s="187">
        <f>FD320</f>
        <v>5.3230450699334311</v>
      </c>
      <c r="FF322" s="187">
        <f>FF320</f>
        <v>5.3938311973132853</v>
      </c>
      <c r="FG322" s="187">
        <f>FG320</f>
        <v>5.486305465996054</v>
      </c>
      <c r="FH322" s="187">
        <f>FH320</f>
        <v>5.7063104620063658</v>
      </c>
      <c r="FI322" s="187">
        <f>FI320</f>
        <v>5.8665488958654732</v>
      </c>
      <c r="FK322" s="187">
        <f>FK320</f>
        <v>6.011173865581485</v>
      </c>
      <c r="FL322" s="187">
        <f>FL320</f>
        <v>6.2422857384482011</v>
      </c>
      <c r="FM322" s="187">
        <f>FM320</f>
        <v>6.6852389841614448</v>
      </c>
      <c r="FN322" s="187">
        <f>FN320</f>
        <v>7.0139699477468209</v>
      </c>
    </row>
    <row r="323" spans="1:170" hidden="1" outlineLevel="2">
      <c r="B323" s="189"/>
      <c r="C323" s="189"/>
      <c r="D323" s="189"/>
      <c r="E323" s="189"/>
      <c r="F323" s="189"/>
      <c r="G323" s="189"/>
      <c r="H323" s="189"/>
      <c r="I323" s="189"/>
      <c r="J323" s="189"/>
      <c r="K323" s="189"/>
      <c r="L323" s="187"/>
      <c r="M323" s="187"/>
      <c r="N323" s="187"/>
      <c r="O323" s="187"/>
      <c r="P323" s="187"/>
      <c r="Q323" s="187"/>
      <c r="R323" s="187"/>
      <c r="S323" s="187"/>
      <c r="T323" s="187"/>
      <c r="U323" s="187"/>
      <c r="V323" s="187"/>
      <c r="W323" s="187"/>
      <c r="X323" s="187"/>
      <c r="Y323" s="187"/>
      <c r="Z323" s="187"/>
      <c r="AA323" s="187"/>
      <c r="AB323" s="187"/>
      <c r="AC323" s="187"/>
      <c r="AD323" s="187"/>
      <c r="AE323" s="187"/>
      <c r="AF323" s="187"/>
      <c r="AG323" s="187"/>
      <c r="AH323" s="187"/>
      <c r="AI323" s="187"/>
      <c r="AJ323" s="187"/>
      <c r="AK323" s="187"/>
      <c r="AL323" s="187"/>
      <c r="AM323" s="187"/>
      <c r="AN323" s="187"/>
      <c r="AO323" s="187"/>
      <c r="AP323" s="187"/>
      <c r="AQ323" s="187"/>
      <c r="AR323" s="187"/>
      <c r="AS323" s="187"/>
      <c r="AT323" s="187"/>
      <c r="AU323" s="187"/>
      <c r="AV323" s="187"/>
      <c r="AW323" s="187"/>
      <c r="AX323" s="187"/>
      <c r="AY323" s="187"/>
      <c r="AZ323" s="187"/>
      <c r="BA323" s="187"/>
      <c r="BB323" s="187"/>
      <c r="BC323" s="187"/>
      <c r="BD323" s="187"/>
      <c r="BE323" s="187"/>
      <c r="BF323" s="187"/>
      <c r="BG323" s="187"/>
      <c r="BH323" s="187"/>
      <c r="BI323" s="187"/>
      <c r="BJ323" s="187"/>
      <c r="BK323" s="187"/>
      <c r="BL323" s="187"/>
      <c r="BM323" s="187"/>
      <c r="BN323" s="187"/>
      <c r="BO323" s="187"/>
      <c r="BP323" s="187"/>
      <c r="BQ323" s="187"/>
      <c r="BR323" s="187"/>
      <c r="BS323" s="187"/>
      <c r="BT323" s="187"/>
      <c r="BU323" s="187"/>
      <c r="BV323" s="187"/>
      <c r="BW323" s="187"/>
      <c r="BX323" s="187"/>
      <c r="BY323" s="187"/>
      <c r="BZ323" s="187"/>
      <c r="CA323" s="187"/>
      <c r="CB323" s="187"/>
      <c r="CC323" s="187"/>
      <c r="CD323" s="187"/>
      <c r="CE323" s="187"/>
      <c r="CF323" s="187"/>
      <c r="CG323" s="187"/>
      <c r="CH323" s="187"/>
      <c r="CI323" s="187"/>
      <c r="CJ323" s="187"/>
      <c r="CK323" s="187"/>
      <c r="CL323" s="187"/>
      <c r="CM323" s="187"/>
      <c r="CN323" s="187"/>
      <c r="CO323" s="187"/>
      <c r="CP323" s="187"/>
      <c r="CQ323" s="187"/>
      <c r="CR323" s="187"/>
      <c r="CS323" s="187"/>
      <c r="CT323" s="187"/>
      <c r="CU323" s="187"/>
      <c r="CV323" s="187"/>
      <c r="CW323" s="187"/>
      <c r="CX323" s="187"/>
      <c r="CY323" s="187"/>
      <c r="CZ323" s="187"/>
      <c r="DA323" s="187"/>
      <c r="DC323" s="187"/>
      <c r="DD323" s="187"/>
      <c r="DE323" s="187"/>
      <c r="DF323" s="187"/>
      <c r="DH323" s="187"/>
      <c r="DI323" s="187"/>
      <c r="DJ323" s="187"/>
      <c r="DK323" s="187"/>
      <c r="DM323" s="187"/>
      <c r="DN323" s="187"/>
      <c r="DO323" s="187"/>
      <c r="DP323" s="187"/>
      <c r="DR323" s="187"/>
      <c r="DS323" s="187"/>
      <c r="DT323" s="187"/>
      <c r="DU323" s="187"/>
      <c r="DW323" s="187"/>
      <c r="DX323" s="187"/>
      <c r="DY323" s="187"/>
      <c r="DZ323" s="187"/>
      <c r="EB323" s="187"/>
      <c r="EC323" s="187"/>
      <c r="ED323" s="187"/>
      <c r="EE323" s="187"/>
      <c r="EG323" s="187"/>
      <c r="EH323" s="187"/>
      <c r="EI323" s="187"/>
      <c r="EJ323" s="187"/>
      <c r="EL323" s="187"/>
      <c r="EM323" s="187"/>
      <c r="EN323" s="187"/>
      <c r="EO323" s="187"/>
      <c r="EQ323" s="187"/>
      <c r="ER323" s="187"/>
      <c r="ES323" s="187"/>
      <c r="ET323" s="187"/>
      <c r="EV323" s="187"/>
      <c r="EW323" s="187"/>
      <c r="EX323" s="187"/>
      <c r="EY323" s="187"/>
      <c r="FA323" s="187"/>
      <c r="FB323" s="187"/>
      <c r="FC323" s="187"/>
      <c r="FD323" s="187"/>
      <c r="FF323" s="187"/>
      <c r="FG323" s="187"/>
      <c r="FH323" s="187"/>
      <c r="FI323" s="187"/>
      <c r="FK323" s="187"/>
      <c r="FL323" s="187"/>
      <c r="FM323" s="187"/>
      <c r="FN323" s="187"/>
    </row>
    <row r="324" spans="1:170" hidden="1" outlineLevel="2">
      <c r="B324" s="148">
        <f>B46*1.5</f>
        <v>9127.44</v>
      </c>
      <c r="AD324" s="148"/>
      <c r="AE324" s="148"/>
      <c r="AF324" s="148"/>
    </row>
    <row r="325" spans="1:170" s="469" customFormat="1" hidden="1" outlineLevel="2">
      <c r="A325" s="466" t="s">
        <v>554</v>
      </c>
      <c r="B325" s="148" t="e">
        <f>#REF!*1.5</f>
        <v>#REF!</v>
      </c>
      <c r="C325" s="467"/>
      <c r="D325" s="467"/>
      <c r="E325" s="467"/>
      <c r="F325" s="467"/>
      <c r="G325" s="467"/>
      <c r="H325" s="467"/>
      <c r="I325" s="467"/>
      <c r="J325" s="467"/>
      <c r="K325" s="467"/>
      <c r="L325" s="467"/>
      <c r="M325" s="467"/>
      <c r="N325" s="467"/>
      <c r="O325" s="467"/>
      <c r="P325" s="467"/>
      <c r="Q325" s="467"/>
      <c r="R325" s="467"/>
      <c r="S325" s="467"/>
      <c r="T325" s="467"/>
      <c r="U325" s="467"/>
      <c r="V325" s="467"/>
      <c r="W325" s="467"/>
      <c r="X325" s="467"/>
      <c r="Y325" s="467"/>
      <c r="Z325" s="467"/>
      <c r="AA325" s="467"/>
      <c r="AB325" s="467"/>
      <c r="AC325" s="467"/>
      <c r="AD325" s="467"/>
      <c r="AE325" s="467"/>
      <c r="AF325" s="468">
        <f>AF54/AF53-1</f>
        <v>-0.81749126449587228</v>
      </c>
      <c r="AG325" s="468">
        <f>AG54/AG53-1</f>
        <v>-0.84107660455486633</v>
      </c>
      <c r="AH325" s="468">
        <f>AH54/AH53-1</f>
        <v>-1.1213326703132758</v>
      </c>
      <c r="AI325" s="468">
        <f>AI54/AI53-1</f>
        <v>-0.73148224778614468</v>
      </c>
      <c r="AJ325" s="468"/>
      <c r="AK325" s="468">
        <f>AK54/AK53-1</f>
        <v>-0.95620403765984696</v>
      </c>
      <c r="AL325" s="468">
        <f>AL54/AL53-1</f>
        <v>-4.1820668099238434</v>
      </c>
      <c r="AM325" s="468">
        <f>AM54/AM53-1</f>
        <v>-0.96182232698326742</v>
      </c>
      <c r="AN325" s="468">
        <f>AN54/AN53-1</f>
        <v>-0.4017580037076377</v>
      </c>
      <c r="AO325" s="468"/>
      <c r="AP325" s="468">
        <f>AP54/AP53-1</f>
        <v>-0.25786729563652133</v>
      </c>
      <c r="AQ325" s="468">
        <f>AQ54/AQ53-1</f>
        <v>-0.29116613439875993</v>
      </c>
      <c r="AR325" s="468">
        <f>AR54/AR53-1</f>
        <v>-0.24858151560449515</v>
      </c>
      <c r="AS325" s="468">
        <f>AS54/AS53-1</f>
        <v>-0.21781299718516678</v>
      </c>
      <c r="AT325" s="468"/>
      <c r="AU325" s="468">
        <f>AU54/AU53-1</f>
        <v>-0.17581574935272315</v>
      </c>
      <c r="AV325" s="468">
        <f>AV54/AV53-1</f>
        <v>-0.22961548707930013</v>
      </c>
      <c r="AW325" s="468">
        <f>AW54/AW53-1</f>
        <v>-0.98001276378478475</v>
      </c>
      <c r="AX325" s="468">
        <f>AX54/AX53-1</f>
        <v>-0.97953648671422722</v>
      </c>
      <c r="AY325" s="468"/>
      <c r="AZ325" s="468">
        <f>AZ54/AZ53-1</f>
        <v>-0.98046914095906545</v>
      </c>
      <c r="BA325" s="468">
        <f>BA54/BA53-1</f>
        <v>-0.97876039429588968</v>
      </c>
      <c r="BB325" s="468">
        <f>BB54/BB53-1</f>
        <v>-0.97835045627958817</v>
      </c>
      <c r="BC325" s="468">
        <f>BC54/BC53-1</f>
        <v>-0.97827937032615286</v>
      </c>
      <c r="BD325" s="468"/>
      <c r="BE325" s="468">
        <f>BE54/BE53-1</f>
        <v>-0.16510048732575267</v>
      </c>
      <c r="BF325" s="468">
        <f>BF54/BF53-1</f>
        <v>-0.44542454328394177</v>
      </c>
      <c r="BG325" s="468">
        <f>BG54/BG53-1</f>
        <v>-0.59301464670851489</v>
      </c>
      <c r="BH325" s="468">
        <f>BH54/BH53-1</f>
        <v>0.36889807600572433</v>
      </c>
      <c r="BI325" s="468"/>
      <c r="BJ325" s="468">
        <f>BJ54/BJ53-1</f>
        <v>0.65487017199731445</v>
      </c>
      <c r="BK325" s="468">
        <f>BK54/BK53-1</f>
        <v>-0.67256824807845272</v>
      </c>
      <c r="BL325" s="468">
        <f>BL54/BL53-1</f>
        <v>-0.2084655125532493</v>
      </c>
      <c r="BM325" s="468">
        <f>BM54/BM53-1</f>
        <v>-0.14927698019159374</v>
      </c>
      <c r="BN325" s="468"/>
      <c r="BO325" s="468">
        <f>BO54/BO53-1</f>
        <v>-0.15893003410883044</v>
      </c>
      <c r="BP325" s="468">
        <f>BP54/BP53-1</f>
        <v>-0.49777899931692693</v>
      </c>
      <c r="BQ325" s="468">
        <f>BQ54/BQ53-1</f>
        <v>-0.1955437855301172</v>
      </c>
      <c r="BR325" s="468">
        <f>BR54/BR53-1</f>
        <v>-0.14613434802678116</v>
      </c>
      <c r="BS325" s="468"/>
      <c r="BT325" s="468">
        <f>BT54/BT53-1</f>
        <v>-0.16862355491329473</v>
      </c>
      <c r="BU325" s="468">
        <f>BU54/BU53-1</f>
        <v>-0.16262626719563567</v>
      </c>
      <c r="BV325" s="468">
        <f>BV54/BV53-1</f>
        <v>-0.13594540745983497</v>
      </c>
      <c r="BW325" s="468">
        <f>BW54/BW53-1</f>
        <v>-0.20558698111565588</v>
      </c>
      <c r="BX325" s="468"/>
      <c r="BY325" s="468">
        <f>BY54/BY53-1</f>
        <v>-0.29399498042052818</v>
      </c>
      <c r="BZ325" s="468">
        <f>BZ54/BZ53-1</f>
        <v>-0.15517392097653193</v>
      </c>
      <c r="CA325" s="468">
        <f>CA54/CA53-1</f>
        <v>-0.10446164065696073</v>
      </c>
      <c r="CB325" s="468">
        <f>CB54/CB53-1</f>
        <v>-0.15517048235195618</v>
      </c>
      <c r="CC325" s="468"/>
      <c r="CD325" s="468">
        <f>CD54/CD53-1</f>
        <v>-0.26265351151698035</v>
      </c>
      <c r="CE325" s="468">
        <f>CE54/CE53-1</f>
        <v>-0.20409390848857478</v>
      </c>
      <c r="CF325" s="468">
        <f>CF54/CF53-1</f>
        <v>-0.20493575796288521</v>
      </c>
      <c r="CG325" s="468">
        <f>CG54/CG53-1</f>
        <v>-0.17765879485212122</v>
      </c>
      <c r="CH325" s="468"/>
      <c r="CI325" s="468">
        <f>CI54/CI53-1</f>
        <v>-0.18380054801120094</v>
      </c>
      <c r="CJ325" s="468">
        <f>CJ54/CJ53-1</f>
        <v>-0.19267028385928686</v>
      </c>
      <c r="CK325" s="468">
        <f>CK54/CK53-1</f>
        <v>-0.15621384988772191</v>
      </c>
      <c r="CL325" s="468">
        <f>CL54/CL53-1</f>
        <v>-0.14713751778551187</v>
      </c>
      <c r="CM325" s="468"/>
      <c r="CN325" s="468">
        <f>CN54/CN53-1</f>
        <v>-0.19459459459459449</v>
      </c>
      <c r="CO325" s="468">
        <f>CO54/CO53-1</f>
        <v>-0.20000000000000007</v>
      </c>
      <c r="CP325" s="468">
        <f>CP54/CP53-1</f>
        <v>-0.19379844961240311</v>
      </c>
      <c r="CQ325" s="468">
        <f>CQ54/CQ53-1</f>
        <v>-0.19453924914675758</v>
      </c>
      <c r="CR325" s="468"/>
      <c r="CS325" s="468">
        <f>CS54/CS53-1</f>
        <v>-0.18390804597701149</v>
      </c>
      <c r="CT325" s="468">
        <f>CT54/CT53-1</f>
        <v>-0.18269230769230771</v>
      </c>
      <c r="CU325" s="468">
        <f>CU54/CU53-1</f>
        <v>-0.11403508771929827</v>
      </c>
      <c r="CV325" s="468">
        <f>CV54/CV53-1</f>
        <v>-0.10070921985815606</v>
      </c>
      <c r="CW325" s="468"/>
      <c r="CX325" s="468">
        <f>CX54/CX53-1</f>
        <v>-0.1428571428571429</v>
      </c>
      <c r="CY325" s="468">
        <f>CY54/CY53-1</f>
        <v>-0.12695924764890276</v>
      </c>
      <c r="CZ325" s="468">
        <f>CZ54/CZ53-1</f>
        <v>-0.12845138055222094</v>
      </c>
      <c r="DA325" s="468">
        <f>DA54/DA53-1</f>
        <v>-0.11655874190564297</v>
      </c>
      <c r="DB325" s="467"/>
      <c r="DC325" s="468">
        <f>DC54/DC53-1</f>
        <v>-0.10038910505836574</v>
      </c>
      <c r="DD325" s="468">
        <f>DD54/DD53-1</f>
        <v>-0.10826446280991742</v>
      </c>
      <c r="DE325" s="468">
        <f>DE54/DE53-1</f>
        <v>-0.12163336229365773</v>
      </c>
      <c r="DF325" s="468">
        <f>DF54/DF53-1</f>
        <v>-0.31451612903225801</v>
      </c>
      <c r="DH325" s="468">
        <f>DH54/DH53-1</f>
        <v>-0.32780847145488023</v>
      </c>
      <c r="DI325" s="468">
        <f>DI54/DI53-1</f>
        <v>-0.29396325459317585</v>
      </c>
      <c r="DJ325" s="468">
        <f>DJ54/DJ53-1</f>
        <v>-0.20235934664246813</v>
      </c>
      <c r="DK325" s="468">
        <f>DK54/DK53-1</f>
        <v>-0.1877133105802048</v>
      </c>
      <c r="DM325" s="468">
        <f>DM54/DM53-1</f>
        <v>-0.20000000000000007</v>
      </c>
      <c r="DN325" s="468">
        <f>DN54/DN53-1</f>
        <v>-0.27379209370424595</v>
      </c>
      <c r="DO325" s="468">
        <f>DO54/DO53-1</f>
        <v>-0.20883315158124316</v>
      </c>
      <c r="DP325" s="468">
        <f>DP54/DP53-1</f>
        <v>-0.21308124680633622</v>
      </c>
      <c r="DR325" s="468">
        <f>DR54/DR53-1</f>
        <v>-0.18547341115434512</v>
      </c>
      <c r="DS325" s="468">
        <f>DS54/DS53-1</f>
        <v>-0.1772779260388867</v>
      </c>
      <c r="DT325" s="468">
        <f>DT54/DT53-1</f>
        <v>-0.18802556340396903</v>
      </c>
      <c r="DU325" s="468">
        <f>DU54/DU53-1</f>
        <v>-0.16447761194029853</v>
      </c>
      <c r="DW325" s="468">
        <f>DW54/DW53-1</f>
        <v>-0.16787685158292198</v>
      </c>
      <c r="DX325" s="468">
        <f>DX54/DX53-1</f>
        <v>-0.50232198142414863</v>
      </c>
      <c r="DY325" s="468">
        <f>DY54/DY53-1</f>
        <v>-0.51167582417582413</v>
      </c>
      <c r="DZ325" s="468">
        <f>DZ54/DZ53-1</f>
        <v>-0.33992640294388221</v>
      </c>
      <c r="EB325" s="468">
        <f>EB54/EB53-1</f>
        <v>-0.27091780316992253</v>
      </c>
      <c r="EC325" s="468">
        <f>EC54/EC53-1</f>
        <v>-0.12492581602373898</v>
      </c>
      <c r="ED325" s="468">
        <f>ED54/ED53-1</f>
        <v>-9.7704590818363246E-2</v>
      </c>
      <c r="EE325" s="468">
        <f>EE54/EE53-1</f>
        <v>-7.7342472155152331E-2</v>
      </c>
      <c r="EG325" s="468">
        <f>EG54/EG53-1</f>
        <v>-6.6347289670560361E-2</v>
      </c>
      <c r="EH325" s="468">
        <f>EH54/EH53-1</f>
        <v>-6.8074563473336624E-2</v>
      </c>
      <c r="EI325" s="468">
        <f>EI54/EI53-1</f>
        <v>-6.2568715642178918E-2</v>
      </c>
      <c r="EJ325" s="468">
        <f>EJ54/EJ53-1</f>
        <v>-5.9865856974530951E-2</v>
      </c>
      <c r="EL325" s="468">
        <f>EL54/EL53-1</f>
        <v>-7.4092691263697663E-2</v>
      </c>
      <c r="EM325" s="468">
        <f>EM54/EM53-1</f>
        <v>-6.2987239654035632E-2</v>
      </c>
      <c r="EN325" s="468">
        <f>EN54/EN53-1</f>
        <v>-5.2098089212075371E-2</v>
      </c>
      <c r="EO325" s="468">
        <f>EO54/EO53-1</f>
        <v>-4.1287419093851141E-2</v>
      </c>
      <c r="EQ325" s="468">
        <f>EQ54/EQ53-1</f>
        <v>-4.0609992417221297E-2</v>
      </c>
      <c r="ER325" s="468">
        <f>ER54/ER53-1</f>
        <v>-3.1388451459432254E-2</v>
      </c>
      <c r="ES325" s="468">
        <f>ES54/ES53-1</f>
        <v>-2.666889991405097E-2</v>
      </c>
      <c r="ET325" s="468">
        <f>ET54/ET53-1</f>
        <v>-2.3795870722318702E-2</v>
      </c>
      <c r="EV325" s="468">
        <f>EV54/EV53-1</f>
        <v>-2.2201024825907023E-2</v>
      </c>
      <c r="EW325" s="468">
        <f>EW54/EW53-1</f>
        <v>-2.0624469971310511E-2</v>
      </c>
      <c r="EX325" s="468">
        <f>EX54/EX53-1</f>
        <v>-1.8758134224275858E-2</v>
      </c>
      <c r="EY325" s="468">
        <f>EY54/EY53-1</f>
        <v>-1.7925849164033059E-2</v>
      </c>
      <c r="FA325" s="468">
        <f>FA54/FA53-1</f>
        <v>-1.782420072401858E-2</v>
      </c>
      <c r="FB325" s="468">
        <f>FB54/FB53-1</f>
        <v>-1.7645887493324852E-2</v>
      </c>
      <c r="FC325" s="468">
        <f>FC54/FC53-1</f>
        <v>-1.6767848966622867E-2</v>
      </c>
      <c r="FD325" s="468">
        <f>FD54/FD53-1</f>
        <v>-1.626108481887234E-2</v>
      </c>
      <c r="FF325" s="468">
        <f>FF54/FF53-1</f>
        <v>-1.6467524204518802E-2</v>
      </c>
      <c r="FG325" s="468">
        <f>FG54/FG53-1</f>
        <v>-1.6614988636359906E-2</v>
      </c>
      <c r="FH325" s="468">
        <f>FH54/FH53-1</f>
        <v>-1.6400287310862294E-2</v>
      </c>
      <c r="FI325" s="468">
        <f>FI54/FI53-1</f>
        <v>-1.6374952402870013E-2</v>
      </c>
      <c r="FK325" s="468">
        <f>FK54/FK53-1</f>
        <v>-1.6414605667347315E-2</v>
      </c>
      <c r="FL325" s="468">
        <f>FL54/FL53-1</f>
        <v>-1.6239953521332007E-2</v>
      </c>
      <c r="FM325" s="468">
        <f>FM54/FM53-1</f>
        <v>-1.5587564647096541E-2</v>
      </c>
      <c r="FN325" s="468">
        <f>FN54/FN53-1</f>
        <v>-1.5267532731866096E-2</v>
      </c>
    </row>
    <row r="326" spans="1:170" hidden="1" outlineLevel="2">
      <c r="A326" s="171" t="s">
        <v>555</v>
      </c>
      <c r="B326" s="205"/>
      <c r="C326" s="205"/>
      <c r="D326" s="205"/>
      <c r="E326" s="205"/>
      <c r="F326" s="205"/>
      <c r="G326" s="205"/>
      <c r="H326" s="205"/>
      <c r="I326" s="205"/>
      <c r="J326" s="205"/>
      <c r="K326" s="205"/>
      <c r="L326" s="189"/>
      <c r="Q326" s="189"/>
      <c r="S326" s="470">
        <f>S26</f>
        <v>1.2895000000000003</v>
      </c>
      <c r="T326" s="470">
        <f>T26</f>
        <v>3.5625</v>
      </c>
      <c r="U326" s="470"/>
      <c r="V326" s="470">
        <f>V26</f>
        <v>3.5625</v>
      </c>
      <c r="W326" s="470">
        <f>W26</f>
        <v>3.5625</v>
      </c>
      <c r="X326" s="470">
        <f>X26</f>
        <v>3.5625</v>
      </c>
      <c r="Y326" s="470">
        <f>Y26</f>
        <v>5.4854999999999983</v>
      </c>
      <c r="Z326" s="470"/>
      <c r="AA326" s="470">
        <f>AA26</f>
        <v>3.5625</v>
      </c>
      <c r="AB326" s="470">
        <f>AB26</f>
        <v>3.5625</v>
      </c>
      <c r="AC326" s="470">
        <f>AC26</f>
        <v>3.5625</v>
      </c>
      <c r="AD326" s="470">
        <f>AD26</f>
        <v>2.97</v>
      </c>
      <c r="AE326" s="470"/>
      <c r="AF326" s="470">
        <f>AF26</f>
        <v>3.5625</v>
      </c>
      <c r="AG326" s="470">
        <f>AG26</f>
        <v>3.5625</v>
      </c>
      <c r="AH326" s="470"/>
      <c r="AI326" s="470"/>
      <c r="AJ326" s="470"/>
      <c r="AK326" s="470"/>
      <c r="AL326" s="470"/>
      <c r="AM326" s="470"/>
      <c r="AN326" s="470"/>
      <c r="AO326" s="470"/>
      <c r="AP326" s="470"/>
      <c r="AQ326" s="470"/>
      <c r="AR326" s="470"/>
      <c r="AS326" s="470"/>
      <c r="AT326" s="470"/>
      <c r="AU326" s="470"/>
      <c r="AV326" s="470"/>
      <c r="AW326" s="470"/>
      <c r="AX326" s="470"/>
      <c r="AY326" s="470"/>
      <c r="AZ326" s="470"/>
      <c r="BA326" s="470"/>
      <c r="BB326" s="470"/>
      <c r="BC326" s="470"/>
      <c r="BD326" s="470"/>
      <c r="BE326" s="470"/>
      <c r="BF326" s="470"/>
      <c r="BG326" s="470"/>
      <c r="BH326" s="470"/>
      <c r="BI326" s="470"/>
      <c r="BJ326" s="470"/>
      <c r="BK326" s="470"/>
      <c r="BL326" s="470"/>
      <c r="BM326" s="470"/>
      <c r="BN326" s="470"/>
      <c r="BO326" s="470"/>
      <c r="BP326" s="470"/>
      <c r="BQ326" s="470"/>
      <c r="BR326" s="470"/>
      <c r="BS326" s="470"/>
      <c r="BT326" s="470"/>
      <c r="BU326" s="470"/>
      <c r="BV326" s="470"/>
      <c r="BW326" s="470"/>
      <c r="BX326" s="470"/>
      <c r="BY326" s="470"/>
      <c r="BZ326" s="470"/>
      <c r="CA326" s="470"/>
      <c r="CB326" s="470"/>
      <c r="CC326" s="470"/>
      <c r="CD326" s="470"/>
      <c r="CE326" s="470"/>
      <c r="CF326" s="470"/>
      <c r="CG326" s="470"/>
      <c r="CH326" s="470"/>
      <c r="CI326" s="470"/>
      <c r="CJ326" s="470"/>
      <c r="CK326" s="470"/>
      <c r="CL326" s="470"/>
      <c r="CM326" s="470"/>
      <c r="CN326" s="470"/>
      <c r="CO326" s="470"/>
      <c r="CP326" s="470"/>
      <c r="CQ326" s="470"/>
      <c r="CR326" s="470"/>
      <c r="CS326" s="470"/>
      <c r="CT326" s="470"/>
      <c r="CU326" s="470"/>
      <c r="CV326" s="470"/>
      <c r="CW326" s="470"/>
      <c r="CX326" s="470"/>
      <c r="CY326" s="470"/>
      <c r="CZ326" s="470"/>
      <c r="DA326" s="470"/>
    </row>
    <row r="327" spans="1:170" hidden="1" outlineLevel="2">
      <c r="A327" s="171" t="s">
        <v>556</v>
      </c>
      <c r="B327" s="366"/>
      <c r="C327" s="366"/>
      <c r="D327" s="366"/>
      <c r="E327" s="366"/>
      <c r="F327" s="366"/>
      <c r="G327" s="366"/>
      <c r="H327" s="366"/>
      <c r="I327" s="366"/>
      <c r="J327" s="366"/>
      <c r="K327" s="366"/>
      <c r="L327" s="366"/>
      <c r="M327" s="366"/>
      <c r="N327" s="366"/>
      <c r="O327" s="366"/>
      <c r="P327" s="366"/>
      <c r="Q327" s="366"/>
      <c r="R327" s="366"/>
      <c r="S327" s="366">
        <f>1-S35</f>
        <v>0.68193310698547993</v>
      </c>
      <c r="T327" s="366">
        <f>1-T35</f>
        <v>0.68513533883158517</v>
      </c>
      <c r="U327" s="366"/>
      <c r="V327" s="366">
        <f>1-V35</f>
        <v>0.70233444398167433</v>
      </c>
      <c r="W327" s="366">
        <f>1-W35</f>
        <v>0.7218411196530653</v>
      </c>
      <c r="X327" s="366">
        <f>1-X35</f>
        <v>0.73150352566532728</v>
      </c>
      <c r="Y327" s="366">
        <f>1-Y35</f>
        <v>0.67118605565506084</v>
      </c>
      <c r="Z327" s="366"/>
      <c r="AA327" s="366">
        <f>1-AA35</f>
        <v>0.69999663645078269</v>
      </c>
      <c r="AB327" s="366">
        <f>1-AB35</f>
        <v>0.70001754078231926</v>
      </c>
      <c r="AC327" s="366">
        <f>1-AC35</f>
        <v>0.7</v>
      </c>
      <c r="AD327" s="366">
        <f>1-AD35</f>
        <v>0.69999382735100757</v>
      </c>
      <c r="AE327" s="366"/>
      <c r="AF327" s="366">
        <f>1-AF35</f>
        <v>0.70000000000000018</v>
      </c>
      <c r="AG327" s="366">
        <f>1-AG35</f>
        <v>0.90581748621582081</v>
      </c>
      <c r="AH327" s="366"/>
      <c r="AI327" s="366"/>
      <c r="AJ327" s="366"/>
      <c r="AK327" s="366"/>
      <c r="AL327" s="366"/>
      <c r="AM327" s="366"/>
      <c r="AN327" s="366"/>
      <c r="AO327" s="366"/>
      <c r="AP327" s="366"/>
      <c r="AQ327" s="366"/>
      <c r="AR327" s="366"/>
      <c r="AS327" s="366"/>
      <c r="AT327" s="366"/>
      <c r="AU327" s="366"/>
      <c r="AV327" s="366"/>
      <c r="AW327" s="366"/>
      <c r="AX327" s="366"/>
      <c r="AY327" s="366"/>
      <c r="AZ327" s="366"/>
      <c r="BA327" s="366"/>
      <c r="BB327" s="366"/>
      <c r="BC327" s="366"/>
      <c r="BD327" s="366"/>
      <c r="BE327" s="366"/>
      <c r="BF327" s="366"/>
      <c r="BG327" s="366"/>
      <c r="BH327" s="366"/>
      <c r="BI327" s="366"/>
      <c r="BJ327" s="366"/>
      <c r="BK327" s="366"/>
      <c r="BL327" s="366"/>
      <c r="BM327" s="366"/>
      <c r="BN327" s="366"/>
      <c r="BO327" s="366"/>
      <c r="BP327" s="366"/>
      <c r="BQ327" s="366"/>
      <c r="BR327" s="366"/>
      <c r="BS327" s="366"/>
      <c r="BT327" s="366"/>
      <c r="BU327" s="366"/>
      <c r="BV327" s="366"/>
      <c r="BW327" s="366"/>
      <c r="BX327" s="366"/>
      <c r="BY327" s="366"/>
      <c r="BZ327" s="366"/>
      <c r="CA327" s="366"/>
      <c r="CB327" s="366"/>
      <c r="CC327" s="366"/>
      <c r="CD327" s="366"/>
      <c r="CE327" s="366"/>
      <c r="CF327" s="366"/>
      <c r="CG327" s="366"/>
      <c r="CH327" s="366"/>
      <c r="CI327" s="366"/>
      <c r="CJ327" s="366"/>
      <c r="CK327" s="366"/>
      <c r="CL327" s="366"/>
      <c r="CM327" s="366"/>
      <c r="CN327" s="366"/>
      <c r="CO327" s="366"/>
      <c r="CP327" s="366"/>
      <c r="CQ327" s="366"/>
      <c r="CR327" s="366"/>
      <c r="CS327" s="366"/>
      <c r="CT327" s="366"/>
      <c r="CU327" s="366"/>
      <c r="CV327" s="366"/>
      <c r="CW327" s="366"/>
      <c r="CX327" s="366"/>
      <c r="CY327" s="366"/>
      <c r="CZ327" s="366"/>
      <c r="DA327" s="366"/>
    </row>
    <row r="328" spans="1:170" hidden="1" outlineLevel="2">
      <c r="A328" s="171" t="s">
        <v>557</v>
      </c>
      <c r="B328" s="205"/>
      <c r="C328" s="205"/>
      <c r="D328" s="205"/>
      <c r="E328" s="205"/>
      <c r="F328" s="205"/>
      <c r="G328" s="205"/>
      <c r="H328" s="205"/>
      <c r="I328" s="205"/>
      <c r="J328" s="205"/>
      <c r="K328" s="205"/>
      <c r="L328" s="205"/>
      <c r="M328" s="205"/>
      <c r="N328" s="205"/>
      <c r="O328" s="205"/>
      <c r="P328" s="205"/>
      <c r="Q328" s="205"/>
      <c r="R328" s="205"/>
      <c r="S328" s="206">
        <f t="shared" ref="S328:AG328" si="328">S327*S326</f>
        <v>0.87935274145777653</v>
      </c>
      <c r="T328" s="206">
        <f t="shared" si="328"/>
        <v>2.4407946445875224</v>
      </c>
      <c r="U328" s="206"/>
      <c r="V328" s="206">
        <f t="shared" si="328"/>
        <v>2.5020664566847146</v>
      </c>
      <c r="W328" s="206">
        <f t="shared" si="328"/>
        <v>2.5715589887640453</v>
      </c>
      <c r="X328" s="206">
        <f t="shared" si="328"/>
        <v>2.6059813101827283</v>
      </c>
      <c r="Y328" s="206">
        <f t="shared" si="328"/>
        <v>3.681791108295835</v>
      </c>
      <c r="Z328" s="206"/>
      <c r="AA328" s="206">
        <f t="shared" si="328"/>
        <v>2.4937380173559132</v>
      </c>
      <c r="AB328" s="206">
        <f t="shared" si="328"/>
        <v>2.4938124890370124</v>
      </c>
      <c r="AC328" s="206">
        <f t="shared" si="328"/>
        <v>2.4937499999999999</v>
      </c>
      <c r="AD328" s="206">
        <f t="shared" si="328"/>
        <v>2.0789816672324926</v>
      </c>
      <c r="AE328" s="206"/>
      <c r="AF328" s="206">
        <f t="shared" si="328"/>
        <v>2.4937500000000008</v>
      </c>
      <c r="AG328" s="206">
        <f t="shared" si="328"/>
        <v>3.2269747946438616</v>
      </c>
      <c r="AH328" s="206"/>
      <c r="AI328" s="206"/>
      <c r="AJ328" s="206"/>
      <c r="AK328" s="206"/>
      <c r="AL328" s="206"/>
      <c r="AM328" s="206"/>
      <c r="AN328" s="206"/>
      <c r="AO328" s="206"/>
      <c r="AP328" s="206"/>
      <c r="AQ328" s="206"/>
      <c r="AR328" s="206"/>
      <c r="AS328" s="206"/>
      <c r="AT328" s="206"/>
      <c r="AU328" s="206"/>
      <c r="AV328" s="206"/>
      <c r="AW328" s="206"/>
      <c r="AX328" s="206"/>
      <c r="AY328" s="206"/>
      <c r="AZ328" s="206"/>
      <c r="BA328" s="206"/>
      <c r="BB328" s="206"/>
      <c r="BC328" s="206"/>
      <c r="BD328" s="206"/>
      <c r="BE328" s="206"/>
      <c r="BF328" s="206"/>
      <c r="BG328" s="206"/>
      <c r="BH328" s="206"/>
      <c r="BI328" s="206"/>
      <c r="BJ328" s="206"/>
      <c r="BK328" s="206"/>
      <c r="BL328" s="206"/>
      <c r="BM328" s="206"/>
      <c r="BN328" s="206"/>
      <c r="BO328" s="206"/>
      <c r="BP328" s="206"/>
      <c r="BQ328" s="206"/>
      <c r="BR328" s="206"/>
      <c r="BS328" s="206"/>
      <c r="BT328" s="206"/>
      <c r="BU328" s="206"/>
      <c r="BV328" s="206"/>
      <c r="BW328" s="206"/>
      <c r="BX328" s="206"/>
      <c r="BY328" s="206"/>
      <c r="BZ328" s="206"/>
      <c r="CA328" s="206"/>
      <c r="CB328" s="206"/>
      <c r="CC328" s="206"/>
      <c r="CD328" s="206"/>
      <c r="CE328" s="206"/>
      <c r="CF328" s="206"/>
      <c r="CG328" s="206"/>
      <c r="CH328" s="206"/>
      <c r="CI328" s="206"/>
      <c r="CJ328" s="206"/>
      <c r="CK328" s="206"/>
      <c r="CL328" s="206"/>
      <c r="CM328" s="206"/>
      <c r="CN328" s="206"/>
      <c r="CO328" s="206"/>
      <c r="CP328" s="206"/>
      <c r="CQ328" s="206"/>
      <c r="CR328" s="206"/>
      <c r="CS328" s="206"/>
      <c r="CT328" s="206"/>
      <c r="CU328" s="206"/>
      <c r="CV328" s="206"/>
      <c r="CW328" s="206"/>
      <c r="CX328" s="206"/>
      <c r="CY328" s="206"/>
      <c r="CZ328" s="206"/>
      <c r="DA328" s="206"/>
    </row>
    <row r="329" spans="1:170" hidden="1" outlineLevel="2">
      <c r="AD329" s="148"/>
      <c r="AE329" s="148"/>
      <c r="AF329" s="148"/>
      <c r="AG329" s="148"/>
    </row>
    <row r="330" spans="1:170" hidden="1" outlineLevel="2">
      <c r="A330" s="171" t="s">
        <v>558</v>
      </c>
      <c r="B330" s="205">
        <f>B37+B328</f>
        <v>-1.1760000000000002</v>
      </c>
      <c r="C330" s="205">
        <f>C37+C328</f>
        <v>-1.2650000000000001</v>
      </c>
      <c r="D330" s="205">
        <f>D37+D328</f>
        <v>-2.5719999999999996</v>
      </c>
      <c r="E330" s="205">
        <f>E37+E328</f>
        <v>1.4240000000000017</v>
      </c>
      <c r="F330" s="205"/>
      <c r="G330" s="205">
        <f>G37+G328</f>
        <v>-1.0209999999999979</v>
      </c>
      <c r="H330" s="205">
        <f>H37+H328</f>
        <v>-9.652000000000001</v>
      </c>
      <c r="I330" s="205">
        <f>I37+I328</f>
        <v>7.140999999999992</v>
      </c>
      <c r="J330" s="205">
        <f>J37+J328</f>
        <v>7.662000000000007</v>
      </c>
      <c r="K330" s="205"/>
      <c r="L330" s="205">
        <f>L37+L328</f>
        <v>6.2610000000000046</v>
      </c>
      <c r="M330" s="205">
        <f>M37+M328</f>
        <v>7.0769999999999973</v>
      </c>
      <c r="N330" s="205">
        <f>N37+N328</f>
        <v>13.029</v>
      </c>
      <c r="O330" s="205">
        <f>O37+O328</f>
        <v>14.592000000000011</v>
      </c>
      <c r="P330" s="205"/>
      <c r="Q330" s="205">
        <f>Q37+Q328</f>
        <v>14.695</v>
      </c>
      <c r="R330" s="205">
        <f>R37+R328</f>
        <v>23.637000000000018</v>
      </c>
      <c r="S330" s="205">
        <f>S37+S328</f>
        <v>29.199352741457773</v>
      </c>
      <c r="T330" s="205">
        <f>T37+T328</f>
        <v>34.25779464458747</v>
      </c>
      <c r="U330" s="205"/>
      <c r="V330" s="205">
        <f>V37+V328</f>
        <v>36.228166456684711</v>
      </c>
      <c r="W330" s="205">
        <f>W37+W328</f>
        <v>39.19055898876406</v>
      </c>
      <c r="X330" s="205">
        <f>X37+X328</f>
        <v>50.844981310182732</v>
      </c>
      <c r="Y330" s="205">
        <f>Y37+Y328</f>
        <v>80.502391108295811</v>
      </c>
      <c r="Z330" s="205"/>
      <c r="AA330" s="205">
        <f>AA37+AA328</f>
        <v>85.738738017355857</v>
      </c>
      <c r="AB330" s="205">
        <f>AB37+AB328</f>
        <v>22.447812489037048</v>
      </c>
      <c r="AC330" s="205">
        <f>AC37+AC328</f>
        <v>11.730949999999986</v>
      </c>
      <c r="AD330" s="205">
        <f>AD37+AD328</f>
        <v>24.759481667232471</v>
      </c>
      <c r="AE330" s="205"/>
      <c r="AF330" s="205">
        <f>AF37+AF328</f>
        <v>22.240750000000016</v>
      </c>
      <c r="AG330" s="205">
        <f>AG37+AG328</f>
        <v>27.376974794643839</v>
      </c>
      <c r="AH330" s="205"/>
      <c r="AI330" s="205"/>
      <c r="AJ330" s="205"/>
      <c r="AK330" s="205"/>
      <c r="AL330" s="205"/>
      <c r="AM330" s="205"/>
      <c r="AN330" s="205"/>
      <c r="AO330" s="205"/>
      <c r="AP330" s="205"/>
      <c r="AQ330" s="205"/>
      <c r="AR330" s="205"/>
      <c r="AS330" s="205"/>
      <c r="AT330" s="205"/>
      <c r="AU330" s="205"/>
      <c r="AV330" s="205"/>
      <c r="AW330" s="205"/>
      <c r="AX330" s="205"/>
      <c r="AY330" s="205"/>
      <c r="AZ330" s="205"/>
      <c r="BA330" s="205"/>
      <c r="BB330" s="205"/>
      <c r="BC330" s="205"/>
      <c r="BD330" s="205"/>
      <c r="BE330" s="205"/>
      <c r="BF330" s="205"/>
      <c r="BG330" s="205"/>
      <c r="BH330" s="205"/>
      <c r="BI330" s="205"/>
      <c r="BJ330" s="205"/>
      <c r="BK330" s="205"/>
      <c r="BL330" s="205"/>
      <c r="BM330" s="205"/>
      <c r="BN330" s="205"/>
      <c r="BO330" s="205"/>
      <c r="BP330" s="205"/>
      <c r="BQ330" s="205"/>
      <c r="BR330" s="205"/>
      <c r="BS330" s="205"/>
      <c r="BT330" s="205"/>
      <c r="BU330" s="205"/>
      <c r="BV330" s="205"/>
      <c r="BW330" s="205"/>
      <c r="BX330" s="205"/>
      <c r="BY330" s="205"/>
      <c r="BZ330" s="205"/>
      <c r="CA330" s="205"/>
      <c r="CB330" s="205"/>
      <c r="CC330" s="205"/>
      <c r="CD330" s="205"/>
      <c r="CE330" s="205"/>
      <c r="CF330" s="205"/>
      <c r="CG330" s="205"/>
      <c r="CH330" s="205"/>
      <c r="CI330" s="205"/>
      <c r="CJ330" s="205"/>
      <c r="CK330" s="205"/>
      <c r="CL330" s="205"/>
      <c r="CM330" s="205"/>
      <c r="CN330" s="205"/>
      <c r="CO330" s="205"/>
      <c r="CP330" s="205"/>
      <c r="CQ330" s="205"/>
      <c r="CR330" s="205"/>
      <c r="CS330" s="205"/>
      <c r="CT330" s="205"/>
      <c r="CU330" s="205"/>
      <c r="CV330" s="205"/>
      <c r="CW330" s="205"/>
      <c r="CX330" s="205"/>
      <c r="CY330" s="205"/>
      <c r="CZ330" s="205"/>
      <c r="DA330" s="205"/>
    </row>
    <row r="331" spans="1:170" hidden="1" outlineLevel="2">
      <c r="A331" s="171" t="s">
        <v>559</v>
      </c>
      <c r="B331" s="205">
        <f>B44+B328</f>
        <v>-1.1760000000000002</v>
      </c>
      <c r="C331" s="205">
        <f>C44+C328</f>
        <v>-1.2650000000000001</v>
      </c>
      <c r="D331" s="205">
        <f>D44+D328</f>
        <v>-2.5719999999999996</v>
      </c>
      <c r="E331" s="205">
        <f>E44+E328</f>
        <v>1.4240000000000017</v>
      </c>
      <c r="F331" s="205"/>
      <c r="G331" s="205">
        <f>G44+G328</f>
        <v>-1.0209999999999979</v>
      </c>
      <c r="H331" s="205">
        <f>H44+H328</f>
        <v>-9.652000000000001</v>
      </c>
      <c r="I331" s="205">
        <f>I44+I328</f>
        <v>7.140999999999992</v>
      </c>
      <c r="J331" s="205">
        <f>J44+J328</f>
        <v>7.662000000000007</v>
      </c>
      <c r="K331" s="205"/>
      <c r="L331" s="205">
        <f>L44+L328</f>
        <v>6.2610000000000046</v>
      </c>
      <c r="M331" s="205">
        <f>M44+M328</f>
        <v>7.0769999999999973</v>
      </c>
      <c r="N331" s="205">
        <f>N44+N328</f>
        <v>13.029</v>
      </c>
      <c r="O331" s="205">
        <f>O44+O328</f>
        <v>14.592000000000011</v>
      </c>
      <c r="P331" s="205"/>
      <c r="Q331" s="205">
        <f>Q44+Q328</f>
        <v>14.695</v>
      </c>
      <c r="R331" s="205">
        <f>R44+R328</f>
        <v>23.637000000000018</v>
      </c>
      <c r="S331" s="205">
        <f>S44+S328</f>
        <v>29.199352741457773</v>
      </c>
      <c r="T331" s="205">
        <f>T44+T328</f>
        <v>34.25779464458747</v>
      </c>
      <c r="U331" s="205"/>
      <c r="V331" s="205">
        <f>V44+V328</f>
        <v>29.152066456684711</v>
      </c>
      <c r="W331" s="205">
        <f>W44+W328</f>
        <v>35.497558988764062</v>
      </c>
      <c r="X331" s="205">
        <f>X44+X328</f>
        <v>43.920981310182732</v>
      </c>
      <c r="Y331" s="205">
        <f>Y44+Y328</f>
        <v>81.52849110829581</v>
      </c>
      <c r="Z331" s="205"/>
      <c r="AA331" s="205">
        <f>AA44+AA328</f>
        <v>85.738738017355857</v>
      </c>
      <c r="AB331" s="205">
        <f>AB44+AB328</f>
        <v>7.7478124890370488</v>
      </c>
      <c r="AC331" s="205">
        <f>AC44+AC328</f>
        <v>-46.142250000000018</v>
      </c>
      <c r="AD331" s="205">
        <f>AD44+AD328</f>
        <v>53.014981667232469</v>
      </c>
      <c r="AE331" s="205"/>
      <c r="AF331" s="205">
        <f>AF44+AF328</f>
        <v>22.240750000000016</v>
      </c>
      <c r="AG331" s="205">
        <f>AG44+AG328</f>
        <v>27.376974794643839</v>
      </c>
      <c r="AH331" s="205"/>
      <c r="AI331" s="205"/>
      <c r="AJ331" s="205"/>
      <c r="AK331" s="205"/>
      <c r="AL331" s="205"/>
      <c r="AM331" s="205"/>
      <c r="AN331" s="205"/>
      <c r="AO331" s="205"/>
      <c r="AP331" s="205"/>
      <c r="AQ331" s="205"/>
      <c r="AR331" s="205"/>
      <c r="AS331" s="205"/>
      <c r="AT331" s="205"/>
      <c r="AU331" s="205"/>
      <c r="AV331" s="205"/>
      <c r="AW331" s="205"/>
      <c r="AX331" s="205"/>
      <c r="AY331" s="205"/>
      <c r="AZ331" s="205"/>
      <c r="BA331" s="205"/>
      <c r="BB331" s="205"/>
      <c r="BC331" s="205"/>
      <c r="BD331" s="205"/>
      <c r="BE331" s="205"/>
      <c r="BF331" s="205"/>
      <c r="BG331" s="205"/>
      <c r="BH331" s="205"/>
      <c r="BI331" s="205"/>
      <c r="BJ331" s="205"/>
      <c r="BK331" s="205"/>
      <c r="BL331" s="205"/>
      <c r="BM331" s="205"/>
      <c r="BN331" s="205"/>
      <c r="BO331" s="205"/>
      <c r="BP331" s="205"/>
      <c r="BQ331" s="205"/>
      <c r="BR331" s="205"/>
      <c r="BS331" s="205"/>
      <c r="BT331" s="205"/>
      <c r="BU331" s="205"/>
      <c r="BV331" s="205"/>
      <c r="BW331" s="205"/>
      <c r="BX331" s="205"/>
      <c r="BY331" s="205"/>
      <c r="BZ331" s="205"/>
      <c r="CA331" s="205"/>
      <c r="CB331" s="205"/>
      <c r="CC331" s="205"/>
      <c r="CD331" s="205"/>
      <c r="CE331" s="205"/>
      <c r="CF331" s="205"/>
      <c r="CG331" s="205"/>
      <c r="CH331" s="205"/>
      <c r="CI331" s="205"/>
      <c r="CJ331" s="205"/>
      <c r="CK331" s="205"/>
      <c r="CL331" s="205"/>
      <c r="CM331" s="205"/>
      <c r="CN331" s="205"/>
      <c r="CO331" s="205"/>
      <c r="CP331" s="205"/>
      <c r="CQ331" s="205"/>
      <c r="CR331" s="205"/>
      <c r="CS331" s="205"/>
      <c r="CT331" s="205"/>
      <c r="CU331" s="205"/>
      <c r="CV331" s="205"/>
      <c r="CW331" s="205"/>
      <c r="CX331" s="205"/>
      <c r="CY331" s="205"/>
      <c r="CZ331" s="205"/>
      <c r="DA331" s="205"/>
    </row>
    <row r="332" spans="1:170" hidden="1" outlineLevel="2">
      <c r="B332" s="205"/>
      <c r="C332" s="205"/>
      <c r="D332" s="205"/>
      <c r="E332" s="205"/>
      <c r="F332" s="205"/>
      <c r="G332" s="205"/>
      <c r="H332" s="205"/>
      <c r="I332" s="205"/>
      <c r="J332" s="205"/>
      <c r="K332" s="205"/>
      <c r="L332" s="205"/>
      <c r="M332" s="205"/>
      <c r="N332" s="205"/>
      <c r="O332" s="205"/>
      <c r="P332" s="205"/>
      <c r="Q332" s="205"/>
      <c r="R332" s="205"/>
      <c r="S332" s="205"/>
      <c r="T332" s="205"/>
      <c r="U332" s="205"/>
      <c r="V332" s="205"/>
      <c r="W332" s="205"/>
      <c r="X332" s="205"/>
      <c r="Y332" s="205"/>
      <c r="Z332" s="205"/>
      <c r="AA332" s="205"/>
      <c r="AB332" s="205"/>
      <c r="AC332" s="205"/>
      <c r="AD332" s="205"/>
      <c r="AE332" s="205"/>
      <c r="AF332" s="205"/>
      <c r="AG332" s="205"/>
      <c r="AH332" s="205"/>
      <c r="AI332" s="205"/>
      <c r="AJ332" s="205"/>
      <c r="AK332" s="205"/>
      <c r="AL332" s="205"/>
      <c r="AM332" s="205"/>
      <c r="AN332" s="205"/>
      <c r="AO332" s="205"/>
      <c r="AP332" s="205"/>
      <c r="AQ332" s="205"/>
      <c r="AR332" s="205"/>
      <c r="AS332" s="205"/>
      <c r="AT332" s="205"/>
      <c r="AU332" s="205"/>
      <c r="AV332" s="205"/>
      <c r="AW332" s="205"/>
      <c r="AX332" s="205"/>
      <c r="AY332" s="205"/>
      <c r="AZ332" s="205"/>
      <c r="BA332" s="205"/>
      <c r="BB332" s="205"/>
      <c r="BC332" s="205"/>
      <c r="BD332" s="205"/>
      <c r="BE332" s="205"/>
      <c r="BF332" s="205"/>
      <c r="BG332" s="205"/>
      <c r="BH332" s="206"/>
      <c r="BI332" s="206"/>
      <c r="BJ332" s="206"/>
      <c r="BK332" s="206"/>
      <c r="BL332" s="206"/>
      <c r="BM332" s="205"/>
      <c r="BN332" s="205"/>
      <c r="BO332" s="205"/>
      <c r="BP332" s="205"/>
      <c r="BQ332" s="205"/>
      <c r="BR332" s="205"/>
      <c r="BS332" s="205"/>
      <c r="BT332" s="205"/>
      <c r="BU332" s="205"/>
      <c r="BV332" s="205"/>
      <c r="BW332" s="205"/>
      <c r="BX332" s="205"/>
      <c r="BY332" s="205"/>
      <c r="BZ332" s="205"/>
      <c r="CA332" s="205"/>
      <c r="CB332" s="205"/>
      <c r="CC332" s="205"/>
      <c r="CD332" s="205"/>
      <c r="CE332" s="205"/>
      <c r="CF332" s="205"/>
      <c r="CG332" s="205"/>
      <c r="CH332" s="205"/>
      <c r="CI332" s="205"/>
      <c r="CJ332" s="205"/>
      <c r="CK332" s="205"/>
      <c r="CL332" s="205"/>
      <c r="CM332" s="205"/>
      <c r="CN332" s="205"/>
      <c r="CO332" s="205"/>
      <c r="CP332" s="205"/>
      <c r="CQ332" s="205"/>
      <c r="CR332" s="205"/>
      <c r="CS332" s="205"/>
      <c r="CT332" s="205"/>
      <c r="CU332" s="205"/>
      <c r="CV332" s="205"/>
      <c r="CW332" s="205"/>
      <c r="CX332" s="205"/>
      <c r="CY332" s="205"/>
      <c r="CZ332" s="205"/>
      <c r="DA332" s="205"/>
    </row>
    <row r="333" spans="1:170" hidden="1" outlineLevel="2">
      <c r="A333" s="171" t="s">
        <v>560</v>
      </c>
      <c r="C333" s="205"/>
      <c r="D333" s="205"/>
      <c r="E333" s="205"/>
      <c r="F333" s="205"/>
      <c r="G333" s="205"/>
      <c r="H333" s="205"/>
      <c r="I333" s="205"/>
      <c r="J333" s="199"/>
      <c r="K333" s="199"/>
      <c r="L333" s="199"/>
      <c r="M333" s="199"/>
      <c r="N333" s="199"/>
      <c r="O333" s="199"/>
      <c r="P333" s="199"/>
      <c r="Q333" s="199" t="e">
        <f>#REF!</f>
        <v>#REF!</v>
      </c>
      <c r="R333" s="199" t="e">
        <f>#REF!</f>
        <v>#REF!</v>
      </c>
      <c r="S333" s="199" t="e">
        <f>#REF!</f>
        <v>#REF!</v>
      </c>
      <c r="T333" s="199" t="e">
        <f>#REF!</f>
        <v>#REF!</v>
      </c>
      <c r="U333" s="199"/>
      <c r="V333" s="199" t="e">
        <f>#REF!</f>
        <v>#REF!</v>
      </c>
      <c r="W333" s="199" t="e">
        <f>#REF!</f>
        <v>#REF!</v>
      </c>
      <c r="X333" s="199" t="e">
        <f>#REF!</f>
        <v>#REF!</v>
      </c>
      <c r="Y333" s="199" t="e">
        <f>#REF!</f>
        <v>#REF!</v>
      </c>
      <c r="Z333" s="199"/>
      <c r="AA333" s="209" t="e">
        <f>#REF!</f>
        <v>#REF!</v>
      </c>
      <c r="AB333" s="209" t="e">
        <f>#REF!</f>
        <v>#REF!</v>
      </c>
      <c r="AC333" s="209" t="e">
        <f>#REF!</f>
        <v>#REF!</v>
      </c>
      <c r="AD333" s="209" t="e">
        <f>#REF!</f>
        <v>#REF!</v>
      </c>
      <c r="AE333" s="209"/>
      <c r="AF333" s="148">
        <v>1825</v>
      </c>
      <c r="AG333" s="148">
        <v>1825</v>
      </c>
      <c r="AH333" s="148">
        <v>1825</v>
      </c>
      <c r="AI333" s="148">
        <v>1825</v>
      </c>
      <c r="AJ333" s="148"/>
      <c r="AK333" s="148">
        <v>1908</v>
      </c>
      <c r="AL333" s="148">
        <v>2101</v>
      </c>
      <c r="AM333" s="148">
        <v>2101</v>
      </c>
      <c r="AN333" s="148">
        <v>2101</v>
      </c>
      <c r="AO333" s="148"/>
      <c r="AP333" s="209">
        <f>AQ333-164</f>
        <v>2189</v>
      </c>
      <c r="AQ333" s="209">
        <v>2353</v>
      </c>
      <c r="AR333" s="209">
        <v>2594</v>
      </c>
      <c r="AS333" s="205"/>
      <c r="AT333" s="205"/>
      <c r="AU333" s="205"/>
      <c r="AV333" s="205"/>
      <c r="AW333" s="205"/>
      <c r="AX333" s="205"/>
      <c r="AY333" s="205"/>
      <c r="AZ333" s="205"/>
      <c r="BA333" s="205"/>
      <c r="BB333" s="205"/>
      <c r="BC333" s="205"/>
      <c r="BD333" s="205"/>
      <c r="BE333" s="205"/>
      <c r="BF333" s="471"/>
      <c r="BG333" s="206"/>
      <c r="BH333" s="205"/>
      <c r="BI333" s="205"/>
      <c r="BJ333" s="205"/>
      <c r="BK333" s="205"/>
      <c r="BL333" s="206"/>
      <c r="BM333" s="205"/>
      <c r="BN333" s="205"/>
      <c r="BO333" s="205"/>
      <c r="BP333" s="205"/>
      <c r="BQ333" s="205"/>
      <c r="BR333" s="205"/>
      <c r="BS333" s="205"/>
      <c r="BT333" s="205"/>
      <c r="BU333" s="205"/>
      <c r="BV333" s="205"/>
      <c r="BW333" s="205"/>
      <c r="BX333" s="205"/>
      <c r="BY333" s="205"/>
      <c r="BZ333" s="205"/>
      <c r="CA333" s="205"/>
      <c r="CB333" s="205"/>
      <c r="CC333" s="205"/>
      <c r="CD333" s="205"/>
      <c r="CE333" s="205"/>
      <c r="CF333" s="205"/>
      <c r="CG333" s="205"/>
      <c r="CH333" s="205"/>
      <c r="CI333" s="205"/>
      <c r="CJ333" s="205"/>
      <c r="CK333" s="205"/>
      <c r="CL333" s="205"/>
      <c r="CM333" s="205"/>
      <c r="CN333" s="205"/>
      <c r="CO333" s="205"/>
      <c r="CP333" s="205"/>
      <c r="CQ333" s="205"/>
      <c r="CR333" s="205"/>
      <c r="CS333" s="205"/>
      <c r="CT333" s="205"/>
      <c r="CU333" s="205"/>
      <c r="CV333" s="205"/>
      <c r="CW333" s="205"/>
      <c r="CX333" s="205"/>
      <c r="CY333" s="205"/>
      <c r="CZ333" s="205"/>
      <c r="DA333" s="205"/>
    </row>
    <row r="334" spans="1:170" hidden="1" outlineLevel="2">
      <c r="B334" s="205"/>
      <c r="C334" s="205"/>
      <c r="D334" s="205"/>
      <c r="E334" s="205"/>
      <c r="F334" s="205"/>
      <c r="G334" s="205"/>
      <c r="H334" s="205"/>
      <c r="I334" s="205"/>
      <c r="J334" s="205"/>
      <c r="K334" s="205"/>
      <c r="L334" s="205"/>
      <c r="M334" s="205"/>
      <c r="N334" s="205"/>
      <c r="O334" s="205"/>
      <c r="P334" s="205"/>
      <c r="Q334" s="205"/>
      <c r="R334" s="205"/>
      <c r="S334" s="205"/>
      <c r="T334" s="205"/>
      <c r="U334" s="205"/>
      <c r="V334" s="205"/>
      <c r="W334" s="205"/>
      <c r="X334" s="205"/>
      <c r="Y334" s="205"/>
      <c r="Z334" s="205"/>
      <c r="AA334" s="205"/>
      <c r="AB334" s="205"/>
      <c r="AC334" s="205"/>
      <c r="AD334" s="205"/>
      <c r="AE334" s="205"/>
      <c r="AF334" s="205"/>
      <c r="AG334" s="205"/>
      <c r="AH334" s="205"/>
      <c r="AI334" s="205"/>
      <c r="AJ334" s="205"/>
      <c r="AK334" s="205"/>
      <c r="AL334" s="205"/>
      <c r="AM334" s="205"/>
      <c r="AN334" s="205"/>
      <c r="AO334" s="205"/>
      <c r="AP334" s="205"/>
      <c r="AQ334" s="205"/>
      <c r="AR334" s="205"/>
      <c r="AS334" s="205"/>
      <c r="AT334" s="205"/>
      <c r="AU334" s="205"/>
      <c r="AV334" s="205"/>
      <c r="AW334" s="205"/>
      <c r="AX334" s="205"/>
      <c r="AY334" s="205"/>
      <c r="AZ334" s="205"/>
      <c r="BA334" s="205"/>
      <c r="BB334" s="205"/>
      <c r="BC334" s="205"/>
      <c r="BD334" s="205"/>
      <c r="BE334" s="205"/>
      <c r="BF334" s="205"/>
      <c r="BG334" s="205"/>
      <c r="BH334" s="206"/>
      <c r="BI334" s="206"/>
      <c r="BJ334" s="206"/>
      <c r="BK334" s="206"/>
      <c r="BL334" s="205"/>
      <c r="BM334" s="205"/>
      <c r="BN334" s="205"/>
      <c r="BO334" s="205"/>
      <c r="BP334" s="205"/>
      <c r="BQ334" s="205"/>
      <c r="BR334" s="205"/>
      <c r="BS334" s="205"/>
      <c r="BT334" s="205"/>
      <c r="BU334" s="205"/>
      <c r="BV334" s="205"/>
      <c r="BW334" s="205"/>
      <c r="BX334" s="205"/>
      <c r="BY334" s="205"/>
      <c r="BZ334" s="205"/>
      <c r="CA334" s="205"/>
      <c r="CB334" s="205"/>
      <c r="CC334" s="205"/>
      <c r="CD334" s="205"/>
      <c r="CE334" s="205"/>
      <c r="CF334" s="205"/>
      <c r="CG334" s="205"/>
      <c r="CH334" s="205"/>
      <c r="CI334" s="205"/>
      <c r="CJ334" s="205"/>
      <c r="CK334" s="205"/>
      <c r="CL334" s="205"/>
      <c r="CM334" s="205"/>
      <c r="CN334" s="205"/>
      <c r="CO334" s="205"/>
      <c r="CP334" s="205"/>
      <c r="CQ334" s="205"/>
      <c r="CR334" s="205"/>
      <c r="CS334" s="205"/>
      <c r="CT334" s="205"/>
      <c r="CU334" s="205"/>
      <c r="CV334" s="205"/>
      <c r="CW334" s="205"/>
      <c r="CX334" s="205"/>
      <c r="CY334" s="205"/>
      <c r="CZ334" s="205"/>
      <c r="DA334" s="205"/>
    </row>
    <row r="335" spans="1:170" hidden="1" outlineLevel="2">
      <c r="A335" s="171" t="s">
        <v>561</v>
      </c>
      <c r="J335" s="472"/>
      <c r="K335" s="472"/>
      <c r="L335" s="472"/>
      <c r="M335" s="472"/>
      <c r="N335" s="472"/>
      <c r="O335" s="472"/>
      <c r="P335" s="472"/>
      <c r="Q335" s="472" t="e">
        <f>Q7*1000/Q333</f>
        <v>#REF!</v>
      </c>
      <c r="R335" s="472" t="e">
        <f>R7*1000/R333</f>
        <v>#REF!</v>
      </c>
      <c r="S335" s="472" t="e">
        <f>S7*1000/S333</f>
        <v>#REF!</v>
      </c>
      <c r="T335" s="472" t="e">
        <f>T7*1000/T333</f>
        <v>#REF!</v>
      </c>
      <c r="U335" s="472"/>
      <c r="V335" s="472" t="e">
        <f>V7*1000/V333</f>
        <v>#REF!</v>
      </c>
      <c r="W335" s="472" t="e">
        <f>W7*1000/W333</f>
        <v>#REF!</v>
      </c>
      <c r="X335" s="472" t="e">
        <f>X7*1000/X333</f>
        <v>#REF!</v>
      </c>
      <c r="Y335" s="472" t="e">
        <f>Y7*1000/Y333</f>
        <v>#REF!</v>
      </c>
      <c r="Z335" s="472"/>
      <c r="AA335" s="472" t="e">
        <f>AA7*1000/AA333</f>
        <v>#REF!</v>
      </c>
      <c r="AB335" s="472" t="e">
        <f>AB7*1000/AB333</f>
        <v>#REF!</v>
      </c>
      <c r="AC335" s="472" t="e">
        <f>AC7*1000/AC333</f>
        <v>#REF!</v>
      </c>
      <c r="AD335" s="472" t="e">
        <f>AD7*1000/AD333</f>
        <v>#REF!</v>
      </c>
      <c r="AE335" s="472"/>
      <c r="AF335" s="472">
        <f>AF7*1000/AF333</f>
        <v>221.90849315068493</v>
      </c>
      <c r="AG335" s="472">
        <f>AG7*1000/AG333</f>
        <v>251.93095890410959</v>
      </c>
      <c r="AH335" s="472">
        <f>AH7*1000/AH333</f>
        <v>266.33917808219178</v>
      </c>
      <c r="AI335" s="472">
        <f>AI7*1000/AI333</f>
        <v>258.69534246575341</v>
      </c>
      <c r="AJ335" s="472"/>
      <c r="AK335" s="472">
        <f>AK7*1000/AK333</f>
        <v>247.32966457023062</v>
      </c>
      <c r="AL335" s="472">
        <f>AL7*1000/AL333</f>
        <v>217.06853879105188</v>
      </c>
      <c r="AM335" s="472">
        <f>AM7*1000/AM333</f>
        <v>245.40266539742979</v>
      </c>
      <c r="AN335" s="472">
        <f>AN7*1000/AN333</f>
        <v>269.62208472156118</v>
      </c>
      <c r="AO335" s="472"/>
      <c r="AP335" s="472">
        <f>AP7*1000/AP333</f>
        <v>266.71813613522158</v>
      </c>
      <c r="AQ335" s="472">
        <f>AQ7*1000/AQ333</f>
        <v>244.28899277518062</v>
      </c>
      <c r="AR335" s="472">
        <f>AR7*1000/AR333</f>
        <v>224.90940632228219</v>
      </c>
      <c r="BL335" s="208"/>
    </row>
    <row r="336" spans="1:170" collapsed="1">
      <c r="AD336" s="148"/>
      <c r="AE336" s="148"/>
      <c r="AF336" s="148"/>
    </row>
    <row r="337" spans="1:106" hidden="1" outlineLevel="1">
      <c r="A337" s="147" t="s">
        <v>562</v>
      </c>
      <c r="B337" s="149"/>
      <c r="C337" s="149"/>
      <c r="D337" s="149"/>
      <c r="E337" s="149"/>
      <c r="F337" s="149"/>
      <c r="G337" s="149"/>
      <c r="H337" s="149"/>
      <c r="I337" s="149"/>
      <c r="J337" s="149"/>
      <c r="K337" s="149"/>
      <c r="L337" s="149"/>
      <c r="M337" s="149"/>
      <c r="N337" s="149"/>
      <c r="O337" s="149"/>
      <c r="P337" s="149"/>
      <c r="Q337" s="149"/>
      <c r="R337" s="149"/>
      <c r="S337" s="149"/>
      <c r="T337" s="149"/>
      <c r="U337" s="149"/>
      <c r="V337" s="204"/>
      <c r="W337" s="204"/>
      <c r="X337" s="204"/>
      <c r="Y337" s="204"/>
      <c r="Z337" s="204"/>
      <c r="AA337" s="204"/>
      <c r="AB337" s="204"/>
      <c r="AC337" s="204"/>
      <c r="AD337" s="204"/>
      <c r="AE337" s="204"/>
      <c r="AF337" s="204"/>
      <c r="AG337" s="204"/>
      <c r="AH337" s="204"/>
      <c r="AI337" s="204"/>
      <c r="AJ337" s="204"/>
      <c r="AK337" s="204"/>
      <c r="AL337" s="204"/>
      <c r="AM337" s="204"/>
      <c r="AN337" s="204"/>
      <c r="AO337" s="204"/>
      <c r="AP337" s="204"/>
      <c r="AQ337" s="204"/>
      <c r="AR337" s="204"/>
      <c r="AS337" s="204"/>
      <c r="AT337" s="204"/>
      <c r="AU337" s="204"/>
      <c r="AV337" s="204"/>
      <c r="AW337" s="204"/>
      <c r="AX337" s="204"/>
      <c r="AY337" s="204"/>
      <c r="AZ337" s="204"/>
      <c r="BA337" s="204"/>
      <c r="BB337" s="204"/>
      <c r="BC337" s="204"/>
      <c r="BD337" s="204"/>
      <c r="BE337" s="204"/>
      <c r="BF337" s="204"/>
      <c r="BG337" s="204"/>
      <c r="BH337" s="204"/>
      <c r="BI337" s="204"/>
      <c r="BJ337" s="174"/>
      <c r="BK337" s="208"/>
      <c r="BL337" s="204"/>
      <c r="BM337" s="174"/>
      <c r="BN337" s="174"/>
      <c r="BO337" s="174"/>
      <c r="BP337" s="152"/>
      <c r="BQ337" s="204"/>
      <c r="BR337" s="174"/>
      <c r="BS337" s="174"/>
      <c r="BT337" s="230"/>
      <c r="BU337" s="231"/>
      <c r="BV337" s="204"/>
      <c r="BW337" s="174"/>
      <c r="BX337" s="174"/>
      <c r="BY337" s="208"/>
      <c r="BZ337" s="473"/>
      <c r="CA337" s="204"/>
      <c r="CB337" s="204"/>
      <c r="CC337" s="204"/>
      <c r="CD337" s="473"/>
      <c r="CE337" s="473"/>
      <c r="CF337" s="204"/>
      <c r="CG337" s="204"/>
      <c r="CH337" s="204"/>
      <c r="CI337" s="187"/>
      <c r="CJ337" s="204"/>
      <c r="CK337" s="204"/>
      <c r="CL337" s="336"/>
      <c r="CM337" s="336"/>
      <c r="CN337" s="204"/>
      <c r="CO337" s="204"/>
      <c r="CP337" s="204"/>
      <c r="CQ337" s="204"/>
      <c r="CR337" s="204"/>
      <c r="CS337" s="204"/>
      <c r="CT337" s="204"/>
      <c r="CU337" s="204"/>
      <c r="CV337" s="204"/>
      <c r="CW337" s="204"/>
      <c r="CX337" s="204"/>
      <c r="CY337" s="204"/>
      <c r="CZ337" s="204"/>
      <c r="DA337" s="204"/>
    </row>
    <row r="338" spans="1:106" hidden="1" outlineLevel="1">
      <c r="A338" s="171" t="s">
        <v>522</v>
      </c>
      <c r="B338" s="149"/>
      <c r="C338" s="149"/>
      <c r="D338" s="149"/>
      <c r="E338" s="149"/>
      <c r="F338" s="149"/>
      <c r="G338" s="149"/>
      <c r="H338" s="149"/>
      <c r="I338" s="149"/>
      <c r="J338" s="149"/>
      <c r="K338" s="149"/>
      <c r="L338" s="149"/>
      <c r="M338" s="149"/>
      <c r="N338" s="149"/>
      <c r="O338" s="149"/>
      <c r="P338" s="149"/>
      <c r="Q338" s="149"/>
      <c r="R338" s="149"/>
      <c r="S338" s="149"/>
      <c r="T338" s="149"/>
      <c r="U338" s="149"/>
      <c r="V338" s="204"/>
      <c r="W338" s="204"/>
      <c r="X338" s="204"/>
      <c r="Y338" s="204"/>
      <c r="Z338" s="204"/>
      <c r="AA338" s="204"/>
      <c r="AB338" s="204"/>
      <c r="AC338" s="204"/>
      <c r="AD338" s="204"/>
      <c r="AE338" s="204"/>
      <c r="AF338" s="204"/>
      <c r="AG338" s="204"/>
      <c r="AH338" s="204"/>
      <c r="AI338" s="204"/>
      <c r="AJ338" s="204"/>
      <c r="AK338" s="204"/>
      <c r="AL338" s="204"/>
      <c r="AM338" s="204"/>
      <c r="AN338" s="204"/>
      <c r="AO338" s="204"/>
      <c r="AP338" s="204"/>
      <c r="AQ338" s="204"/>
      <c r="AR338" s="204"/>
      <c r="AS338" s="204"/>
      <c r="AT338" s="204"/>
      <c r="AU338" s="204"/>
      <c r="AV338" s="204"/>
      <c r="AW338" s="204"/>
      <c r="AX338" s="204"/>
      <c r="AY338" s="204"/>
      <c r="AZ338" s="416">
        <f>AZ168+AZ181+AZ206+AZ232</f>
        <v>636.18100000000004</v>
      </c>
      <c r="BA338" s="416">
        <f>BA168+BA181+BA206+BA232</f>
        <v>745.75</v>
      </c>
      <c r="BB338" s="416">
        <f>BB168+BB181+BB206+BB232</f>
        <v>897.56599999999992</v>
      </c>
      <c r="BC338" s="416">
        <f>BC168+BC181+BC206+BC232</f>
        <v>978.86799999999982</v>
      </c>
      <c r="BD338" s="416"/>
      <c r="BE338" s="416"/>
      <c r="BF338" s="416"/>
      <c r="BG338" s="416"/>
      <c r="BH338" s="416"/>
      <c r="BI338" s="416"/>
      <c r="BJ338" s="416"/>
      <c r="BK338" s="416"/>
      <c r="BL338" s="416"/>
      <c r="BM338" s="416"/>
      <c r="BN338" s="416"/>
      <c r="BO338" s="416"/>
      <c r="BP338" s="416"/>
      <c r="BQ338" s="416"/>
      <c r="BR338" s="416"/>
      <c r="BS338" s="416"/>
      <c r="BT338" s="416"/>
      <c r="BU338" s="416"/>
      <c r="BV338" s="416"/>
      <c r="BW338" s="416"/>
      <c r="BX338" s="416"/>
      <c r="BY338" s="416"/>
      <c r="BZ338" s="416"/>
      <c r="CA338" s="416"/>
      <c r="CB338" s="416"/>
      <c r="CC338" s="416"/>
      <c r="CD338" s="416"/>
      <c r="CE338" s="416"/>
      <c r="CF338" s="474"/>
      <c r="CG338" s="474"/>
      <c r="CH338" s="474"/>
      <c r="CI338" s="474"/>
      <c r="CJ338" s="474"/>
      <c r="CK338" s="474"/>
      <c r="CL338" s="474"/>
      <c r="CM338" s="474"/>
      <c r="CN338" s="474"/>
      <c r="CO338" s="474"/>
      <c r="CP338" s="474"/>
      <c r="CQ338" s="474"/>
      <c r="CR338" s="474"/>
      <c r="CS338" s="474"/>
      <c r="CT338" s="474"/>
      <c r="CU338" s="474"/>
      <c r="CV338" s="474"/>
      <c r="CW338" s="474"/>
      <c r="CX338" s="474"/>
      <c r="CY338" s="474"/>
      <c r="CZ338" s="474"/>
      <c r="DA338" s="474"/>
    </row>
    <row r="339" spans="1:106" hidden="1" outlineLevel="1">
      <c r="A339" s="171" t="s">
        <v>563</v>
      </c>
      <c r="B339" s="149"/>
      <c r="C339" s="149"/>
      <c r="D339" s="149"/>
      <c r="E339" s="149"/>
      <c r="F339" s="149"/>
      <c r="G339" s="149"/>
      <c r="H339" s="149"/>
      <c r="I339" s="149"/>
      <c r="J339" s="149"/>
      <c r="K339" s="149"/>
      <c r="L339" s="149"/>
      <c r="M339" s="149"/>
      <c r="N339" s="149"/>
      <c r="O339" s="149"/>
      <c r="P339" s="149"/>
      <c r="Q339" s="149"/>
      <c r="R339" s="149"/>
      <c r="S339" s="149"/>
      <c r="T339" s="149"/>
      <c r="U339" s="149"/>
      <c r="V339" s="204"/>
      <c r="W339" s="204"/>
      <c r="X339" s="204"/>
      <c r="Y339" s="204"/>
      <c r="Z339" s="204"/>
      <c r="AA339" s="204"/>
      <c r="AB339" s="204"/>
      <c r="AC339" s="204"/>
      <c r="AD339" s="204"/>
      <c r="AE339" s="204"/>
      <c r="AF339" s="204"/>
      <c r="AG339" s="204"/>
      <c r="AH339" s="204"/>
      <c r="AI339" s="204"/>
      <c r="AJ339" s="204"/>
      <c r="AK339" s="204"/>
      <c r="AL339" s="204"/>
      <c r="AM339" s="204"/>
      <c r="AN339" s="204"/>
      <c r="AO339" s="204"/>
      <c r="AP339" s="204"/>
      <c r="AQ339" s="204"/>
      <c r="AR339" s="204"/>
      <c r="AS339" s="204"/>
      <c r="AT339" s="204"/>
      <c r="AU339" s="204"/>
      <c r="AV339" s="204"/>
      <c r="AW339" s="204"/>
      <c r="AX339" s="204"/>
      <c r="AY339" s="204"/>
      <c r="AZ339" s="152">
        <f>AZ192</f>
        <v>140.87299999999999</v>
      </c>
      <c r="BA339" s="152">
        <f>BA192</f>
        <v>127.321</v>
      </c>
      <c r="BB339" s="152">
        <f>BB192</f>
        <v>152.15799999999999</v>
      </c>
      <c r="BC339" s="152">
        <f>BC192</f>
        <v>168.00599999999997</v>
      </c>
      <c r="BD339" s="152"/>
      <c r="BE339" s="152"/>
      <c r="BF339" s="152"/>
      <c r="BG339" s="152"/>
      <c r="BH339" s="152"/>
      <c r="BI339" s="152"/>
      <c r="BJ339" s="152"/>
      <c r="BK339" s="152"/>
      <c r="BL339" s="152"/>
      <c r="BM339" s="152"/>
      <c r="BN339" s="152"/>
      <c r="BO339" s="152"/>
      <c r="BP339" s="152"/>
      <c r="BQ339" s="152"/>
      <c r="BR339" s="152"/>
      <c r="BS339" s="152"/>
      <c r="BT339" s="152"/>
      <c r="BU339" s="152"/>
      <c r="BV339" s="152"/>
      <c r="BW339" s="152"/>
      <c r="BX339" s="152"/>
      <c r="BY339" s="152"/>
      <c r="BZ339" s="152"/>
      <c r="CA339" s="152"/>
      <c r="CB339" s="152"/>
      <c r="CC339" s="152"/>
      <c r="CD339" s="152"/>
      <c r="CE339" s="152"/>
      <c r="CF339" s="475"/>
      <c r="CG339" s="475"/>
      <c r="CH339" s="475"/>
      <c r="CI339" s="475"/>
      <c r="CJ339" s="475"/>
      <c r="CK339" s="475"/>
      <c r="CL339" s="475"/>
      <c r="CM339" s="475"/>
      <c r="CN339" s="475"/>
      <c r="CO339" s="475"/>
      <c r="CP339" s="475"/>
      <c r="CQ339" s="475"/>
      <c r="CR339" s="475"/>
      <c r="CS339" s="475"/>
      <c r="CT339" s="475"/>
      <c r="CU339" s="475"/>
      <c r="CV339" s="475"/>
      <c r="CW339" s="475"/>
      <c r="CX339" s="475"/>
      <c r="CY339" s="475"/>
      <c r="CZ339" s="475"/>
      <c r="DA339" s="475"/>
    </row>
    <row r="340" spans="1:106" hidden="1" outlineLevel="1">
      <c r="A340" s="171" t="s">
        <v>564</v>
      </c>
      <c r="B340" s="149"/>
      <c r="C340" s="149"/>
      <c r="D340" s="149"/>
      <c r="E340" s="149"/>
      <c r="F340" s="149"/>
      <c r="G340" s="149"/>
      <c r="H340" s="149"/>
      <c r="I340" s="149"/>
      <c r="J340" s="149"/>
      <c r="K340" s="149"/>
      <c r="L340" s="149"/>
      <c r="M340" s="149"/>
      <c r="N340" s="149"/>
      <c r="O340" s="149"/>
      <c r="P340" s="149"/>
      <c r="Q340" s="149"/>
      <c r="R340" s="149"/>
      <c r="S340" s="149"/>
      <c r="T340" s="149"/>
      <c r="U340" s="149"/>
      <c r="V340" s="149"/>
      <c r="W340" s="149"/>
      <c r="X340" s="149"/>
      <c r="AA340" s="149"/>
      <c r="AB340" s="149"/>
      <c r="AC340" s="149"/>
      <c r="AD340" s="149"/>
      <c r="AE340" s="149"/>
      <c r="AF340" s="149"/>
      <c r="AZ340" s="152">
        <f>AZ225+AZ216</f>
        <v>67.225999999999999</v>
      </c>
      <c r="BA340" s="152">
        <f>BA225+BA216</f>
        <v>62.182000000000002</v>
      </c>
      <c r="BB340" s="152">
        <f>BB225+BB216</f>
        <v>65.873000000000005</v>
      </c>
      <c r="BC340" s="152">
        <f>BC225+BC216</f>
        <v>55.855999999999995</v>
      </c>
      <c r="BD340" s="152"/>
      <c r="BE340" s="152"/>
      <c r="BF340" s="152"/>
      <c r="BG340" s="152"/>
      <c r="BH340" s="152"/>
      <c r="BI340" s="152"/>
      <c r="BJ340" s="152"/>
      <c r="BK340" s="152"/>
      <c r="BL340" s="152"/>
      <c r="BM340" s="152"/>
      <c r="BN340" s="152"/>
      <c r="BO340" s="152"/>
      <c r="BP340" s="152"/>
      <c r="BQ340" s="152"/>
      <c r="BR340" s="152"/>
      <c r="BS340" s="152"/>
      <c r="BT340" s="152"/>
      <c r="BU340" s="152"/>
      <c r="BV340" s="152"/>
      <c r="BW340" s="152"/>
      <c r="BX340" s="152"/>
      <c r="BY340" s="152"/>
      <c r="BZ340" s="152"/>
      <c r="CA340" s="152"/>
      <c r="CB340" s="152"/>
      <c r="CC340" s="152"/>
      <c r="CD340" s="152"/>
      <c r="CE340" s="152"/>
      <c r="CF340" s="475"/>
      <c r="CG340" s="475"/>
      <c r="CH340" s="475"/>
      <c r="CI340" s="475"/>
      <c r="CJ340" s="475"/>
      <c r="CK340" s="475"/>
      <c r="CL340" s="475"/>
      <c r="CM340" s="475"/>
      <c r="CN340" s="475"/>
      <c r="CO340" s="475"/>
      <c r="CP340" s="475"/>
      <c r="CQ340" s="475"/>
      <c r="CR340" s="475"/>
      <c r="CS340" s="475"/>
      <c r="CT340" s="475"/>
      <c r="CU340" s="475"/>
      <c r="CV340" s="475"/>
      <c r="CW340" s="475"/>
      <c r="CX340" s="475"/>
      <c r="CY340" s="475"/>
      <c r="CZ340" s="475"/>
      <c r="DA340" s="475"/>
    </row>
    <row r="341" spans="1:106" hidden="1" outlineLevel="2">
      <c r="B341" s="149"/>
      <c r="C341" s="149"/>
      <c r="D341" s="149"/>
      <c r="E341" s="149"/>
      <c r="F341" s="149"/>
      <c r="G341" s="149"/>
      <c r="H341" s="149"/>
      <c r="I341" s="149"/>
      <c r="J341" s="149"/>
      <c r="K341" s="149"/>
      <c r="L341" s="149"/>
      <c r="M341" s="149"/>
      <c r="N341" s="149"/>
      <c r="O341" s="149"/>
      <c r="P341" s="149"/>
      <c r="Q341" s="149"/>
      <c r="R341" s="149"/>
      <c r="S341" s="149"/>
      <c r="T341" s="149"/>
      <c r="U341" s="149"/>
      <c r="V341" s="149"/>
      <c r="W341" s="149"/>
      <c r="X341" s="149"/>
      <c r="Y341" s="149"/>
      <c r="Z341" s="149"/>
      <c r="AA341" s="149"/>
      <c r="AB341" s="149"/>
      <c r="AC341" s="149"/>
      <c r="AD341" s="148"/>
      <c r="AE341" s="148"/>
      <c r="AF341" s="148"/>
      <c r="AZ341" s="229"/>
      <c r="DB341" s="149"/>
    </row>
    <row r="342" spans="1:106" collapsed="1">
      <c r="B342" s="149"/>
      <c r="C342" s="149"/>
      <c r="D342" s="149"/>
      <c r="E342" s="149"/>
      <c r="F342" s="149"/>
      <c r="G342" s="149"/>
      <c r="H342" s="149"/>
      <c r="I342" s="149"/>
      <c r="J342" s="149"/>
      <c r="K342" s="149"/>
      <c r="L342" s="149"/>
      <c r="M342" s="149"/>
      <c r="N342" s="149"/>
      <c r="O342" s="149"/>
      <c r="P342" s="149"/>
      <c r="Q342" s="149"/>
      <c r="R342" s="149"/>
      <c r="S342" s="149"/>
      <c r="T342" s="149"/>
      <c r="U342" s="149"/>
      <c r="V342" s="149"/>
      <c r="W342" s="149"/>
      <c r="X342" s="149"/>
      <c r="Y342" s="149"/>
      <c r="Z342" s="149"/>
      <c r="AA342" s="149"/>
      <c r="AB342" s="149"/>
      <c r="AC342" s="149"/>
      <c r="AD342" s="148"/>
      <c r="AE342" s="148"/>
      <c r="AF342" s="148"/>
      <c r="DB342" s="149"/>
    </row>
    <row r="343" spans="1:106">
      <c r="B343" s="149"/>
      <c r="C343" s="149"/>
      <c r="D343" s="149"/>
      <c r="E343" s="149"/>
      <c r="F343" s="149"/>
      <c r="G343" s="149"/>
      <c r="H343" s="149"/>
      <c r="I343" s="149"/>
      <c r="J343" s="149"/>
      <c r="K343" s="149"/>
      <c r="L343" s="149"/>
      <c r="M343" s="149"/>
      <c r="N343" s="149"/>
      <c r="O343" s="149"/>
      <c r="P343" s="149"/>
      <c r="Q343" s="149"/>
      <c r="R343" s="149"/>
      <c r="S343" s="149"/>
      <c r="T343" s="149"/>
      <c r="U343" s="149"/>
      <c r="V343" s="149"/>
      <c r="W343" s="149"/>
      <c r="X343" s="149"/>
      <c r="Y343" s="149"/>
      <c r="Z343" s="149"/>
      <c r="AA343" s="149"/>
      <c r="AB343" s="149"/>
      <c r="AC343" s="149"/>
      <c r="AD343" s="148"/>
      <c r="AE343" s="148"/>
      <c r="AF343" s="148"/>
      <c r="AZ343" s="229"/>
      <c r="DB343" s="149"/>
    </row>
    <row r="344" spans="1:106">
      <c r="B344" s="149"/>
      <c r="C344" s="149"/>
      <c r="D344" s="149"/>
      <c r="E344" s="149"/>
      <c r="F344" s="149"/>
      <c r="G344" s="149"/>
      <c r="H344" s="149"/>
      <c r="I344" s="149"/>
      <c r="J344" s="149"/>
      <c r="K344" s="149"/>
      <c r="L344" s="149"/>
      <c r="M344" s="149"/>
      <c r="N344" s="149"/>
      <c r="O344" s="149"/>
      <c r="P344" s="149"/>
      <c r="Q344" s="149"/>
      <c r="R344" s="149"/>
      <c r="S344" s="149"/>
      <c r="T344" s="149"/>
      <c r="U344" s="149"/>
      <c r="V344" s="149"/>
      <c r="W344" s="149"/>
      <c r="X344" s="149"/>
      <c r="Y344" s="149"/>
      <c r="Z344" s="149"/>
      <c r="AA344" s="149"/>
      <c r="AB344" s="149"/>
      <c r="AC344" s="149"/>
      <c r="AD344" s="148"/>
      <c r="AE344" s="148"/>
      <c r="AF344" s="148"/>
      <c r="DB344" s="149"/>
    </row>
    <row r="345" spans="1:106">
      <c r="B345" s="149"/>
      <c r="C345" s="149"/>
      <c r="D345" s="149"/>
      <c r="E345" s="149"/>
      <c r="F345" s="149"/>
      <c r="G345" s="149"/>
      <c r="H345" s="149"/>
      <c r="I345" s="149"/>
      <c r="J345" s="149"/>
      <c r="K345" s="149"/>
      <c r="L345" s="149"/>
      <c r="M345" s="149"/>
      <c r="N345" s="149"/>
      <c r="O345" s="149"/>
      <c r="P345" s="149"/>
      <c r="Q345" s="149"/>
      <c r="R345" s="149"/>
      <c r="S345" s="149"/>
      <c r="T345" s="149"/>
      <c r="U345" s="149"/>
      <c r="V345" s="149"/>
      <c r="W345" s="149"/>
      <c r="X345" s="149"/>
      <c r="Y345" s="149"/>
      <c r="Z345" s="149"/>
      <c r="AA345" s="149"/>
      <c r="AB345" s="149"/>
      <c r="AC345" s="149"/>
      <c r="AD345" s="148"/>
      <c r="AE345" s="148"/>
      <c r="AF345" s="148"/>
      <c r="DB345" s="149"/>
    </row>
    <row r="346" spans="1:106">
      <c r="B346" s="149"/>
      <c r="C346" s="149"/>
      <c r="D346" s="149"/>
      <c r="E346" s="149"/>
      <c r="F346" s="149"/>
      <c r="G346" s="149"/>
      <c r="H346" s="149"/>
      <c r="I346" s="149"/>
      <c r="J346" s="149"/>
      <c r="K346" s="149"/>
      <c r="L346" s="149"/>
      <c r="M346" s="149"/>
      <c r="N346" s="149"/>
      <c r="O346" s="149"/>
      <c r="P346" s="149"/>
      <c r="Q346" s="149"/>
      <c r="R346" s="149"/>
      <c r="S346" s="149"/>
      <c r="T346" s="149"/>
      <c r="U346" s="149"/>
      <c r="V346" s="149"/>
      <c r="W346" s="149"/>
      <c r="X346" s="149"/>
      <c r="Y346" s="149"/>
      <c r="Z346" s="149"/>
      <c r="AA346" s="149"/>
      <c r="AB346" s="149"/>
      <c r="AC346" s="149"/>
      <c r="AD346" s="148"/>
      <c r="AE346" s="148"/>
      <c r="AF346" s="148"/>
      <c r="DB346" s="149"/>
    </row>
    <row r="347" spans="1:106">
      <c r="B347" s="149"/>
      <c r="C347" s="149"/>
      <c r="D347" s="149"/>
      <c r="E347" s="149"/>
      <c r="F347" s="149"/>
      <c r="G347" s="149"/>
      <c r="H347" s="149"/>
      <c r="I347" s="149"/>
      <c r="J347" s="149"/>
      <c r="K347" s="149"/>
      <c r="L347" s="149"/>
      <c r="M347" s="149"/>
      <c r="N347" s="149"/>
      <c r="O347" s="149"/>
      <c r="P347" s="149"/>
      <c r="Q347" s="149"/>
      <c r="R347" s="149"/>
      <c r="S347" s="149"/>
      <c r="T347" s="149"/>
      <c r="U347" s="149"/>
      <c r="V347" s="149"/>
      <c r="W347" s="149"/>
      <c r="X347" s="149"/>
      <c r="Y347" s="149"/>
      <c r="Z347" s="149"/>
      <c r="AA347" s="149"/>
      <c r="AB347" s="149"/>
      <c r="AC347" s="149"/>
      <c r="AD347" s="148"/>
      <c r="AE347" s="148"/>
      <c r="AF347" s="148"/>
      <c r="DB347" s="149"/>
    </row>
    <row r="348" spans="1:106">
      <c r="B348" s="149"/>
      <c r="C348" s="149"/>
      <c r="D348" s="149"/>
      <c r="E348" s="149"/>
      <c r="F348" s="149"/>
      <c r="G348" s="149"/>
      <c r="H348" s="149"/>
      <c r="I348" s="149"/>
      <c r="J348" s="149"/>
      <c r="K348" s="149"/>
      <c r="L348" s="149"/>
      <c r="M348" s="149"/>
      <c r="N348" s="149"/>
      <c r="O348" s="149"/>
      <c r="P348" s="149"/>
      <c r="Q348" s="149"/>
      <c r="R348" s="149"/>
      <c r="S348" s="149"/>
      <c r="T348" s="149"/>
      <c r="U348" s="149"/>
      <c r="V348" s="149"/>
      <c r="W348" s="149"/>
      <c r="X348" s="149"/>
      <c r="Y348" s="149"/>
      <c r="Z348" s="149"/>
      <c r="AA348" s="149"/>
      <c r="AB348" s="149"/>
      <c r="AC348" s="149"/>
      <c r="AD348" s="148"/>
      <c r="AE348" s="148"/>
      <c r="AF348" s="148"/>
      <c r="DB348" s="149"/>
    </row>
    <row r="349" spans="1:106">
      <c r="B349" s="149"/>
      <c r="C349" s="149"/>
      <c r="D349" s="149"/>
      <c r="E349" s="149"/>
      <c r="F349" s="149"/>
      <c r="G349" s="149"/>
      <c r="H349" s="149"/>
      <c r="I349" s="149"/>
      <c r="J349" s="149"/>
      <c r="K349" s="149"/>
      <c r="L349" s="149"/>
      <c r="M349" s="149"/>
      <c r="N349" s="149"/>
      <c r="O349" s="149"/>
      <c r="P349" s="149"/>
      <c r="Q349" s="149"/>
      <c r="R349" s="149"/>
      <c r="S349" s="149"/>
      <c r="T349" s="149"/>
      <c r="U349" s="149"/>
      <c r="V349" s="149"/>
      <c r="W349" s="149"/>
      <c r="X349" s="149"/>
      <c r="Y349" s="149"/>
      <c r="Z349" s="149"/>
      <c r="AA349" s="149"/>
      <c r="AB349" s="149"/>
      <c r="AC349" s="149"/>
      <c r="AD349" s="148"/>
      <c r="AE349" s="148"/>
      <c r="AF349" s="148"/>
      <c r="DB349" s="149"/>
    </row>
    <row r="350" spans="1:106">
      <c r="B350" s="149"/>
      <c r="C350" s="149"/>
      <c r="D350" s="149"/>
      <c r="E350" s="149"/>
      <c r="F350" s="149"/>
      <c r="G350" s="149"/>
      <c r="H350" s="149"/>
      <c r="I350" s="149"/>
      <c r="J350" s="149"/>
      <c r="K350" s="149"/>
      <c r="L350" s="149"/>
      <c r="M350" s="149"/>
      <c r="N350" s="149"/>
      <c r="O350" s="149"/>
      <c r="P350" s="149"/>
      <c r="Q350" s="149"/>
      <c r="R350" s="149"/>
      <c r="S350" s="149"/>
      <c r="T350" s="149"/>
      <c r="U350" s="149"/>
      <c r="V350" s="149"/>
      <c r="W350" s="149"/>
      <c r="X350" s="149"/>
      <c r="Y350" s="149"/>
      <c r="Z350" s="149"/>
      <c r="AA350" s="149"/>
      <c r="AB350" s="149"/>
      <c r="AC350" s="149"/>
      <c r="AD350" s="148"/>
      <c r="AE350" s="148"/>
      <c r="AF350" s="148"/>
      <c r="DB350" s="149"/>
    </row>
    <row r="351" spans="1:106">
      <c r="B351" s="149"/>
      <c r="C351" s="149"/>
      <c r="D351" s="149"/>
      <c r="E351" s="149"/>
      <c r="F351" s="149"/>
      <c r="G351" s="149"/>
      <c r="H351" s="149"/>
      <c r="I351" s="149"/>
      <c r="J351" s="149"/>
      <c r="K351" s="149"/>
      <c r="L351" s="149"/>
      <c r="M351" s="149"/>
      <c r="N351" s="149"/>
      <c r="O351" s="149"/>
      <c r="P351" s="149"/>
      <c r="Q351" s="149"/>
      <c r="R351" s="149"/>
      <c r="S351" s="149"/>
      <c r="T351" s="149"/>
      <c r="U351" s="149"/>
      <c r="V351" s="149"/>
      <c r="W351" s="149"/>
      <c r="X351" s="149"/>
      <c r="Y351" s="149"/>
      <c r="Z351" s="149"/>
      <c r="AA351" s="149"/>
      <c r="AB351" s="149"/>
      <c r="AC351" s="149"/>
      <c r="AD351" s="148"/>
      <c r="AE351" s="148"/>
      <c r="AF351" s="148"/>
      <c r="DB351" s="149"/>
    </row>
    <row r="352" spans="1:106">
      <c r="B352" s="149"/>
      <c r="C352" s="149"/>
      <c r="D352" s="149"/>
      <c r="E352" s="149"/>
      <c r="F352" s="149"/>
      <c r="G352" s="149"/>
      <c r="H352" s="149"/>
      <c r="I352" s="149"/>
      <c r="J352" s="149"/>
      <c r="K352" s="149"/>
      <c r="L352" s="149"/>
      <c r="M352" s="149"/>
      <c r="N352" s="149"/>
      <c r="O352" s="149"/>
      <c r="P352" s="149"/>
      <c r="Q352" s="149"/>
      <c r="R352" s="149"/>
      <c r="S352" s="149"/>
      <c r="T352" s="149"/>
      <c r="U352" s="149"/>
      <c r="V352" s="149"/>
      <c r="W352" s="149"/>
      <c r="X352" s="149"/>
      <c r="Y352" s="149"/>
      <c r="Z352" s="149"/>
      <c r="AA352" s="149"/>
      <c r="AB352" s="149"/>
      <c r="AC352" s="149"/>
      <c r="AD352" s="148"/>
      <c r="AE352" s="148"/>
      <c r="AF352" s="148"/>
      <c r="DB352" s="149"/>
    </row>
    <row r="353" spans="2:106">
      <c r="B353" s="149"/>
      <c r="C353" s="149"/>
      <c r="D353" s="149"/>
      <c r="E353" s="149"/>
      <c r="F353" s="149"/>
      <c r="G353" s="149"/>
      <c r="H353" s="149"/>
      <c r="I353" s="149"/>
      <c r="J353" s="149"/>
      <c r="K353" s="149"/>
      <c r="L353" s="149"/>
      <c r="M353" s="149"/>
      <c r="N353" s="149"/>
      <c r="O353" s="149"/>
      <c r="P353" s="149"/>
      <c r="Q353" s="149"/>
      <c r="R353" s="149"/>
      <c r="S353" s="149"/>
      <c r="T353" s="149"/>
      <c r="U353" s="149"/>
      <c r="V353" s="149"/>
      <c r="W353" s="149"/>
      <c r="X353" s="149"/>
      <c r="Y353" s="149"/>
      <c r="Z353" s="149"/>
      <c r="AA353" s="149"/>
      <c r="AB353" s="149"/>
      <c r="AC353" s="149"/>
      <c r="AD353" s="148"/>
      <c r="AE353" s="148"/>
      <c r="AF353" s="148"/>
      <c r="DB353" s="149"/>
    </row>
    <row r="354" spans="2:106">
      <c r="B354" s="149"/>
      <c r="C354" s="149"/>
      <c r="D354" s="149"/>
      <c r="E354" s="149"/>
      <c r="F354" s="149"/>
      <c r="G354" s="149"/>
      <c r="H354" s="149"/>
      <c r="I354" s="149"/>
      <c r="J354" s="149"/>
      <c r="K354" s="149"/>
      <c r="L354" s="149"/>
      <c r="M354" s="149"/>
      <c r="N354" s="149"/>
      <c r="O354" s="149"/>
      <c r="P354" s="149"/>
      <c r="Q354" s="149"/>
      <c r="R354" s="149"/>
      <c r="S354" s="149"/>
      <c r="T354" s="149"/>
      <c r="U354" s="149"/>
      <c r="V354" s="149"/>
      <c r="W354" s="149"/>
      <c r="X354" s="149"/>
      <c r="Y354" s="149"/>
      <c r="Z354" s="149"/>
      <c r="AA354" s="149"/>
      <c r="AB354" s="149"/>
      <c r="AC354" s="149"/>
      <c r="AD354" s="148"/>
      <c r="AE354" s="148"/>
      <c r="AF354" s="148"/>
      <c r="DB354" s="149"/>
    </row>
    <row r="355" spans="2:106">
      <c r="B355" s="149"/>
      <c r="C355" s="149"/>
      <c r="D355" s="149"/>
      <c r="E355" s="149"/>
      <c r="F355" s="149"/>
      <c r="G355" s="149"/>
      <c r="H355" s="149"/>
      <c r="I355" s="149"/>
      <c r="J355" s="149"/>
      <c r="K355" s="149"/>
      <c r="L355" s="149"/>
      <c r="M355" s="149"/>
      <c r="N355" s="149"/>
      <c r="O355" s="149"/>
      <c r="P355" s="149"/>
      <c r="Q355" s="149"/>
      <c r="R355" s="149"/>
      <c r="S355" s="149"/>
      <c r="T355" s="149"/>
      <c r="U355" s="149"/>
      <c r="V355" s="149"/>
      <c r="W355" s="149"/>
      <c r="X355" s="149"/>
      <c r="Y355" s="149"/>
      <c r="Z355" s="149"/>
      <c r="AA355" s="149"/>
      <c r="AB355" s="149"/>
      <c r="AC355" s="149"/>
      <c r="AD355" s="148"/>
      <c r="AE355" s="148"/>
      <c r="AF355" s="148"/>
      <c r="DB355" s="149"/>
    </row>
    <row r="356" spans="2:106">
      <c r="B356" s="149"/>
      <c r="C356" s="149"/>
      <c r="D356" s="149"/>
      <c r="E356" s="149"/>
      <c r="F356" s="149"/>
      <c r="G356" s="149"/>
      <c r="H356" s="149"/>
      <c r="I356" s="149"/>
      <c r="J356" s="149"/>
      <c r="K356" s="149"/>
      <c r="L356" s="149"/>
      <c r="M356" s="149"/>
      <c r="N356" s="149"/>
      <c r="O356" s="149"/>
      <c r="P356" s="149"/>
      <c r="Q356" s="149"/>
      <c r="R356" s="149"/>
      <c r="S356" s="149"/>
      <c r="T356" s="149"/>
      <c r="U356" s="149"/>
      <c r="V356" s="149"/>
      <c r="W356" s="149"/>
      <c r="X356" s="149"/>
      <c r="Y356" s="149"/>
      <c r="Z356" s="149"/>
      <c r="AA356" s="149"/>
      <c r="AB356" s="149"/>
      <c r="AC356" s="149"/>
      <c r="AD356" s="148"/>
      <c r="AE356" s="148"/>
      <c r="AF356" s="148"/>
      <c r="DB356" s="149"/>
    </row>
    <row r="357" spans="2:106">
      <c r="B357" s="149"/>
      <c r="C357" s="149"/>
      <c r="D357" s="149"/>
      <c r="E357" s="149"/>
      <c r="F357" s="149"/>
      <c r="G357" s="149"/>
      <c r="H357" s="149"/>
      <c r="I357" s="149"/>
      <c r="J357" s="149"/>
      <c r="K357" s="149"/>
      <c r="L357" s="149"/>
      <c r="M357" s="149"/>
      <c r="N357" s="149"/>
      <c r="O357" s="149"/>
      <c r="P357" s="149"/>
      <c r="Q357" s="149"/>
      <c r="R357" s="149"/>
      <c r="S357" s="149"/>
      <c r="T357" s="149"/>
      <c r="U357" s="149"/>
      <c r="V357" s="149"/>
      <c r="W357" s="149"/>
      <c r="X357" s="149"/>
      <c r="Y357" s="149"/>
      <c r="Z357" s="149"/>
      <c r="AA357" s="149"/>
      <c r="AB357" s="149"/>
      <c r="AC357" s="149"/>
      <c r="AD357" s="148"/>
      <c r="AE357" s="148"/>
      <c r="AF357" s="148"/>
      <c r="DB357" s="149"/>
    </row>
    <row r="358" spans="2:106">
      <c r="B358" s="149"/>
      <c r="C358" s="149"/>
      <c r="D358" s="149"/>
      <c r="E358" s="149"/>
      <c r="F358" s="149"/>
      <c r="G358" s="149"/>
      <c r="H358" s="149"/>
      <c r="I358" s="149"/>
      <c r="J358" s="149"/>
      <c r="K358" s="149"/>
      <c r="L358" s="149"/>
      <c r="M358" s="149"/>
      <c r="N358" s="149"/>
      <c r="O358" s="149"/>
      <c r="P358" s="149"/>
      <c r="Q358" s="149"/>
      <c r="R358" s="149"/>
      <c r="S358" s="149"/>
      <c r="T358" s="149"/>
      <c r="U358" s="149"/>
      <c r="V358" s="149"/>
      <c r="W358" s="149"/>
      <c r="X358" s="149"/>
      <c r="Y358" s="149"/>
      <c r="Z358" s="149"/>
      <c r="AA358" s="149"/>
      <c r="AB358" s="149"/>
      <c r="AC358" s="149"/>
      <c r="AD358" s="148"/>
      <c r="AE358" s="148"/>
      <c r="AF358" s="148"/>
      <c r="DB358" s="149"/>
    </row>
    <row r="359" spans="2:106">
      <c r="B359" s="149"/>
      <c r="C359" s="149"/>
      <c r="D359" s="149"/>
      <c r="E359" s="149"/>
      <c r="F359" s="149"/>
      <c r="G359" s="149"/>
      <c r="H359" s="149"/>
      <c r="I359" s="149"/>
      <c r="J359" s="149"/>
      <c r="K359" s="149"/>
      <c r="L359" s="149"/>
      <c r="M359" s="149"/>
      <c r="N359" s="149"/>
      <c r="O359" s="149"/>
      <c r="P359" s="149"/>
      <c r="Q359" s="149"/>
      <c r="R359" s="149"/>
      <c r="S359" s="149"/>
      <c r="T359" s="149"/>
      <c r="U359" s="149"/>
      <c r="V359" s="149"/>
      <c r="W359" s="149"/>
      <c r="X359" s="149"/>
      <c r="Y359" s="149"/>
      <c r="Z359" s="149"/>
      <c r="AA359" s="149"/>
      <c r="AB359" s="149"/>
      <c r="AC359" s="149"/>
      <c r="AD359" s="148"/>
      <c r="AE359" s="148"/>
      <c r="AF359" s="148"/>
      <c r="DB359" s="149"/>
    </row>
    <row r="360" spans="2:106">
      <c r="B360" s="149"/>
      <c r="C360" s="149"/>
      <c r="D360" s="149"/>
      <c r="E360" s="149"/>
      <c r="F360" s="149"/>
      <c r="G360" s="149"/>
      <c r="H360" s="149"/>
      <c r="I360" s="149"/>
      <c r="J360" s="149"/>
      <c r="K360" s="149"/>
      <c r="L360" s="149"/>
      <c r="M360" s="149"/>
      <c r="N360" s="149"/>
      <c r="O360" s="149"/>
      <c r="P360" s="149"/>
      <c r="Q360" s="149"/>
      <c r="R360" s="149"/>
      <c r="S360" s="149"/>
      <c r="T360" s="149"/>
      <c r="U360" s="149"/>
      <c r="V360" s="149"/>
      <c r="W360" s="149"/>
      <c r="X360" s="149"/>
      <c r="Y360" s="149"/>
      <c r="Z360" s="149"/>
      <c r="AA360" s="149"/>
      <c r="AB360" s="149"/>
      <c r="AC360" s="149"/>
      <c r="AD360" s="148"/>
      <c r="AE360" s="148"/>
      <c r="AF360" s="148"/>
      <c r="DB360" s="149"/>
    </row>
    <row r="361" spans="2:106">
      <c r="B361" s="149"/>
      <c r="C361" s="149"/>
      <c r="D361" s="149"/>
      <c r="E361" s="149"/>
      <c r="F361" s="149"/>
      <c r="G361" s="149"/>
      <c r="H361" s="149"/>
      <c r="I361" s="149"/>
      <c r="J361" s="149"/>
      <c r="K361" s="149"/>
      <c r="L361" s="149"/>
      <c r="M361" s="149"/>
      <c r="N361" s="149"/>
      <c r="O361" s="149"/>
      <c r="P361" s="149"/>
      <c r="Q361" s="149"/>
      <c r="R361" s="149"/>
      <c r="S361" s="149"/>
      <c r="T361" s="149"/>
      <c r="U361" s="149"/>
      <c r="V361" s="149"/>
      <c r="W361" s="149"/>
      <c r="X361" s="149"/>
      <c r="Y361" s="149"/>
      <c r="Z361" s="149"/>
      <c r="AA361" s="149"/>
      <c r="AB361" s="149"/>
      <c r="AC361" s="149"/>
      <c r="AD361" s="148"/>
      <c r="AE361" s="148"/>
      <c r="AF361" s="148"/>
      <c r="DB361" s="149"/>
    </row>
    <row r="362" spans="2:106">
      <c r="B362" s="149"/>
      <c r="C362" s="149"/>
      <c r="D362" s="149"/>
      <c r="E362" s="149"/>
      <c r="F362" s="149"/>
      <c r="G362" s="149"/>
      <c r="H362" s="149"/>
      <c r="I362" s="149"/>
      <c r="J362" s="149"/>
      <c r="K362" s="149"/>
      <c r="L362" s="149"/>
      <c r="M362" s="149"/>
      <c r="N362" s="149"/>
      <c r="O362" s="149"/>
      <c r="P362" s="149"/>
      <c r="Q362" s="149"/>
      <c r="R362" s="149"/>
      <c r="S362" s="149"/>
      <c r="T362" s="149"/>
      <c r="U362" s="149"/>
      <c r="V362" s="149"/>
      <c r="W362" s="149"/>
      <c r="X362" s="149"/>
      <c r="Y362" s="149"/>
      <c r="Z362" s="149"/>
      <c r="AA362" s="149"/>
      <c r="AB362" s="149"/>
      <c r="AC362" s="149"/>
      <c r="AD362" s="148"/>
      <c r="AE362" s="148"/>
      <c r="AF362" s="148"/>
      <c r="DB362" s="149"/>
    </row>
    <row r="363" spans="2:106">
      <c r="B363" s="149"/>
      <c r="C363" s="149"/>
      <c r="D363" s="149"/>
      <c r="E363" s="149"/>
      <c r="F363" s="149"/>
      <c r="G363" s="149"/>
      <c r="H363" s="149"/>
      <c r="I363" s="149"/>
      <c r="J363" s="149"/>
      <c r="K363" s="149"/>
      <c r="L363" s="149"/>
      <c r="M363" s="149"/>
      <c r="N363" s="149"/>
      <c r="O363" s="149"/>
      <c r="P363" s="149"/>
      <c r="Q363" s="149"/>
      <c r="R363" s="149"/>
      <c r="S363" s="149"/>
      <c r="T363" s="149"/>
      <c r="U363" s="149"/>
      <c r="V363" s="149"/>
      <c r="W363" s="149"/>
      <c r="X363" s="149"/>
      <c r="Y363" s="149"/>
      <c r="Z363" s="149"/>
      <c r="AA363" s="149"/>
      <c r="AB363" s="149"/>
      <c r="AC363" s="149"/>
      <c r="AD363" s="148"/>
      <c r="AE363" s="148"/>
      <c r="AF363" s="148"/>
      <c r="DB363" s="149"/>
    </row>
    <row r="364" spans="2:106">
      <c r="B364" s="149"/>
      <c r="C364" s="149"/>
      <c r="D364" s="149"/>
      <c r="E364" s="149"/>
      <c r="F364" s="149"/>
      <c r="G364" s="149"/>
      <c r="H364" s="149"/>
      <c r="I364" s="149"/>
      <c r="J364" s="149"/>
      <c r="K364" s="149"/>
      <c r="L364" s="149"/>
      <c r="M364" s="149"/>
      <c r="N364" s="149"/>
      <c r="O364" s="149"/>
      <c r="P364" s="149"/>
      <c r="Q364" s="149"/>
      <c r="R364" s="149"/>
      <c r="S364" s="149"/>
      <c r="T364" s="149"/>
      <c r="U364" s="149"/>
      <c r="V364" s="149"/>
      <c r="W364" s="149"/>
      <c r="X364" s="149"/>
      <c r="Y364" s="149"/>
      <c r="Z364" s="149"/>
      <c r="AA364" s="149"/>
      <c r="AB364" s="149"/>
      <c r="AC364" s="149"/>
      <c r="AD364" s="148"/>
      <c r="AE364" s="148"/>
      <c r="AF364" s="148"/>
      <c r="DB364" s="149"/>
    </row>
    <row r="365" spans="2:106">
      <c r="B365" s="149"/>
      <c r="C365" s="149"/>
      <c r="D365" s="149"/>
      <c r="E365" s="149"/>
      <c r="F365" s="149"/>
      <c r="G365" s="149"/>
      <c r="H365" s="149"/>
      <c r="I365" s="149"/>
      <c r="J365" s="149"/>
      <c r="K365" s="149"/>
      <c r="L365" s="149"/>
      <c r="M365" s="149"/>
      <c r="N365" s="149"/>
      <c r="O365" s="149"/>
      <c r="P365" s="149"/>
      <c r="Q365" s="149"/>
      <c r="R365" s="149"/>
      <c r="S365" s="149"/>
      <c r="T365" s="149"/>
      <c r="U365" s="149"/>
      <c r="V365" s="149"/>
      <c r="W365" s="149"/>
      <c r="X365" s="149"/>
      <c r="Y365" s="149"/>
      <c r="Z365" s="149"/>
      <c r="AA365" s="149"/>
      <c r="AB365" s="149"/>
      <c r="AC365" s="149"/>
      <c r="AD365" s="148"/>
      <c r="AE365" s="148"/>
      <c r="AF365" s="148"/>
      <c r="DB365" s="149"/>
    </row>
    <row r="366" spans="2:106">
      <c r="B366" s="149"/>
      <c r="C366" s="149"/>
      <c r="D366" s="149"/>
      <c r="E366" s="149"/>
      <c r="F366" s="149"/>
      <c r="G366" s="149"/>
      <c r="H366" s="149"/>
      <c r="I366" s="149"/>
      <c r="J366" s="149"/>
      <c r="K366" s="149"/>
      <c r="L366" s="149"/>
      <c r="M366" s="149"/>
      <c r="N366" s="149"/>
      <c r="O366" s="149"/>
      <c r="P366" s="149"/>
      <c r="Q366" s="149"/>
      <c r="R366" s="149"/>
      <c r="S366" s="149"/>
      <c r="T366" s="149"/>
      <c r="U366" s="149"/>
      <c r="V366" s="149"/>
      <c r="W366" s="149"/>
      <c r="X366" s="149"/>
      <c r="Y366" s="149"/>
      <c r="Z366" s="149"/>
      <c r="AA366" s="149"/>
      <c r="AB366" s="149"/>
      <c r="AC366" s="149"/>
      <c r="AD366" s="148"/>
      <c r="AE366" s="148"/>
      <c r="AF366" s="148"/>
      <c r="DB366" s="149"/>
    </row>
    <row r="367" spans="2:106">
      <c r="B367" s="149"/>
      <c r="C367" s="149"/>
      <c r="D367" s="149"/>
      <c r="E367" s="149"/>
      <c r="F367" s="149"/>
      <c r="G367" s="149"/>
      <c r="H367" s="149"/>
      <c r="I367" s="149"/>
      <c r="J367" s="149"/>
      <c r="K367" s="149"/>
      <c r="L367" s="149"/>
      <c r="M367" s="149"/>
      <c r="N367" s="149"/>
      <c r="O367" s="149"/>
      <c r="P367" s="149"/>
      <c r="Q367" s="149"/>
      <c r="R367" s="149"/>
      <c r="S367" s="149"/>
      <c r="T367" s="149"/>
      <c r="U367" s="149"/>
      <c r="V367" s="149"/>
      <c r="W367" s="149"/>
      <c r="X367" s="149"/>
      <c r="Y367" s="149"/>
      <c r="Z367" s="149"/>
      <c r="AA367" s="149"/>
      <c r="AB367" s="149"/>
      <c r="AC367" s="149"/>
      <c r="AD367" s="148"/>
      <c r="AE367" s="148"/>
      <c r="AF367" s="148"/>
      <c r="DB367" s="149"/>
    </row>
    <row r="368" spans="2:106">
      <c r="B368" s="149"/>
      <c r="C368" s="149"/>
      <c r="D368" s="149"/>
      <c r="E368" s="149"/>
      <c r="F368" s="149"/>
      <c r="G368" s="149"/>
      <c r="H368" s="149"/>
      <c r="I368" s="149"/>
      <c r="J368" s="149"/>
      <c r="K368" s="149"/>
      <c r="L368" s="149"/>
      <c r="M368" s="149"/>
      <c r="N368" s="149"/>
      <c r="O368" s="149"/>
      <c r="P368" s="149"/>
      <c r="Q368" s="149"/>
      <c r="R368" s="149"/>
      <c r="S368" s="149"/>
      <c r="T368" s="149"/>
      <c r="U368" s="149"/>
      <c r="V368" s="149"/>
      <c r="W368" s="149"/>
      <c r="X368" s="149"/>
      <c r="Y368" s="149"/>
      <c r="Z368" s="149"/>
      <c r="AA368" s="149"/>
      <c r="AB368" s="149"/>
      <c r="AC368" s="149"/>
      <c r="AD368" s="148"/>
      <c r="AE368" s="148"/>
      <c r="AF368" s="148"/>
      <c r="DB368" s="149"/>
    </row>
    <row r="369" spans="2:106">
      <c r="B369" s="149"/>
      <c r="C369" s="149"/>
      <c r="D369" s="149"/>
      <c r="E369" s="149"/>
      <c r="F369" s="149"/>
      <c r="G369" s="149"/>
      <c r="H369" s="149"/>
      <c r="I369" s="149"/>
      <c r="J369" s="149"/>
      <c r="K369" s="149"/>
      <c r="L369" s="149"/>
      <c r="M369" s="149"/>
      <c r="N369" s="149"/>
      <c r="O369" s="149"/>
      <c r="P369" s="149"/>
      <c r="Q369" s="149"/>
      <c r="R369" s="149"/>
      <c r="S369" s="149"/>
      <c r="T369" s="149"/>
      <c r="U369" s="149"/>
      <c r="V369" s="149"/>
      <c r="W369" s="149"/>
      <c r="X369" s="149"/>
      <c r="Y369" s="149"/>
      <c r="Z369" s="149"/>
      <c r="AA369" s="149"/>
      <c r="AB369" s="149"/>
      <c r="AC369" s="149"/>
      <c r="AD369" s="148"/>
      <c r="AE369" s="148"/>
      <c r="AF369" s="148"/>
      <c r="DB369" s="149"/>
    </row>
    <row r="370" spans="2:106">
      <c r="B370" s="149"/>
      <c r="C370" s="149"/>
      <c r="D370" s="149"/>
      <c r="E370" s="149"/>
      <c r="F370" s="149"/>
      <c r="G370" s="149"/>
      <c r="H370" s="149"/>
      <c r="I370" s="149"/>
      <c r="J370" s="149"/>
      <c r="K370" s="149"/>
      <c r="L370" s="149"/>
      <c r="M370" s="149"/>
      <c r="N370" s="149"/>
      <c r="O370" s="149"/>
      <c r="P370" s="149"/>
      <c r="Q370" s="149"/>
      <c r="R370" s="149"/>
      <c r="S370" s="149"/>
      <c r="T370" s="149"/>
      <c r="U370" s="149"/>
      <c r="V370" s="149"/>
      <c r="W370" s="149"/>
      <c r="X370" s="149"/>
      <c r="Y370" s="149"/>
      <c r="Z370" s="149"/>
      <c r="AA370" s="149"/>
      <c r="AB370" s="149"/>
      <c r="AC370" s="149"/>
      <c r="AD370" s="148"/>
      <c r="AE370" s="148"/>
      <c r="AF370" s="148"/>
      <c r="DB370" s="149"/>
    </row>
    <row r="371" spans="2:106">
      <c r="B371" s="149"/>
      <c r="C371" s="149"/>
      <c r="D371" s="149"/>
      <c r="E371" s="149"/>
      <c r="F371" s="149"/>
      <c r="G371" s="149"/>
      <c r="H371" s="149"/>
      <c r="I371" s="149"/>
      <c r="J371" s="149"/>
      <c r="K371" s="149"/>
      <c r="L371" s="149"/>
      <c r="M371" s="149"/>
      <c r="N371" s="149"/>
      <c r="O371" s="149"/>
      <c r="P371" s="149"/>
      <c r="Q371" s="149"/>
      <c r="R371" s="149"/>
      <c r="S371" s="149"/>
      <c r="T371" s="149"/>
      <c r="U371" s="149"/>
      <c r="V371" s="149"/>
      <c r="W371" s="149"/>
      <c r="X371" s="149"/>
      <c r="Y371" s="149"/>
      <c r="Z371" s="149"/>
      <c r="AA371" s="149"/>
      <c r="AB371" s="149"/>
      <c r="AC371" s="149"/>
      <c r="AD371" s="148"/>
      <c r="AE371" s="148"/>
      <c r="AF371" s="148"/>
      <c r="DB371" s="149"/>
    </row>
    <row r="372" spans="2:106">
      <c r="B372" s="149"/>
      <c r="C372" s="149"/>
      <c r="D372" s="149"/>
      <c r="E372" s="149"/>
      <c r="F372" s="149"/>
      <c r="G372" s="149"/>
      <c r="H372" s="149"/>
      <c r="I372" s="149"/>
      <c r="J372" s="149"/>
      <c r="K372" s="149"/>
      <c r="L372" s="149"/>
      <c r="M372" s="149"/>
      <c r="N372" s="149"/>
      <c r="O372" s="149"/>
      <c r="P372" s="149"/>
      <c r="Q372" s="149"/>
      <c r="R372" s="149"/>
      <c r="S372" s="149"/>
      <c r="T372" s="149"/>
      <c r="U372" s="149"/>
      <c r="V372" s="149"/>
      <c r="W372" s="149"/>
      <c r="X372" s="149"/>
      <c r="Y372" s="149"/>
      <c r="Z372" s="149"/>
      <c r="AA372" s="149"/>
      <c r="AB372" s="149"/>
      <c r="AC372" s="149"/>
      <c r="AD372" s="148"/>
      <c r="AE372" s="148"/>
      <c r="AF372" s="148"/>
      <c r="DB372" s="149"/>
    </row>
    <row r="373" spans="2:106">
      <c r="B373" s="149"/>
      <c r="C373" s="149"/>
      <c r="D373" s="149"/>
      <c r="E373" s="149"/>
      <c r="F373" s="149"/>
      <c r="G373" s="149"/>
      <c r="H373" s="149"/>
      <c r="I373" s="149"/>
      <c r="J373" s="149"/>
      <c r="K373" s="149"/>
      <c r="L373" s="149"/>
      <c r="M373" s="149"/>
      <c r="N373" s="149"/>
      <c r="O373" s="149"/>
      <c r="P373" s="149"/>
      <c r="Q373" s="149"/>
      <c r="R373" s="149"/>
      <c r="S373" s="149"/>
      <c r="T373" s="149"/>
      <c r="U373" s="149"/>
      <c r="V373" s="149"/>
      <c r="W373" s="149"/>
      <c r="X373" s="149"/>
      <c r="Y373" s="149"/>
      <c r="Z373" s="149"/>
      <c r="AA373" s="149"/>
      <c r="AB373" s="149"/>
      <c r="AC373" s="149"/>
      <c r="AD373" s="148"/>
      <c r="AE373" s="148"/>
      <c r="AF373" s="148"/>
      <c r="DB373" s="149"/>
    </row>
    <row r="374" spans="2:106">
      <c r="B374" s="149"/>
      <c r="C374" s="149"/>
      <c r="D374" s="149"/>
      <c r="E374" s="149"/>
      <c r="F374" s="149"/>
      <c r="G374" s="149"/>
      <c r="H374" s="149"/>
      <c r="I374" s="149"/>
      <c r="J374" s="149"/>
      <c r="K374" s="149"/>
      <c r="L374" s="149"/>
      <c r="M374" s="149"/>
      <c r="N374" s="149"/>
      <c r="O374" s="149"/>
      <c r="P374" s="149"/>
      <c r="Q374" s="149"/>
      <c r="R374" s="149"/>
      <c r="S374" s="149"/>
      <c r="T374" s="149"/>
      <c r="U374" s="149"/>
      <c r="V374" s="149"/>
      <c r="W374" s="149"/>
      <c r="X374" s="149"/>
      <c r="Y374" s="149"/>
      <c r="Z374" s="149"/>
      <c r="AA374" s="149"/>
      <c r="AB374" s="149"/>
      <c r="AC374" s="149"/>
      <c r="AD374" s="148"/>
      <c r="AE374" s="148"/>
      <c r="AF374" s="148"/>
      <c r="DB374" s="149"/>
    </row>
    <row r="375" spans="2:106">
      <c r="B375" s="149"/>
      <c r="C375" s="149"/>
      <c r="D375" s="149"/>
      <c r="E375" s="149"/>
      <c r="F375" s="149"/>
      <c r="G375" s="149"/>
      <c r="H375" s="149"/>
      <c r="I375" s="149"/>
      <c r="J375" s="149"/>
      <c r="K375" s="149"/>
      <c r="L375" s="149"/>
      <c r="M375" s="149"/>
      <c r="N375" s="149"/>
      <c r="O375" s="149"/>
      <c r="P375" s="149"/>
      <c r="Q375" s="149"/>
      <c r="R375" s="149"/>
      <c r="S375" s="149"/>
      <c r="T375" s="149"/>
      <c r="U375" s="149"/>
      <c r="V375" s="149"/>
      <c r="W375" s="149"/>
      <c r="X375" s="149"/>
      <c r="Y375" s="149"/>
      <c r="Z375" s="149"/>
      <c r="AA375" s="149"/>
      <c r="AB375" s="149"/>
      <c r="AC375" s="149"/>
      <c r="AD375" s="148"/>
      <c r="AE375" s="148"/>
      <c r="AF375" s="148"/>
      <c r="DB375" s="149"/>
    </row>
    <row r="376" spans="2:106">
      <c r="B376" s="149"/>
      <c r="C376" s="149"/>
      <c r="D376" s="149"/>
      <c r="E376" s="149"/>
      <c r="F376" s="149"/>
      <c r="G376" s="149"/>
      <c r="H376" s="149"/>
      <c r="I376" s="149"/>
      <c r="J376" s="149"/>
      <c r="K376" s="149"/>
      <c r="L376" s="149"/>
      <c r="M376" s="149"/>
      <c r="N376" s="149"/>
      <c r="O376" s="149"/>
      <c r="P376" s="149"/>
      <c r="Q376" s="149"/>
      <c r="R376" s="149"/>
      <c r="S376" s="149"/>
      <c r="T376" s="149"/>
      <c r="U376" s="149"/>
      <c r="V376" s="149"/>
      <c r="W376" s="149"/>
      <c r="X376" s="149"/>
      <c r="Y376" s="149"/>
      <c r="Z376" s="149"/>
      <c r="AA376" s="149"/>
      <c r="AB376" s="149"/>
      <c r="AC376" s="149"/>
      <c r="AD376" s="148"/>
      <c r="AE376" s="148"/>
      <c r="AF376" s="148"/>
      <c r="DB376" s="149"/>
    </row>
    <row r="377" spans="2:106">
      <c r="B377" s="149"/>
      <c r="C377" s="149"/>
      <c r="D377" s="149"/>
      <c r="E377" s="149"/>
      <c r="F377" s="149"/>
      <c r="G377" s="149"/>
      <c r="H377" s="149"/>
      <c r="I377" s="149"/>
      <c r="J377" s="149"/>
      <c r="K377" s="149"/>
      <c r="L377" s="149"/>
      <c r="M377" s="149"/>
      <c r="N377" s="149"/>
      <c r="O377" s="149"/>
      <c r="P377" s="149"/>
      <c r="Q377" s="149"/>
      <c r="R377" s="149"/>
      <c r="S377" s="149"/>
      <c r="T377" s="149"/>
      <c r="U377" s="149"/>
      <c r="V377" s="149"/>
      <c r="W377" s="149"/>
      <c r="X377" s="149"/>
      <c r="Y377" s="149"/>
      <c r="Z377" s="149"/>
      <c r="AA377" s="149"/>
      <c r="AB377" s="149"/>
      <c r="AC377" s="149"/>
      <c r="AD377" s="148"/>
      <c r="AE377" s="148"/>
      <c r="AF377" s="148"/>
      <c r="DB377" s="149"/>
    </row>
    <row r="378" spans="2:106">
      <c r="B378" s="149"/>
      <c r="C378" s="149"/>
      <c r="D378" s="149"/>
      <c r="E378" s="149"/>
      <c r="F378" s="149"/>
      <c r="G378" s="149"/>
      <c r="H378" s="149"/>
      <c r="I378" s="149"/>
      <c r="J378" s="149"/>
      <c r="K378" s="149"/>
      <c r="L378" s="149"/>
      <c r="M378" s="149"/>
      <c r="N378" s="149"/>
      <c r="O378" s="149"/>
      <c r="P378" s="149"/>
      <c r="Q378" s="149"/>
      <c r="R378" s="149"/>
      <c r="S378" s="149"/>
      <c r="T378" s="149"/>
      <c r="U378" s="149"/>
      <c r="V378" s="149"/>
      <c r="W378" s="149"/>
      <c r="X378" s="149"/>
      <c r="Y378" s="149"/>
      <c r="Z378" s="149"/>
      <c r="AA378" s="149"/>
      <c r="AB378" s="149"/>
      <c r="AC378" s="149"/>
      <c r="AD378" s="148"/>
      <c r="AE378" s="148"/>
      <c r="AF378" s="148"/>
      <c r="DB378" s="149"/>
    </row>
    <row r="379" spans="2:106">
      <c r="B379" s="149"/>
      <c r="C379" s="149"/>
      <c r="D379" s="149"/>
      <c r="E379" s="149"/>
      <c r="F379" s="149"/>
      <c r="G379" s="149"/>
      <c r="H379" s="149"/>
      <c r="I379" s="149"/>
      <c r="J379" s="149"/>
      <c r="K379" s="149"/>
      <c r="L379" s="149"/>
      <c r="M379" s="149"/>
      <c r="N379" s="149"/>
      <c r="O379" s="149"/>
      <c r="P379" s="149"/>
      <c r="Q379" s="149"/>
      <c r="R379" s="149"/>
      <c r="S379" s="149"/>
      <c r="T379" s="149"/>
      <c r="U379" s="149"/>
      <c r="V379" s="149"/>
      <c r="W379" s="149"/>
      <c r="X379" s="149"/>
      <c r="Y379" s="149"/>
      <c r="Z379" s="149"/>
      <c r="AA379" s="149"/>
      <c r="AB379" s="149"/>
      <c r="AC379" s="149"/>
      <c r="AD379" s="148"/>
      <c r="AE379" s="148"/>
      <c r="AF379" s="148"/>
      <c r="DB379" s="149"/>
    </row>
    <row r="380" spans="2:106">
      <c r="B380" s="149"/>
      <c r="C380" s="149"/>
      <c r="D380" s="149"/>
      <c r="E380" s="149"/>
      <c r="F380" s="149"/>
      <c r="G380" s="149"/>
      <c r="H380" s="149"/>
      <c r="I380" s="149"/>
      <c r="J380" s="149"/>
      <c r="K380" s="149"/>
      <c r="L380" s="149"/>
      <c r="M380" s="149"/>
      <c r="N380" s="149"/>
      <c r="O380" s="149"/>
      <c r="P380" s="149"/>
      <c r="Q380" s="149"/>
      <c r="R380" s="149"/>
      <c r="S380" s="149"/>
      <c r="T380" s="149"/>
      <c r="U380" s="149"/>
      <c r="V380" s="149"/>
      <c r="W380" s="149"/>
      <c r="X380" s="149"/>
      <c r="Y380" s="149"/>
      <c r="Z380" s="149"/>
      <c r="AA380" s="149"/>
      <c r="AB380" s="149"/>
      <c r="AC380" s="149"/>
      <c r="AD380" s="148"/>
      <c r="AE380" s="148"/>
      <c r="AF380" s="148"/>
      <c r="DB380" s="149"/>
    </row>
    <row r="381" spans="2:106">
      <c r="B381" s="149"/>
      <c r="C381" s="149"/>
      <c r="D381" s="149"/>
      <c r="E381" s="149"/>
      <c r="F381" s="149"/>
      <c r="G381" s="149"/>
      <c r="H381" s="149"/>
      <c r="I381" s="149"/>
      <c r="J381" s="149"/>
      <c r="K381" s="149"/>
      <c r="L381" s="149"/>
      <c r="M381" s="149"/>
      <c r="N381" s="149"/>
      <c r="O381" s="149"/>
      <c r="P381" s="149"/>
      <c r="Q381" s="149"/>
      <c r="R381" s="149"/>
      <c r="S381" s="149"/>
      <c r="T381" s="149"/>
      <c r="U381" s="149"/>
      <c r="V381" s="149"/>
      <c r="W381" s="149"/>
      <c r="X381" s="149"/>
      <c r="Y381" s="149"/>
      <c r="Z381" s="149"/>
      <c r="AA381" s="149"/>
      <c r="AB381" s="149"/>
      <c r="AC381" s="149"/>
      <c r="AD381" s="148"/>
      <c r="AE381" s="148"/>
      <c r="AF381" s="148"/>
      <c r="DB381" s="149"/>
    </row>
    <row r="382" spans="2:106">
      <c r="B382" s="149"/>
      <c r="C382" s="149"/>
      <c r="D382" s="149"/>
      <c r="E382" s="149"/>
      <c r="F382" s="149"/>
      <c r="G382" s="149"/>
      <c r="H382" s="149"/>
      <c r="I382" s="149"/>
      <c r="J382" s="149"/>
      <c r="K382" s="149"/>
      <c r="L382" s="149"/>
      <c r="M382" s="149"/>
      <c r="N382" s="149"/>
      <c r="O382" s="149"/>
      <c r="P382" s="149"/>
      <c r="Q382" s="149"/>
      <c r="R382" s="149"/>
      <c r="S382" s="149"/>
      <c r="T382" s="149"/>
      <c r="U382" s="149"/>
      <c r="V382" s="149"/>
      <c r="W382" s="149"/>
      <c r="X382" s="149"/>
      <c r="Y382" s="149"/>
      <c r="Z382" s="149"/>
      <c r="AA382" s="149"/>
      <c r="AB382" s="149"/>
      <c r="AC382" s="149"/>
      <c r="AD382" s="148"/>
      <c r="AE382" s="148"/>
      <c r="AF382" s="148"/>
      <c r="DB382" s="149"/>
    </row>
    <row r="383" spans="2:106">
      <c r="B383" s="149"/>
      <c r="C383" s="149"/>
      <c r="D383" s="149"/>
      <c r="E383" s="149"/>
      <c r="F383" s="149"/>
      <c r="G383" s="149"/>
      <c r="H383" s="149"/>
      <c r="I383" s="149"/>
      <c r="J383" s="149"/>
      <c r="K383" s="149"/>
      <c r="L383" s="149"/>
      <c r="M383" s="149"/>
      <c r="N383" s="149"/>
      <c r="O383" s="149"/>
      <c r="P383" s="149"/>
      <c r="Q383" s="149"/>
      <c r="R383" s="149"/>
      <c r="S383" s="149"/>
      <c r="T383" s="149"/>
      <c r="U383" s="149"/>
      <c r="V383" s="149"/>
      <c r="W383" s="149"/>
      <c r="X383" s="149"/>
      <c r="Y383" s="149"/>
      <c r="Z383" s="149"/>
      <c r="AA383" s="149"/>
      <c r="AB383" s="149"/>
      <c r="AC383" s="149"/>
      <c r="AD383" s="148"/>
      <c r="AE383" s="148"/>
      <c r="AF383" s="148"/>
      <c r="DB383" s="149"/>
    </row>
    <row r="384" spans="2:106">
      <c r="B384" s="149"/>
      <c r="C384" s="149"/>
      <c r="D384" s="149"/>
      <c r="E384" s="149"/>
      <c r="F384" s="149"/>
      <c r="G384" s="149"/>
      <c r="H384" s="149"/>
      <c r="I384" s="149"/>
      <c r="J384" s="149"/>
      <c r="K384" s="149"/>
      <c r="L384" s="149"/>
      <c r="M384" s="149"/>
      <c r="N384" s="149"/>
      <c r="O384" s="149"/>
      <c r="P384" s="149"/>
      <c r="Q384" s="149"/>
      <c r="R384" s="149"/>
      <c r="S384" s="149"/>
      <c r="T384" s="149"/>
      <c r="U384" s="149"/>
      <c r="V384" s="149"/>
      <c r="W384" s="149"/>
      <c r="X384" s="149"/>
      <c r="Y384" s="149"/>
      <c r="Z384" s="149"/>
      <c r="AA384" s="149"/>
      <c r="AB384" s="149"/>
      <c r="AC384" s="149"/>
      <c r="AD384" s="148"/>
      <c r="AE384" s="148"/>
      <c r="AF384" s="148"/>
      <c r="DB384" s="149"/>
    </row>
    <row r="385" spans="2:106">
      <c r="B385" s="149"/>
      <c r="C385" s="149"/>
      <c r="D385" s="149"/>
      <c r="E385" s="149"/>
      <c r="F385" s="149"/>
      <c r="G385" s="149"/>
      <c r="H385" s="149"/>
      <c r="I385" s="149"/>
      <c r="J385" s="149"/>
      <c r="K385" s="149"/>
      <c r="L385" s="149"/>
      <c r="M385" s="149"/>
      <c r="N385" s="149"/>
      <c r="O385" s="149"/>
      <c r="P385" s="149"/>
      <c r="Q385" s="149"/>
      <c r="R385" s="149"/>
      <c r="S385" s="149"/>
      <c r="T385" s="149"/>
      <c r="U385" s="149"/>
      <c r="V385" s="149"/>
      <c r="W385" s="149"/>
      <c r="X385" s="149"/>
      <c r="Y385" s="149"/>
      <c r="Z385" s="149"/>
      <c r="AA385" s="149"/>
      <c r="AB385" s="149"/>
      <c r="AC385" s="149"/>
      <c r="AD385" s="148"/>
      <c r="AE385" s="148"/>
      <c r="AF385" s="148"/>
      <c r="DB385" s="149"/>
    </row>
    <row r="386" spans="2:106">
      <c r="B386" s="149"/>
      <c r="C386" s="149"/>
      <c r="D386" s="149"/>
      <c r="E386" s="149"/>
      <c r="F386" s="149"/>
      <c r="G386" s="149"/>
      <c r="H386" s="149"/>
      <c r="I386" s="149"/>
      <c r="J386" s="149"/>
      <c r="K386" s="149"/>
      <c r="L386" s="149"/>
      <c r="M386" s="149"/>
      <c r="N386" s="149"/>
      <c r="O386" s="149"/>
      <c r="P386" s="149"/>
      <c r="Q386" s="149"/>
      <c r="R386" s="149"/>
      <c r="S386" s="149"/>
      <c r="T386" s="149"/>
      <c r="U386" s="149"/>
      <c r="V386" s="149"/>
      <c r="W386" s="149"/>
      <c r="X386" s="149"/>
      <c r="Y386" s="149"/>
      <c r="Z386" s="149"/>
      <c r="AA386" s="149"/>
      <c r="AB386" s="149"/>
      <c r="AC386" s="149"/>
      <c r="AD386" s="148"/>
      <c r="AE386" s="148"/>
      <c r="AF386" s="148"/>
      <c r="DB386" s="149"/>
    </row>
    <row r="387" spans="2:106">
      <c r="B387" s="149"/>
      <c r="C387" s="149"/>
      <c r="D387" s="149"/>
      <c r="E387" s="149"/>
      <c r="F387" s="149"/>
      <c r="G387" s="149"/>
      <c r="H387" s="149"/>
      <c r="I387" s="149"/>
      <c r="J387" s="149"/>
      <c r="K387" s="149"/>
      <c r="L387" s="149"/>
      <c r="M387" s="149"/>
      <c r="N387" s="149"/>
      <c r="O387" s="149"/>
      <c r="P387" s="149"/>
      <c r="Q387" s="149"/>
      <c r="R387" s="149"/>
      <c r="S387" s="149"/>
      <c r="T387" s="149"/>
      <c r="U387" s="149"/>
      <c r="V387" s="149"/>
      <c r="W387" s="149"/>
      <c r="X387" s="149"/>
      <c r="Y387" s="149"/>
      <c r="Z387" s="149"/>
      <c r="AA387" s="149"/>
      <c r="AB387" s="149"/>
      <c r="AC387" s="149"/>
      <c r="AD387" s="148"/>
      <c r="AE387" s="148"/>
      <c r="AF387" s="148"/>
      <c r="DB387" s="149"/>
    </row>
    <row r="388" spans="2:106">
      <c r="B388" s="149"/>
      <c r="C388" s="149"/>
      <c r="D388" s="149"/>
      <c r="E388" s="149"/>
      <c r="F388" s="149"/>
      <c r="G388" s="149"/>
      <c r="H388" s="149"/>
      <c r="I388" s="149"/>
      <c r="J388" s="149"/>
      <c r="K388" s="149"/>
      <c r="L388" s="149"/>
      <c r="M388" s="149"/>
      <c r="N388" s="149"/>
      <c r="O388" s="149"/>
      <c r="P388" s="149"/>
      <c r="Q388" s="149"/>
      <c r="R388" s="149"/>
      <c r="S388" s="149"/>
      <c r="T388" s="149"/>
      <c r="U388" s="149"/>
      <c r="V388" s="149"/>
      <c r="W388" s="149"/>
      <c r="X388" s="149"/>
      <c r="Y388" s="149"/>
      <c r="Z388" s="149"/>
      <c r="AA388" s="149"/>
      <c r="AB388" s="149"/>
      <c r="AC388" s="149"/>
      <c r="AD388" s="148"/>
      <c r="AE388" s="148"/>
      <c r="AF388" s="148"/>
      <c r="DB388" s="149"/>
    </row>
    <row r="389" spans="2:106">
      <c r="B389" s="149"/>
      <c r="C389" s="149"/>
      <c r="D389" s="149"/>
      <c r="E389" s="149"/>
      <c r="F389" s="149"/>
      <c r="G389" s="149"/>
      <c r="H389" s="149"/>
      <c r="I389" s="149"/>
      <c r="J389" s="149"/>
      <c r="K389" s="149"/>
      <c r="L389" s="149"/>
      <c r="M389" s="149"/>
      <c r="N389" s="149"/>
      <c r="O389" s="149"/>
      <c r="P389" s="149"/>
      <c r="Q389" s="149"/>
      <c r="R389" s="149"/>
      <c r="S389" s="149"/>
      <c r="T389" s="149"/>
      <c r="U389" s="149"/>
      <c r="V389" s="149"/>
      <c r="W389" s="149"/>
      <c r="X389" s="149"/>
      <c r="Y389" s="149"/>
      <c r="Z389" s="149"/>
      <c r="AA389" s="149"/>
      <c r="AB389" s="149"/>
      <c r="AC389" s="149"/>
      <c r="AD389" s="148"/>
      <c r="AE389" s="148"/>
      <c r="AF389" s="148"/>
      <c r="DB389" s="149"/>
    </row>
    <row r="390" spans="2:106">
      <c r="B390" s="149"/>
      <c r="C390" s="149"/>
      <c r="D390" s="149"/>
      <c r="E390" s="149"/>
      <c r="F390" s="149"/>
      <c r="G390" s="149"/>
      <c r="H390" s="149"/>
      <c r="I390" s="149"/>
      <c r="J390" s="149"/>
      <c r="K390" s="149"/>
      <c r="L390" s="149"/>
      <c r="M390" s="149"/>
      <c r="N390" s="149"/>
      <c r="O390" s="149"/>
      <c r="P390" s="149"/>
      <c r="Q390" s="149"/>
      <c r="R390" s="149"/>
      <c r="S390" s="149"/>
      <c r="T390" s="149"/>
      <c r="U390" s="149"/>
      <c r="V390" s="149"/>
      <c r="W390" s="149"/>
      <c r="X390" s="149"/>
      <c r="Y390" s="149"/>
      <c r="Z390" s="149"/>
      <c r="AA390" s="149"/>
      <c r="AB390" s="149"/>
      <c r="AC390" s="149"/>
      <c r="AD390" s="148"/>
      <c r="AE390" s="148"/>
      <c r="AF390" s="148"/>
      <c r="DB390" s="149"/>
    </row>
    <row r="391" spans="2:106">
      <c r="B391" s="149"/>
      <c r="C391" s="149"/>
      <c r="D391" s="149"/>
      <c r="E391" s="149"/>
      <c r="F391" s="149"/>
      <c r="G391" s="149"/>
      <c r="H391" s="149"/>
      <c r="I391" s="149"/>
      <c r="J391" s="149"/>
      <c r="K391" s="149"/>
      <c r="L391" s="149"/>
      <c r="M391" s="149"/>
      <c r="N391" s="149"/>
      <c r="O391" s="149"/>
      <c r="P391" s="149"/>
      <c r="Q391" s="149"/>
      <c r="R391" s="149"/>
      <c r="S391" s="149"/>
      <c r="T391" s="149"/>
      <c r="U391" s="149"/>
      <c r="V391" s="149"/>
      <c r="W391" s="149"/>
      <c r="X391" s="149"/>
      <c r="Y391" s="149"/>
      <c r="Z391" s="149"/>
      <c r="AA391" s="149"/>
      <c r="AB391" s="149"/>
      <c r="AC391" s="149"/>
      <c r="AD391" s="148"/>
      <c r="AE391" s="148"/>
      <c r="AF391" s="148"/>
      <c r="DB391" s="149"/>
    </row>
    <row r="392" spans="2:106">
      <c r="B392" s="149"/>
      <c r="C392" s="149"/>
      <c r="D392" s="149"/>
      <c r="E392" s="149"/>
      <c r="F392" s="149"/>
      <c r="G392" s="149"/>
      <c r="H392" s="149"/>
      <c r="I392" s="149"/>
      <c r="J392" s="149"/>
      <c r="K392" s="149"/>
      <c r="L392" s="149"/>
      <c r="M392" s="149"/>
      <c r="N392" s="149"/>
      <c r="O392" s="149"/>
      <c r="P392" s="149"/>
      <c r="Q392" s="149"/>
      <c r="R392" s="149"/>
      <c r="S392" s="149"/>
      <c r="T392" s="149"/>
      <c r="U392" s="149"/>
      <c r="V392" s="149"/>
      <c r="W392" s="149"/>
      <c r="X392" s="149"/>
      <c r="Y392" s="149"/>
      <c r="Z392" s="149"/>
      <c r="AA392" s="149"/>
      <c r="AB392" s="149"/>
      <c r="AC392" s="149"/>
      <c r="AD392" s="148"/>
      <c r="AE392" s="148"/>
      <c r="AF392" s="148"/>
      <c r="DB392" s="149"/>
    </row>
    <row r="393" spans="2:106">
      <c r="B393" s="149"/>
      <c r="C393" s="149"/>
      <c r="D393" s="149"/>
      <c r="E393" s="149"/>
      <c r="F393" s="149"/>
      <c r="G393" s="149"/>
      <c r="H393" s="149"/>
      <c r="I393" s="149"/>
      <c r="J393" s="149"/>
      <c r="K393" s="149"/>
      <c r="L393" s="149"/>
      <c r="M393" s="149"/>
      <c r="N393" s="149"/>
      <c r="O393" s="149"/>
      <c r="P393" s="149"/>
      <c r="Q393" s="149"/>
      <c r="R393" s="149"/>
      <c r="S393" s="149"/>
      <c r="T393" s="149"/>
      <c r="U393" s="149"/>
      <c r="V393" s="149"/>
      <c r="W393" s="149"/>
      <c r="X393" s="149"/>
      <c r="Y393" s="149"/>
      <c r="Z393" s="149"/>
      <c r="AA393" s="149"/>
      <c r="AB393" s="149"/>
      <c r="AC393" s="149"/>
      <c r="AD393" s="148"/>
      <c r="AE393" s="148"/>
      <c r="AF393" s="148"/>
      <c r="DB393" s="149"/>
    </row>
    <row r="394" spans="2:106">
      <c r="B394" s="149"/>
      <c r="C394" s="149"/>
      <c r="D394" s="149"/>
      <c r="E394" s="149"/>
      <c r="F394" s="149"/>
      <c r="G394" s="149"/>
      <c r="H394" s="149"/>
      <c r="I394" s="149"/>
      <c r="J394" s="149"/>
      <c r="K394" s="149"/>
      <c r="L394" s="149"/>
      <c r="M394" s="149"/>
      <c r="N394" s="149"/>
      <c r="O394" s="149"/>
      <c r="P394" s="149"/>
      <c r="Q394" s="149"/>
      <c r="R394" s="149"/>
      <c r="S394" s="149"/>
      <c r="T394" s="149"/>
      <c r="U394" s="149"/>
      <c r="V394" s="149"/>
      <c r="W394" s="149"/>
      <c r="X394" s="149"/>
      <c r="Y394" s="149"/>
      <c r="Z394" s="149"/>
      <c r="AA394" s="149"/>
      <c r="AB394" s="149"/>
      <c r="AC394" s="149"/>
      <c r="AD394" s="148"/>
      <c r="AE394" s="148"/>
      <c r="AF394" s="148"/>
      <c r="DB394" s="149"/>
    </row>
    <row r="395" spans="2:106">
      <c r="B395" s="149"/>
      <c r="C395" s="149"/>
      <c r="D395" s="149"/>
      <c r="E395" s="149"/>
      <c r="F395" s="149"/>
      <c r="G395" s="149"/>
      <c r="H395" s="149"/>
      <c r="I395" s="149"/>
      <c r="J395" s="149"/>
      <c r="K395" s="149"/>
      <c r="L395" s="149"/>
      <c r="M395" s="149"/>
      <c r="N395" s="149"/>
      <c r="O395" s="149"/>
      <c r="P395" s="149"/>
      <c r="Q395" s="149"/>
      <c r="R395" s="149"/>
      <c r="S395" s="149"/>
      <c r="T395" s="149"/>
      <c r="U395" s="149"/>
      <c r="V395" s="149"/>
      <c r="W395" s="149"/>
      <c r="X395" s="149"/>
      <c r="Y395" s="149"/>
      <c r="Z395" s="149"/>
      <c r="AA395" s="149"/>
      <c r="AB395" s="149"/>
      <c r="AC395" s="149"/>
      <c r="AD395" s="148"/>
      <c r="AE395" s="148"/>
      <c r="AF395" s="148"/>
      <c r="DB395" s="149"/>
    </row>
    <row r="396" spans="2:106">
      <c r="B396" s="149"/>
      <c r="C396" s="149"/>
      <c r="D396" s="149"/>
      <c r="E396" s="149"/>
      <c r="F396" s="149"/>
      <c r="G396" s="149"/>
      <c r="H396" s="149"/>
      <c r="I396" s="149"/>
      <c r="J396" s="149"/>
      <c r="K396" s="149"/>
      <c r="L396" s="149"/>
      <c r="M396" s="149"/>
      <c r="N396" s="149"/>
      <c r="O396" s="149"/>
      <c r="P396" s="149"/>
      <c r="Q396" s="149"/>
      <c r="R396" s="149"/>
      <c r="S396" s="149"/>
      <c r="T396" s="149"/>
      <c r="U396" s="149"/>
      <c r="V396" s="149"/>
      <c r="W396" s="149"/>
      <c r="X396" s="149"/>
      <c r="Y396" s="149"/>
      <c r="Z396" s="149"/>
      <c r="AA396" s="149"/>
      <c r="AB396" s="149"/>
      <c r="AC396" s="149"/>
      <c r="AD396" s="148"/>
      <c r="AE396" s="148"/>
      <c r="AF396" s="148"/>
      <c r="DB396" s="149"/>
    </row>
    <row r="397" spans="2:106">
      <c r="B397" s="149"/>
      <c r="C397" s="149"/>
      <c r="D397" s="149"/>
      <c r="E397" s="149"/>
      <c r="F397" s="149"/>
      <c r="G397" s="149"/>
      <c r="H397" s="149"/>
      <c r="I397" s="149"/>
      <c r="J397" s="149"/>
      <c r="K397" s="149"/>
      <c r="L397" s="149"/>
      <c r="M397" s="149"/>
      <c r="N397" s="149"/>
      <c r="O397" s="149"/>
      <c r="P397" s="149"/>
      <c r="Q397" s="149"/>
      <c r="R397" s="149"/>
      <c r="S397" s="149"/>
      <c r="T397" s="149"/>
      <c r="U397" s="149"/>
      <c r="V397" s="149"/>
      <c r="W397" s="149"/>
      <c r="X397" s="149"/>
      <c r="Y397" s="149"/>
      <c r="Z397" s="149"/>
      <c r="AA397" s="149"/>
      <c r="AB397" s="149"/>
      <c r="AC397" s="149"/>
      <c r="AD397" s="148"/>
      <c r="AE397" s="148"/>
      <c r="AF397" s="148"/>
      <c r="DB397" s="149"/>
    </row>
    <row r="398" spans="2:106">
      <c r="B398" s="149"/>
      <c r="C398" s="149"/>
      <c r="D398" s="149"/>
      <c r="E398" s="149"/>
      <c r="F398" s="149"/>
      <c r="G398" s="149"/>
      <c r="H398" s="149"/>
      <c r="I398" s="149"/>
      <c r="J398" s="149"/>
      <c r="K398" s="149"/>
      <c r="L398" s="149"/>
      <c r="M398" s="149"/>
      <c r="N398" s="149"/>
      <c r="O398" s="149"/>
      <c r="P398" s="149"/>
      <c r="Q398" s="149"/>
      <c r="R398" s="149"/>
      <c r="S398" s="149"/>
      <c r="T398" s="149"/>
      <c r="U398" s="149"/>
      <c r="V398" s="149"/>
      <c r="W398" s="149"/>
      <c r="X398" s="149"/>
      <c r="Y398" s="149"/>
      <c r="Z398" s="149"/>
      <c r="AA398" s="149"/>
      <c r="AB398" s="149"/>
      <c r="AC398" s="149"/>
      <c r="AD398" s="148"/>
      <c r="AE398" s="148"/>
      <c r="AF398" s="148"/>
      <c r="DB398" s="149"/>
    </row>
    <row r="399" spans="2:106">
      <c r="B399" s="149"/>
      <c r="C399" s="149"/>
      <c r="D399" s="149"/>
      <c r="E399" s="149"/>
      <c r="F399" s="149"/>
      <c r="G399" s="149"/>
      <c r="H399" s="149"/>
      <c r="I399" s="149"/>
      <c r="J399" s="149"/>
      <c r="K399" s="149"/>
      <c r="L399" s="149"/>
      <c r="M399" s="149"/>
      <c r="N399" s="149"/>
      <c r="O399" s="149"/>
      <c r="P399" s="149"/>
      <c r="Q399" s="149"/>
      <c r="R399" s="149"/>
      <c r="S399" s="149"/>
      <c r="T399" s="149"/>
      <c r="U399" s="149"/>
      <c r="V399" s="149"/>
      <c r="W399" s="149"/>
      <c r="X399" s="149"/>
      <c r="Y399" s="149"/>
      <c r="Z399" s="149"/>
      <c r="AA399" s="149"/>
      <c r="AB399" s="149"/>
      <c r="AC399" s="149"/>
      <c r="AD399" s="148"/>
      <c r="AE399" s="148"/>
      <c r="AF399" s="148"/>
      <c r="DB399" s="149"/>
    </row>
    <row r="400" spans="2:106">
      <c r="B400" s="149"/>
      <c r="C400" s="149"/>
      <c r="D400" s="149"/>
      <c r="E400" s="149"/>
      <c r="F400" s="149"/>
      <c r="G400" s="149"/>
      <c r="H400" s="149"/>
      <c r="I400" s="149"/>
      <c r="J400" s="149"/>
      <c r="K400" s="149"/>
      <c r="L400" s="149"/>
      <c r="M400" s="149"/>
      <c r="N400" s="149"/>
      <c r="O400" s="149"/>
      <c r="P400" s="149"/>
      <c r="Q400" s="149"/>
      <c r="R400" s="149"/>
      <c r="S400" s="149"/>
      <c r="T400" s="149"/>
      <c r="U400" s="149"/>
      <c r="V400" s="149"/>
      <c r="W400" s="149"/>
      <c r="X400" s="149"/>
      <c r="Y400" s="149"/>
      <c r="Z400" s="149"/>
      <c r="AA400" s="149"/>
      <c r="AB400" s="149"/>
      <c r="AC400" s="149"/>
      <c r="AD400" s="148"/>
      <c r="AE400" s="148"/>
      <c r="AF400" s="148"/>
      <c r="DB400" s="149"/>
    </row>
    <row r="401" spans="2:106">
      <c r="B401" s="149"/>
      <c r="C401" s="149"/>
      <c r="D401" s="149"/>
      <c r="E401" s="149"/>
      <c r="F401" s="149"/>
      <c r="G401" s="149"/>
      <c r="H401" s="149"/>
      <c r="I401" s="149"/>
      <c r="J401" s="149"/>
      <c r="K401" s="149"/>
      <c r="L401" s="149"/>
      <c r="M401" s="149"/>
      <c r="N401" s="149"/>
      <c r="O401" s="149"/>
      <c r="P401" s="149"/>
      <c r="Q401" s="149"/>
      <c r="R401" s="149"/>
      <c r="S401" s="149"/>
      <c r="T401" s="149"/>
      <c r="U401" s="149"/>
      <c r="V401" s="149"/>
      <c r="W401" s="149"/>
      <c r="X401" s="149"/>
      <c r="Y401" s="149"/>
      <c r="Z401" s="149"/>
      <c r="AA401" s="149"/>
      <c r="AB401" s="149"/>
      <c r="AC401" s="149"/>
      <c r="AD401" s="148"/>
      <c r="AE401" s="148"/>
      <c r="AF401" s="148"/>
      <c r="DB401" s="149"/>
    </row>
    <row r="402" spans="2:106">
      <c r="B402" s="149"/>
      <c r="C402" s="149"/>
      <c r="D402" s="149"/>
      <c r="E402" s="149"/>
      <c r="F402" s="149"/>
      <c r="G402" s="149"/>
      <c r="H402" s="149"/>
      <c r="I402" s="149"/>
      <c r="J402" s="149"/>
      <c r="K402" s="149"/>
      <c r="L402" s="149"/>
      <c r="M402" s="149"/>
      <c r="N402" s="149"/>
      <c r="O402" s="149"/>
      <c r="P402" s="149"/>
      <c r="Q402" s="149"/>
      <c r="R402" s="149"/>
      <c r="S402" s="149"/>
      <c r="T402" s="149"/>
      <c r="U402" s="149"/>
      <c r="V402" s="149"/>
      <c r="W402" s="149"/>
      <c r="X402" s="149"/>
      <c r="Y402" s="149"/>
      <c r="Z402" s="149"/>
      <c r="AA402" s="149"/>
      <c r="AB402" s="149"/>
      <c r="AC402" s="149"/>
      <c r="AD402" s="148"/>
      <c r="AE402" s="148"/>
      <c r="AF402" s="148"/>
      <c r="DB402" s="149"/>
    </row>
    <row r="403" spans="2:106">
      <c r="B403" s="149"/>
      <c r="C403" s="149"/>
      <c r="D403" s="149"/>
      <c r="E403" s="149"/>
      <c r="F403" s="149"/>
      <c r="G403" s="149"/>
      <c r="H403" s="149"/>
      <c r="I403" s="149"/>
      <c r="J403" s="149"/>
      <c r="K403" s="149"/>
      <c r="L403" s="149"/>
      <c r="M403" s="149"/>
      <c r="N403" s="149"/>
      <c r="O403" s="149"/>
      <c r="P403" s="149"/>
      <c r="Q403" s="149"/>
      <c r="R403" s="149"/>
      <c r="S403" s="149"/>
      <c r="T403" s="149"/>
      <c r="U403" s="149"/>
      <c r="V403" s="149"/>
      <c r="W403" s="149"/>
      <c r="X403" s="149"/>
      <c r="Y403" s="149"/>
      <c r="Z403" s="149"/>
      <c r="AA403" s="149"/>
      <c r="AB403" s="149"/>
      <c r="AC403" s="149"/>
      <c r="AD403" s="148"/>
      <c r="AE403" s="148"/>
      <c r="AF403" s="148"/>
      <c r="DB403" s="149"/>
    </row>
    <row r="404" spans="2:106">
      <c r="B404" s="149"/>
      <c r="C404" s="149"/>
      <c r="D404" s="149"/>
      <c r="E404" s="149"/>
      <c r="F404" s="149"/>
      <c r="G404" s="149"/>
      <c r="H404" s="149"/>
      <c r="I404" s="149"/>
      <c r="J404" s="149"/>
      <c r="K404" s="149"/>
      <c r="L404" s="149"/>
      <c r="M404" s="149"/>
      <c r="N404" s="149"/>
      <c r="O404" s="149"/>
      <c r="P404" s="149"/>
      <c r="Q404" s="149"/>
      <c r="R404" s="149"/>
      <c r="S404" s="149"/>
      <c r="T404" s="149"/>
      <c r="U404" s="149"/>
      <c r="V404" s="149"/>
      <c r="W404" s="149"/>
      <c r="X404" s="149"/>
      <c r="Y404" s="149"/>
      <c r="Z404" s="149"/>
      <c r="AA404" s="149"/>
      <c r="AB404" s="149"/>
      <c r="AC404" s="149"/>
      <c r="AD404" s="148"/>
      <c r="AE404" s="148"/>
      <c r="AF404" s="148"/>
      <c r="DB404" s="149"/>
    </row>
    <row r="405" spans="2:106">
      <c r="B405" s="149"/>
      <c r="C405" s="149"/>
      <c r="D405" s="149"/>
      <c r="E405" s="149"/>
      <c r="F405" s="149"/>
      <c r="G405" s="149"/>
      <c r="H405" s="149"/>
      <c r="I405" s="149"/>
      <c r="J405" s="149"/>
      <c r="K405" s="149"/>
      <c r="L405" s="149"/>
      <c r="M405" s="149"/>
      <c r="N405" s="149"/>
      <c r="O405" s="149"/>
      <c r="P405" s="149"/>
      <c r="Q405" s="149"/>
      <c r="R405" s="149"/>
      <c r="S405" s="149"/>
      <c r="T405" s="149"/>
      <c r="U405" s="149"/>
      <c r="V405" s="149"/>
      <c r="W405" s="149"/>
      <c r="X405" s="149"/>
      <c r="Y405" s="149"/>
      <c r="Z405" s="149"/>
      <c r="AA405" s="149"/>
      <c r="AB405" s="149"/>
      <c r="AC405" s="149"/>
      <c r="AD405" s="148"/>
      <c r="AE405" s="148"/>
      <c r="AF405" s="148"/>
      <c r="DB405" s="149"/>
    </row>
    <row r="406" spans="2:106">
      <c r="B406" s="149"/>
      <c r="C406" s="149"/>
      <c r="D406" s="149"/>
      <c r="E406" s="149"/>
      <c r="F406" s="149"/>
      <c r="G406" s="149"/>
      <c r="H406" s="149"/>
      <c r="I406" s="149"/>
      <c r="J406" s="149"/>
      <c r="K406" s="149"/>
      <c r="L406" s="149"/>
      <c r="M406" s="149"/>
      <c r="N406" s="149"/>
      <c r="O406" s="149"/>
      <c r="P406" s="149"/>
      <c r="Q406" s="149"/>
      <c r="R406" s="149"/>
      <c r="S406" s="149"/>
      <c r="T406" s="149"/>
      <c r="U406" s="149"/>
      <c r="V406" s="149"/>
      <c r="W406" s="149"/>
      <c r="X406" s="149"/>
      <c r="Y406" s="149"/>
      <c r="Z406" s="149"/>
      <c r="AA406" s="149"/>
      <c r="AB406" s="149"/>
      <c r="AC406" s="149"/>
      <c r="AD406" s="148"/>
      <c r="AE406" s="148"/>
      <c r="AF406" s="148"/>
      <c r="DB406" s="149"/>
    </row>
    <row r="407" spans="2:106">
      <c r="B407" s="149"/>
      <c r="C407" s="149"/>
      <c r="D407" s="149"/>
      <c r="E407" s="149"/>
      <c r="F407" s="149"/>
      <c r="G407" s="149"/>
      <c r="H407" s="149"/>
      <c r="I407" s="149"/>
      <c r="J407" s="149"/>
      <c r="K407" s="149"/>
      <c r="L407" s="149"/>
      <c r="M407" s="149"/>
      <c r="N407" s="149"/>
      <c r="O407" s="149"/>
      <c r="P407" s="149"/>
      <c r="Q407" s="149"/>
      <c r="R407" s="149"/>
      <c r="S407" s="149"/>
      <c r="T407" s="149"/>
      <c r="U407" s="149"/>
      <c r="V407" s="149"/>
      <c r="W407" s="149"/>
      <c r="X407" s="149"/>
      <c r="Y407" s="149"/>
      <c r="Z407" s="149"/>
      <c r="AA407" s="149"/>
      <c r="AB407" s="149"/>
      <c r="AC407" s="149"/>
      <c r="AD407" s="148"/>
      <c r="AE407" s="148"/>
      <c r="AF407" s="148"/>
      <c r="DB407" s="149"/>
    </row>
    <row r="408" spans="2:106">
      <c r="B408" s="149"/>
      <c r="C408" s="149"/>
      <c r="D408" s="149"/>
      <c r="E408" s="149"/>
      <c r="F408" s="149"/>
      <c r="G408" s="149"/>
      <c r="H408" s="149"/>
      <c r="I408" s="149"/>
      <c r="J408" s="149"/>
      <c r="K408" s="149"/>
      <c r="L408" s="149"/>
      <c r="M408" s="149"/>
      <c r="N408" s="149"/>
      <c r="O408" s="149"/>
      <c r="P408" s="149"/>
      <c r="Q408" s="149"/>
      <c r="R408" s="149"/>
      <c r="S408" s="149"/>
      <c r="T408" s="149"/>
      <c r="U408" s="149"/>
      <c r="V408" s="149"/>
      <c r="W408" s="149"/>
      <c r="X408" s="149"/>
      <c r="Y408" s="149"/>
      <c r="Z408" s="149"/>
      <c r="AA408" s="149"/>
      <c r="AB408" s="149"/>
      <c r="AC408" s="149"/>
      <c r="AD408" s="148"/>
      <c r="AE408" s="148"/>
      <c r="AF408" s="148"/>
      <c r="DB408" s="149"/>
    </row>
    <row r="409" spans="2:106">
      <c r="B409" s="149"/>
      <c r="C409" s="149"/>
      <c r="D409" s="149"/>
      <c r="E409" s="149"/>
      <c r="F409" s="149"/>
      <c r="G409" s="149"/>
      <c r="H409" s="149"/>
      <c r="I409" s="149"/>
      <c r="J409" s="149"/>
      <c r="K409" s="149"/>
      <c r="L409" s="149"/>
      <c r="M409" s="149"/>
      <c r="N409" s="149"/>
      <c r="O409" s="149"/>
      <c r="P409" s="149"/>
      <c r="Q409" s="149"/>
      <c r="R409" s="149"/>
      <c r="S409" s="149"/>
      <c r="T409" s="149"/>
      <c r="U409" s="149"/>
      <c r="V409" s="149"/>
      <c r="W409" s="149"/>
      <c r="X409" s="149"/>
      <c r="Y409" s="149"/>
      <c r="Z409" s="149"/>
      <c r="AA409" s="149"/>
      <c r="AB409" s="149"/>
      <c r="AC409" s="149"/>
      <c r="AD409" s="148"/>
      <c r="AE409" s="148"/>
      <c r="AF409" s="148"/>
      <c r="DB409" s="149"/>
    </row>
    <row r="410" spans="2:106">
      <c r="B410" s="149"/>
      <c r="C410" s="149"/>
      <c r="D410" s="149"/>
      <c r="E410" s="149"/>
      <c r="F410" s="149"/>
      <c r="G410" s="149"/>
      <c r="H410" s="149"/>
      <c r="I410" s="149"/>
      <c r="J410" s="149"/>
      <c r="K410" s="149"/>
      <c r="L410" s="149"/>
      <c r="M410" s="149"/>
      <c r="N410" s="149"/>
      <c r="O410" s="149"/>
      <c r="P410" s="149"/>
      <c r="Q410" s="149"/>
      <c r="R410" s="149"/>
      <c r="S410" s="149"/>
      <c r="T410" s="149"/>
      <c r="U410" s="149"/>
      <c r="V410" s="149"/>
      <c r="W410" s="149"/>
      <c r="X410" s="149"/>
      <c r="Y410" s="149"/>
      <c r="Z410" s="149"/>
      <c r="AA410" s="149"/>
      <c r="AB410" s="149"/>
      <c r="AC410" s="149"/>
      <c r="AD410" s="148"/>
      <c r="AE410" s="148"/>
      <c r="AF410" s="148"/>
      <c r="DB410" s="149"/>
    </row>
    <row r="411" spans="2:106">
      <c r="B411" s="149"/>
      <c r="C411" s="149"/>
      <c r="D411" s="149"/>
      <c r="E411" s="149"/>
      <c r="F411" s="149"/>
      <c r="G411" s="149"/>
      <c r="H411" s="149"/>
      <c r="I411" s="149"/>
      <c r="J411" s="149"/>
      <c r="K411" s="149"/>
      <c r="L411" s="149"/>
      <c r="M411" s="149"/>
      <c r="N411" s="149"/>
      <c r="O411" s="149"/>
      <c r="P411" s="149"/>
      <c r="Q411" s="149"/>
      <c r="R411" s="149"/>
      <c r="S411" s="149"/>
      <c r="T411" s="149"/>
      <c r="U411" s="149"/>
      <c r="V411" s="149"/>
      <c r="W411" s="149"/>
      <c r="X411" s="149"/>
      <c r="Y411" s="149"/>
      <c r="Z411" s="149"/>
      <c r="AA411" s="149"/>
      <c r="AB411" s="149"/>
      <c r="AC411" s="149"/>
      <c r="AD411" s="148"/>
      <c r="AE411" s="148"/>
      <c r="AF411" s="148"/>
      <c r="DB411" s="149"/>
    </row>
    <row r="412" spans="2:106">
      <c r="B412" s="149"/>
      <c r="C412" s="149"/>
      <c r="D412" s="149"/>
      <c r="E412" s="149"/>
      <c r="F412" s="149"/>
      <c r="G412" s="149"/>
      <c r="H412" s="149"/>
      <c r="I412" s="149"/>
      <c r="J412" s="149"/>
      <c r="K412" s="149"/>
      <c r="L412" s="149"/>
      <c r="M412" s="149"/>
      <c r="N412" s="149"/>
      <c r="O412" s="149"/>
      <c r="P412" s="149"/>
      <c r="Q412" s="149"/>
      <c r="R412" s="149"/>
      <c r="S412" s="149"/>
      <c r="T412" s="149"/>
      <c r="U412" s="149"/>
      <c r="V412" s="149"/>
      <c r="W412" s="149"/>
      <c r="X412" s="149"/>
      <c r="Y412" s="149"/>
      <c r="Z412" s="149"/>
      <c r="AA412" s="149"/>
      <c r="AB412" s="149"/>
      <c r="AC412" s="149"/>
      <c r="AD412" s="148"/>
      <c r="AE412" s="148"/>
      <c r="AF412" s="148"/>
      <c r="DB412" s="149"/>
    </row>
    <row r="413" spans="2:106">
      <c r="B413" s="149"/>
      <c r="C413" s="149"/>
      <c r="D413" s="149"/>
      <c r="E413" s="149"/>
      <c r="F413" s="149"/>
      <c r="G413" s="149"/>
      <c r="H413" s="149"/>
      <c r="I413" s="149"/>
      <c r="J413" s="149"/>
      <c r="K413" s="149"/>
      <c r="L413" s="149"/>
      <c r="M413" s="149"/>
      <c r="N413" s="149"/>
      <c r="O413" s="149"/>
      <c r="P413" s="149"/>
      <c r="Q413" s="149"/>
      <c r="R413" s="149"/>
      <c r="S413" s="149"/>
      <c r="T413" s="149"/>
      <c r="U413" s="149"/>
      <c r="V413" s="149"/>
      <c r="W413" s="149"/>
      <c r="X413" s="149"/>
      <c r="Y413" s="149"/>
      <c r="Z413" s="149"/>
      <c r="AA413" s="149"/>
      <c r="AB413" s="149"/>
      <c r="AC413" s="149"/>
      <c r="AD413" s="148"/>
      <c r="AE413" s="148"/>
      <c r="AF413" s="148"/>
      <c r="DB413" s="149"/>
    </row>
    <row r="414" spans="2:106">
      <c r="B414" s="149"/>
      <c r="C414" s="149"/>
      <c r="D414" s="149"/>
      <c r="E414" s="149"/>
      <c r="F414" s="149"/>
      <c r="G414" s="149"/>
      <c r="H414" s="149"/>
      <c r="I414" s="149"/>
      <c r="J414" s="149"/>
      <c r="K414" s="149"/>
      <c r="L414" s="149"/>
      <c r="M414" s="149"/>
      <c r="N414" s="149"/>
      <c r="O414" s="149"/>
      <c r="P414" s="149"/>
      <c r="Q414" s="149"/>
      <c r="R414" s="149"/>
      <c r="S414" s="149"/>
      <c r="T414" s="149"/>
      <c r="U414" s="149"/>
      <c r="V414" s="149"/>
      <c r="W414" s="149"/>
      <c r="X414" s="149"/>
      <c r="Y414" s="149"/>
      <c r="Z414" s="149"/>
      <c r="AA414" s="149"/>
      <c r="AB414" s="149"/>
      <c r="AC414" s="149"/>
      <c r="AD414" s="148"/>
      <c r="AE414" s="148"/>
      <c r="AF414" s="148"/>
      <c r="DB414" s="149"/>
    </row>
    <row r="415" spans="2:106">
      <c r="B415" s="149"/>
      <c r="C415" s="149"/>
      <c r="D415" s="149"/>
      <c r="E415" s="149"/>
      <c r="F415" s="149"/>
      <c r="G415" s="149"/>
      <c r="H415" s="149"/>
      <c r="I415" s="149"/>
      <c r="J415" s="149"/>
      <c r="K415" s="149"/>
      <c r="L415" s="149"/>
      <c r="M415" s="149"/>
      <c r="N415" s="149"/>
      <c r="O415" s="149"/>
      <c r="P415" s="149"/>
      <c r="Q415" s="149"/>
      <c r="R415" s="149"/>
      <c r="S415" s="149"/>
      <c r="T415" s="149"/>
      <c r="U415" s="149"/>
      <c r="V415" s="149"/>
      <c r="W415" s="149"/>
      <c r="X415" s="149"/>
      <c r="Y415" s="149"/>
      <c r="Z415" s="149"/>
      <c r="AA415" s="149"/>
      <c r="AB415" s="149"/>
      <c r="AC415" s="149"/>
      <c r="AD415" s="148"/>
      <c r="AE415" s="148"/>
      <c r="AF415" s="148"/>
      <c r="DB415" s="149"/>
    </row>
    <row r="416" spans="2:106">
      <c r="B416" s="149"/>
      <c r="C416" s="149"/>
      <c r="D416" s="149"/>
      <c r="E416" s="149"/>
      <c r="F416" s="149"/>
      <c r="G416" s="149"/>
      <c r="H416" s="149"/>
      <c r="I416" s="149"/>
      <c r="J416" s="149"/>
      <c r="K416" s="149"/>
      <c r="L416" s="149"/>
      <c r="M416" s="149"/>
      <c r="N416" s="149"/>
      <c r="O416" s="149"/>
      <c r="P416" s="149"/>
      <c r="Q416" s="149"/>
      <c r="R416" s="149"/>
      <c r="S416" s="149"/>
      <c r="T416" s="149"/>
      <c r="U416" s="149"/>
      <c r="V416" s="149"/>
      <c r="W416" s="149"/>
      <c r="X416" s="149"/>
      <c r="Y416" s="149"/>
      <c r="Z416" s="149"/>
      <c r="AA416" s="149"/>
      <c r="AB416" s="149"/>
      <c r="AC416" s="149"/>
      <c r="AD416" s="148"/>
      <c r="AE416" s="148"/>
      <c r="AF416" s="148"/>
      <c r="DB416" s="149"/>
    </row>
    <row r="417" spans="2:106">
      <c r="B417" s="149"/>
      <c r="C417" s="149"/>
      <c r="D417" s="149"/>
      <c r="E417" s="149"/>
      <c r="F417" s="149"/>
      <c r="G417" s="149"/>
      <c r="H417" s="149"/>
      <c r="I417" s="149"/>
      <c r="J417" s="149"/>
      <c r="K417" s="149"/>
      <c r="L417" s="149"/>
      <c r="M417" s="149"/>
      <c r="N417" s="149"/>
      <c r="O417" s="149"/>
      <c r="P417" s="149"/>
      <c r="Q417" s="149"/>
      <c r="R417" s="149"/>
      <c r="S417" s="149"/>
      <c r="T417" s="149"/>
      <c r="U417" s="149"/>
      <c r="V417" s="149"/>
      <c r="W417" s="149"/>
      <c r="X417" s="149"/>
      <c r="Y417" s="149"/>
      <c r="Z417" s="149"/>
      <c r="AA417" s="149"/>
      <c r="AB417" s="149"/>
      <c r="AC417" s="149"/>
      <c r="AD417" s="148"/>
      <c r="AE417" s="148"/>
      <c r="AF417" s="148"/>
      <c r="DB417" s="149"/>
    </row>
    <row r="418" spans="2:106">
      <c r="B418" s="149"/>
      <c r="C418" s="149"/>
      <c r="D418" s="149"/>
      <c r="E418" s="149"/>
      <c r="F418" s="149"/>
      <c r="G418" s="149"/>
      <c r="H418" s="149"/>
      <c r="I418" s="149"/>
      <c r="J418" s="149"/>
      <c r="K418" s="149"/>
      <c r="L418" s="149"/>
      <c r="M418" s="149"/>
      <c r="N418" s="149"/>
      <c r="O418" s="149"/>
      <c r="P418" s="149"/>
      <c r="Q418" s="149"/>
      <c r="R418" s="149"/>
      <c r="S418" s="149"/>
      <c r="T418" s="149"/>
      <c r="U418" s="149"/>
      <c r="V418" s="149"/>
      <c r="W418" s="149"/>
      <c r="X418" s="149"/>
      <c r="Y418" s="149"/>
      <c r="Z418" s="149"/>
      <c r="AA418" s="149"/>
      <c r="AB418" s="149"/>
      <c r="AC418" s="149"/>
      <c r="AD418" s="148"/>
      <c r="AE418" s="148"/>
      <c r="AF418" s="148"/>
      <c r="DB418" s="149"/>
    </row>
    <row r="419" spans="2:106">
      <c r="B419" s="149"/>
      <c r="C419" s="149"/>
      <c r="D419" s="149"/>
      <c r="E419" s="149"/>
      <c r="F419" s="149"/>
      <c r="G419" s="149"/>
      <c r="H419" s="149"/>
      <c r="I419" s="149"/>
      <c r="J419" s="149"/>
      <c r="K419" s="149"/>
      <c r="L419" s="149"/>
      <c r="M419" s="149"/>
      <c r="N419" s="149"/>
      <c r="O419" s="149"/>
      <c r="P419" s="149"/>
      <c r="Q419" s="149"/>
      <c r="R419" s="149"/>
      <c r="S419" s="149"/>
      <c r="T419" s="149"/>
      <c r="U419" s="149"/>
      <c r="V419" s="149"/>
      <c r="W419" s="149"/>
      <c r="X419" s="149"/>
      <c r="Y419" s="149"/>
      <c r="Z419" s="149"/>
      <c r="AA419" s="149"/>
      <c r="AB419" s="149"/>
      <c r="AC419" s="149"/>
      <c r="AD419" s="148"/>
      <c r="AE419" s="148"/>
      <c r="AF419" s="148"/>
      <c r="DB419" s="149"/>
    </row>
    <row r="420" spans="2:106">
      <c r="B420" s="149"/>
      <c r="C420" s="149"/>
      <c r="D420" s="149"/>
      <c r="E420" s="149"/>
      <c r="F420" s="149"/>
      <c r="G420" s="149"/>
      <c r="H420" s="149"/>
      <c r="I420" s="149"/>
      <c r="J420" s="149"/>
      <c r="K420" s="149"/>
      <c r="L420" s="149"/>
      <c r="M420" s="149"/>
      <c r="N420" s="149"/>
      <c r="O420" s="149"/>
      <c r="P420" s="149"/>
      <c r="Q420" s="149"/>
      <c r="R420" s="149"/>
      <c r="S420" s="149"/>
      <c r="T420" s="149"/>
      <c r="U420" s="149"/>
      <c r="V420" s="149"/>
      <c r="W420" s="149"/>
      <c r="X420" s="149"/>
      <c r="Y420" s="149"/>
      <c r="Z420" s="149"/>
      <c r="AA420" s="149"/>
      <c r="AB420" s="149"/>
      <c r="AC420" s="149"/>
      <c r="AD420" s="148"/>
      <c r="AE420" s="148"/>
      <c r="AF420" s="148"/>
      <c r="DB420" s="149"/>
    </row>
    <row r="421" spans="2:106">
      <c r="B421" s="149"/>
      <c r="C421" s="149"/>
      <c r="D421" s="149"/>
      <c r="E421" s="149"/>
      <c r="F421" s="149"/>
      <c r="G421" s="149"/>
      <c r="H421" s="149"/>
      <c r="I421" s="149"/>
      <c r="J421" s="149"/>
      <c r="K421" s="149"/>
      <c r="L421" s="149"/>
      <c r="M421" s="149"/>
      <c r="N421" s="149"/>
      <c r="O421" s="149"/>
      <c r="P421" s="149"/>
      <c r="Q421" s="149"/>
      <c r="R421" s="149"/>
      <c r="S421" s="149"/>
      <c r="T421" s="149"/>
      <c r="U421" s="149"/>
      <c r="V421" s="149"/>
      <c r="W421" s="149"/>
      <c r="X421" s="149"/>
      <c r="Y421" s="149"/>
      <c r="Z421" s="149"/>
      <c r="AA421" s="149"/>
      <c r="AB421" s="149"/>
      <c r="AC421" s="149"/>
      <c r="AD421" s="148"/>
      <c r="AE421" s="148"/>
      <c r="AF421" s="148"/>
      <c r="DB421" s="149"/>
    </row>
    <row r="422" spans="2:106">
      <c r="B422" s="149"/>
      <c r="C422" s="149"/>
      <c r="D422" s="149"/>
      <c r="E422" s="149"/>
      <c r="F422" s="149"/>
      <c r="G422" s="149"/>
      <c r="H422" s="149"/>
      <c r="I422" s="149"/>
      <c r="J422" s="149"/>
      <c r="K422" s="149"/>
      <c r="L422" s="149"/>
      <c r="M422" s="149"/>
      <c r="N422" s="149"/>
      <c r="O422" s="149"/>
      <c r="P422" s="149"/>
      <c r="Q422" s="149"/>
      <c r="R422" s="149"/>
      <c r="S422" s="149"/>
      <c r="T422" s="149"/>
      <c r="U422" s="149"/>
      <c r="V422" s="149"/>
      <c r="W422" s="149"/>
      <c r="X422" s="149"/>
      <c r="Y422" s="149"/>
      <c r="Z422" s="149"/>
      <c r="AA422" s="149"/>
      <c r="AB422" s="149"/>
      <c r="AC422" s="149"/>
      <c r="AD422" s="148"/>
      <c r="AE422" s="148"/>
      <c r="AF422" s="148"/>
      <c r="DB422" s="149"/>
    </row>
    <row r="423" spans="2:106">
      <c r="B423" s="149"/>
      <c r="C423" s="149"/>
      <c r="D423" s="149"/>
      <c r="E423" s="149"/>
      <c r="F423" s="149"/>
      <c r="G423" s="149"/>
      <c r="H423" s="149"/>
      <c r="I423" s="149"/>
      <c r="J423" s="149"/>
      <c r="K423" s="149"/>
      <c r="L423" s="149"/>
      <c r="M423" s="149"/>
      <c r="N423" s="149"/>
      <c r="O423" s="149"/>
      <c r="P423" s="149"/>
      <c r="Q423" s="149"/>
      <c r="R423" s="149"/>
      <c r="S423" s="149"/>
      <c r="T423" s="149"/>
      <c r="U423" s="149"/>
      <c r="V423" s="149"/>
      <c r="W423" s="149"/>
      <c r="X423" s="149"/>
      <c r="Y423" s="149"/>
      <c r="Z423" s="149"/>
      <c r="AA423" s="149"/>
      <c r="AB423" s="149"/>
      <c r="AC423" s="149"/>
      <c r="AD423" s="148"/>
      <c r="AE423" s="148"/>
      <c r="AF423" s="148"/>
      <c r="DB423" s="149"/>
    </row>
    <row r="424" spans="2:106">
      <c r="B424" s="149"/>
      <c r="C424" s="149"/>
      <c r="D424" s="149"/>
      <c r="E424" s="149"/>
      <c r="F424" s="149"/>
      <c r="G424" s="149"/>
      <c r="H424" s="149"/>
      <c r="I424" s="149"/>
      <c r="J424" s="149"/>
      <c r="K424" s="149"/>
      <c r="L424" s="149"/>
      <c r="M424" s="149"/>
      <c r="N424" s="149"/>
      <c r="O424" s="149"/>
      <c r="P424" s="149"/>
      <c r="Q424" s="149"/>
      <c r="R424" s="149"/>
      <c r="S424" s="149"/>
      <c r="T424" s="149"/>
      <c r="U424" s="149"/>
      <c r="V424" s="149"/>
      <c r="W424" s="149"/>
      <c r="X424" s="149"/>
      <c r="Y424" s="149"/>
      <c r="Z424" s="149"/>
      <c r="AA424" s="149"/>
      <c r="AB424" s="149"/>
      <c r="AC424" s="149"/>
      <c r="AD424" s="148"/>
      <c r="AE424" s="148"/>
      <c r="AF424" s="148"/>
      <c r="DB424" s="149"/>
    </row>
    <row r="425" spans="2:106">
      <c r="B425" s="149"/>
      <c r="C425" s="149"/>
      <c r="D425" s="149"/>
      <c r="E425" s="149"/>
      <c r="F425" s="149"/>
      <c r="G425" s="149"/>
      <c r="H425" s="149"/>
      <c r="I425" s="149"/>
      <c r="J425" s="149"/>
      <c r="K425" s="149"/>
      <c r="L425" s="149"/>
      <c r="M425" s="149"/>
      <c r="N425" s="149"/>
      <c r="O425" s="149"/>
      <c r="P425" s="149"/>
      <c r="Q425" s="149"/>
      <c r="R425" s="149"/>
      <c r="S425" s="149"/>
      <c r="T425" s="149"/>
      <c r="U425" s="149"/>
      <c r="V425" s="149"/>
      <c r="W425" s="149"/>
      <c r="X425" s="149"/>
      <c r="Y425" s="149"/>
      <c r="Z425" s="149"/>
      <c r="AA425" s="149"/>
      <c r="AB425" s="149"/>
      <c r="AC425" s="149"/>
      <c r="AD425" s="148"/>
      <c r="AE425" s="148"/>
      <c r="AF425" s="148"/>
      <c r="DB425" s="149"/>
    </row>
    <row r="426" spans="2:106">
      <c r="B426" s="149"/>
      <c r="C426" s="149"/>
      <c r="D426" s="149"/>
      <c r="E426" s="149"/>
      <c r="F426" s="149"/>
      <c r="G426" s="149"/>
      <c r="H426" s="149"/>
      <c r="I426" s="149"/>
      <c r="J426" s="149"/>
      <c r="K426" s="149"/>
      <c r="L426" s="149"/>
      <c r="M426" s="149"/>
      <c r="N426" s="149"/>
      <c r="O426" s="149"/>
      <c r="P426" s="149"/>
      <c r="Q426" s="149"/>
      <c r="R426" s="149"/>
      <c r="S426" s="149"/>
      <c r="T426" s="149"/>
      <c r="U426" s="149"/>
      <c r="V426" s="149"/>
      <c r="W426" s="149"/>
      <c r="X426" s="149"/>
      <c r="Y426" s="149"/>
      <c r="Z426" s="149"/>
      <c r="AA426" s="149"/>
      <c r="AB426" s="149"/>
      <c r="AC426" s="149"/>
      <c r="AD426" s="148"/>
      <c r="AE426" s="148"/>
      <c r="AF426" s="148"/>
      <c r="DB426" s="149"/>
    </row>
    <row r="427" spans="2:106">
      <c r="B427" s="149"/>
      <c r="C427" s="149"/>
      <c r="D427" s="149"/>
      <c r="E427" s="149"/>
      <c r="F427" s="149"/>
      <c r="G427" s="149"/>
      <c r="H427" s="149"/>
      <c r="I427" s="149"/>
      <c r="J427" s="149"/>
      <c r="K427" s="149"/>
      <c r="L427" s="149"/>
      <c r="M427" s="149"/>
      <c r="N427" s="149"/>
      <c r="O427" s="149"/>
      <c r="P427" s="149"/>
      <c r="Q427" s="149"/>
      <c r="R427" s="149"/>
      <c r="S427" s="149"/>
      <c r="T427" s="149"/>
      <c r="U427" s="149"/>
      <c r="V427" s="149"/>
      <c r="W427" s="149"/>
      <c r="X427" s="149"/>
      <c r="Y427" s="149"/>
      <c r="Z427" s="149"/>
      <c r="AA427" s="149"/>
      <c r="AB427" s="149"/>
      <c r="AC427" s="149"/>
      <c r="AD427" s="148"/>
      <c r="AE427" s="148"/>
      <c r="AF427" s="148"/>
      <c r="DB427" s="149"/>
    </row>
    <row r="428" spans="2:106">
      <c r="B428" s="149"/>
      <c r="C428" s="149"/>
      <c r="D428" s="149"/>
      <c r="E428" s="149"/>
      <c r="F428" s="149"/>
      <c r="G428" s="149"/>
      <c r="H428" s="149"/>
      <c r="I428" s="149"/>
      <c r="J428" s="149"/>
      <c r="K428" s="149"/>
      <c r="L428" s="149"/>
      <c r="M428" s="149"/>
      <c r="N428" s="149"/>
      <c r="O428" s="149"/>
      <c r="P428" s="149"/>
      <c r="Q428" s="149"/>
      <c r="R428" s="149"/>
      <c r="S428" s="149"/>
      <c r="T428" s="149"/>
      <c r="U428" s="149"/>
      <c r="V428" s="149"/>
      <c r="W428" s="149"/>
      <c r="X428" s="149"/>
      <c r="Y428" s="149"/>
      <c r="Z428" s="149"/>
      <c r="AA428" s="149"/>
      <c r="AB428" s="149"/>
      <c r="AC428" s="149"/>
      <c r="AD428" s="148"/>
      <c r="AE428" s="148"/>
      <c r="AF428" s="148"/>
      <c r="DB428" s="149"/>
    </row>
    <row r="429" spans="2:106">
      <c r="B429" s="149"/>
      <c r="C429" s="149"/>
      <c r="D429" s="149"/>
      <c r="E429" s="149"/>
      <c r="F429" s="149"/>
      <c r="G429" s="149"/>
      <c r="H429" s="149"/>
      <c r="I429" s="149"/>
      <c r="J429" s="149"/>
      <c r="K429" s="149"/>
      <c r="L429" s="149"/>
      <c r="M429" s="149"/>
      <c r="N429" s="149"/>
      <c r="O429" s="149"/>
      <c r="P429" s="149"/>
      <c r="Q429" s="149"/>
      <c r="R429" s="149"/>
      <c r="S429" s="149"/>
      <c r="T429" s="149"/>
      <c r="U429" s="149"/>
      <c r="V429" s="149"/>
      <c r="W429" s="149"/>
      <c r="X429" s="149"/>
      <c r="Y429" s="149"/>
      <c r="Z429" s="149"/>
      <c r="AA429" s="149"/>
      <c r="AB429" s="149"/>
      <c r="AC429" s="149"/>
      <c r="AD429" s="148"/>
      <c r="AE429" s="148"/>
      <c r="AF429" s="148"/>
      <c r="DB429" s="149"/>
    </row>
    <row r="430" spans="2:106">
      <c r="B430" s="149"/>
      <c r="C430" s="149"/>
      <c r="D430" s="149"/>
      <c r="E430" s="149"/>
      <c r="F430" s="149"/>
      <c r="G430" s="149"/>
      <c r="H430" s="149"/>
      <c r="I430" s="149"/>
      <c r="J430" s="149"/>
      <c r="K430" s="149"/>
      <c r="L430" s="149"/>
      <c r="M430" s="149"/>
      <c r="N430" s="149"/>
      <c r="O430" s="149"/>
      <c r="P430" s="149"/>
      <c r="Q430" s="149"/>
      <c r="R430" s="149"/>
      <c r="S430" s="149"/>
      <c r="T430" s="149"/>
      <c r="U430" s="149"/>
      <c r="V430" s="149"/>
      <c r="W430" s="149"/>
      <c r="X430" s="149"/>
      <c r="Y430" s="149"/>
      <c r="Z430" s="149"/>
      <c r="AA430" s="149"/>
      <c r="AB430" s="149"/>
      <c r="AC430" s="149"/>
      <c r="AD430" s="148"/>
      <c r="AE430" s="148"/>
      <c r="AF430" s="148"/>
      <c r="DB430" s="149"/>
    </row>
    <row r="431" spans="2:106">
      <c r="B431" s="149"/>
      <c r="C431" s="149"/>
      <c r="D431" s="149"/>
      <c r="E431" s="149"/>
      <c r="F431" s="149"/>
      <c r="G431" s="149"/>
      <c r="H431" s="149"/>
      <c r="I431" s="149"/>
      <c r="J431" s="149"/>
      <c r="K431" s="149"/>
      <c r="L431" s="149"/>
      <c r="M431" s="149"/>
      <c r="N431" s="149"/>
      <c r="O431" s="149"/>
      <c r="P431" s="149"/>
      <c r="Q431" s="149"/>
      <c r="R431" s="149"/>
      <c r="S431" s="149"/>
      <c r="T431" s="149"/>
      <c r="U431" s="149"/>
      <c r="V431" s="149"/>
      <c r="W431" s="149"/>
      <c r="X431" s="149"/>
      <c r="Y431" s="149"/>
      <c r="Z431" s="149"/>
      <c r="AA431" s="149"/>
      <c r="AB431" s="149"/>
      <c r="AC431" s="149"/>
      <c r="AD431" s="148"/>
      <c r="AE431" s="148"/>
      <c r="AF431" s="148"/>
      <c r="DB431" s="149"/>
    </row>
    <row r="432" spans="2:106">
      <c r="B432" s="149"/>
      <c r="C432" s="149"/>
      <c r="D432" s="149"/>
      <c r="E432" s="149"/>
      <c r="F432" s="149"/>
      <c r="G432" s="149"/>
      <c r="H432" s="149"/>
      <c r="I432" s="149"/>
      <c r="J432" s="149"/>
      <c r="K432" s="149"/>
      <c r="L432" s="149"/>
      <c r="M432" s="149"/>
      <c r="N432" s="149"/>
      <c r="O432" s="149"/>
      <c r="P432" s="149"/>
      <c r="Q432" s="149"/>
      <c r="R432" s="149"/>
      <c r="S432" s="149"/>
      <c r="T432" s="149"/>
      <c r="U432" s="149"/>
      <c r="V432" s="149"/>
      <c r="W432" s="149"/>
      <c r="X432" s="149"/>
      <c r="Y432" s="149"/>
      <c r="Z432" s="149"/>
      <c r="AA432" s="149"/>
      <c r="AB432" s="149"/>
      <c r="AC432" s="149"/>
      <c r="AD432" s="148"/>
      <c r="AE432" s="148"/>
      <c r="AF432" s="148"/>
      <c r="DB432" s="149"/>
    </row>
    <row r="433" spans="2:106">
      <c r="B433" s="149"/>
      <c r="C433" s="149"/>
      <c r="D433" s="149"/>
      <c r="E433" s="149"/>
      <c r="F433" s="149"/>
      <c r="G433" s="149"/>
      <c r="H433" s="149"/>
      <c r="I433" s="149"/>
      <c r="J433" s="149"/>
      <c r="K433" s="149"/>
      <c r="L433" s="149"/>
      <c r="M433" s="149"/>
      <c r="N433" s="149"/>
      <c r="O433" s="149"/>
      <c r="P433" s="149"/>
      <c r="Q433" s="149"/>
      <c r="R433" s="149"/>
      <c r="S433" s="149"/>
      <c r="T433" s="149"/>
      <c r="U433" s="149"/>
      <c r="V433" s="149"/>
      <c r="W433" s="149"/>
      <c r="X433" s="149"/>
      <c r="Y433" s="149"/>
      <c r="Z433" s="149"/>
      <c r="AA433" s="149"/>
      <c r="AB433" s="149"/>
      <c r="AC433" s="149"/>
      <c r="AD433" s="148"/>
      <c r="AE433" s="148"/>
      <c r="AF433" s="148"/>
      <c r="DB433" s="149"/>
    </row>
    <row r="434" spans="2:106">
      <c r="B434" s="149"/>
      <c r="C434" s="149"/>
      <c r="D434" s="149"/>
      <c r="E434" s="149"/>
      <c r="F434" s="149"/>
      <c r="G434" s="149"/>
      <c r="H434" s="149"/>
      <c r="I434" s="149"/>
      <c r="J434" s="149"/>
      <c r="K434" s="149"/>
      <c r="L434" s="149"/>
      <c r="M434" s="149"/>
      <c r="N434" s="149"/>
      <c r="O434" s="149"/>
      <c r="P434" s="149"/>
      <c r="Q434" s="149"/>
      <c r="R434" s="149"/>
      <c r="S434" s="149"/>
      <c r="T434" s="149"/>
      <c r="U434" s="149"/>
      <c r="V434" s="149"/>
      <c r="W434" s="149"/>
      <c r="X434" s="149"/>
      <c r="Y434" s="149"/>
      <c r="Z434" s="149"/>
      <c r="AA434" s="149"/>
      <c r="AB434" s="149"/>
      <c r="AC434" s="149"/>
      <c r="AD434" s="148"/>
      <c r="AE434" s="148"/>
      <c r="AF434" s="148"/>
      <c r="DB434" s="149"/>
    </row>
    <row r="435" spans="2:106">
      <c r="B435" s="149"/>
      <c r="C435" s="149"/>
      <c r="D435" s="149"/>
      <c r="E435" s="149"/>
      <c r="F435" s="149"/>
      <c r="G435" s="149"/>
      <c r="H435" s="149"/>
      <c r="I435" s="149"/>
      <c r="J435" s="149"/>
      <c r="K435" s="149"/>
      <c r="L435" s="149"/>
      <c r="M435" s="149"/>
      <c r="N435" s="149"/>
      <c r="O435" s="149"/>
      <c r="P435" s="149"/>
      <c r="Q435" s="149"/>
      <c r="R435" s="149"/>
      <c r="S435" s="149"/>
      <c r="T435" s="149"/>
      <c r="U435" s="149"/>
      <c r="V435" s="149"/>
      <c r="W435" s="149"/>
      <c r="X435" s="149"/>
      <c r="Y435" s="149"/>
      <c r="Z435" s="149"/>
      <c r="AA435" s="149"/>
      <c r="AB435" s="149"/>
      <c r="AC435" s="149"/>
      <c r="AD435" s="148"/>
      <c r="AE435" s="148"/>
      <c r="AF435" s="148"/>
      <c r="DB435" s="149"/>
    </row>
    <row r="436" spans="2:106">
      <c r="B436" s="149"/>
      <c r="C436" s="149"/>
      <c r="D436" s="149"/>
      <c r="E436" s="149"/>
      <c r="F436" s="149"/>
      <c r="G436" s="149"/>
      <c r="H436" s="149"/>
      <c r="I436" s="149"/>
      <c r="J436" s="149"/>
      <c r="K436" s="149"/>
      <c r="L436" s="149"/>
      <c r="M436" s="149"/>
      <c r="N436" s="149"/>
      <c r="O436" s="149"/>
      <c r="P436" s="149"/>
      <c r="Q436" s="149"/>
      <c r="R436" s="149"/>
      <c r="S436" s="149"/>
      <c r="T436" s="149"/>
      <c r="U436" s="149"/>
      <c r="V436" s="149"/>
      <c r="W436" s="149"/>
      <c r="X436" s="149"/>
      <c r="Y436" s="149"/>
      <c r="Z436" s="149"/>
      <c r="AA436" s="149"/>
      <c r="AB436" s="149"/>
      <c r="AC436" s="149"/>
      <c r="AD436" s="148"/>
      <c r="AE436" s="148"/>
      <c r="AF436" s="148"/>
      <c r="DB436" s="149"/>
    </row>
    <row r="437" spans="2:106">
      <c r="B437" s="149"/>
      <c r="C437" s="149"/>
      <c r="D437" s="149"/>
      <c r="E437" s="149"/>
      <c r="F437" s="149"/>
      <c r="G437" s="149"/>
      <c r="H437" s="149"/>
      <c r="I437" s="149"/>
      <c r="J437" s="149"/>
      <c r="K437" s="149"/>
      <c r="L437" s="149"/>
      <c r="M437" s="149"/>
      <c r="N437" s="149"/>
      <c r="O437" s="149"/>
      <c r="P437" s="149"/>
      <c r="Q437" s="149"/>
      <c r="R437" s="149"/>
      <c r="S437" s="149"/>
      <c r="T437" s="149"/>
      <c r="U437" s="149"/>
      <c r="V437" s="149"/>
      <c r="W437" s="149"/>
      <c r="X437" s="149"/>
      <c r="Y437" s="149"/>
      <c r="Z437" s="149"/>
      <c r="AA437" s="149"/>
      <c r="AB437" s="149"/>
      <c r="AC437" s="149"/>
      <c r="AD437" s="148"/>
      <c r="AE437" s="148"/>
      <c r="AF437" s="148"/>
      <c r="DB437" s="149"/>
    </row>
    <row r="438" spans="2:106">
      <c r="B438" s="149"/>
      <c r="C438" s="149"/>
      <c r="D438" s="149"/>
      <c r="E438" s="149"/>
      <c r="F438" s="149"/>
      <c r="G438" s="149"/>
      <c r="H438" s="149"/>
      <c r="I438" s="149"/>
      <c r="J438" s="149"/>
      <c r="K438" s="149"/>
      <c r="L438" s="149"/>
      <c r="M438" s="149"/>
      <c r="N438" s="149"/>
      <c r="O438" s="149"/>
      <c r="P438" s="149"/>
      <c r="Q438" s="149"/>
      <c r="R438" s="149"/>
      <c r="S438" s="149"/>
      <c r="T438" s="149"/>
      <c r="U438" s="149"/>
      <c r="V438" s="149"/>
      <c r="W438" s="149"/>
      <c r="X438" s="149"/>
      <c r="Y438" s="149"/>
      <c r="Z438" s="149"/>
      <c r="AA438" s="149"/>
      <c r="AB438" s="149"/>
      <c r="AC438" s="149"/>
      <c r="AD438" s="148"/>
      <c r="AE438" s="148"/>
      <c r="AF438" s="148"/>
      <c r="DB438" s="149"/>
    </row>
    <row r="439" spans="2:106">
      <c r="B439" s="149"/>
      <c r="C439" s="149"/>
      <c r="D439" s="149"/>
      <c r="E439" s="149"/>
      <c r="F439" s="149"/>
      <c r="G439" s="149"/>
      <c r="H439" s="149"/>
      <c r="I439" s="149"/>
      <c r="J439" s="149"/>
      <c r="K439" s="149"/>
      <c r="L439" s="149"/>
      <c r="M439" s="149"/>
      <c r="N439" s="149"/>
      <c r="O439" s="149"/>
      <c r="P439" s="149"/>
      <c r="Q439" s="149"/>
      <c r="R439" s="149"/>
      <c r="S439" s="149"/>
      <c r="T439" s="149"/>
      <c r="U439" s="149"/>
      <c r="V439" s="149"/>
      <c r="W439" s="149"/>
      <c r="X439" s="149"/>
      <c r="Y439" s="149"/>
      <c r="Z439" s="149"/>
      <c r="AA439" s="149"/>
      <c r="AB439" s="149"/>
      <c r="AC439" s="149"/>
      <c r="AD439" s="148"/>
      <c r="AE439" s="148"/>
      <c r="AF439" s="148"/>
      <c r="DB439" s="149"/>
    </row>
    <row r="440" spans="2:106">
      <c r="B440" s="149"/>
      <c r="C440" s="149"/>
      <c r="D440" s="149"/>
      <c r="E440" s="149"/>
      <c r="F440" s="149"/>
      <c r="G440" s="149"/>
      <c r="H440" s="149"/>
      <c r="I440" s="149"/>
      <c r="J440" s="149"/>
      <c r="K440" s="149"/>
      <c r="L440" s="149"/>
      <c r="M440" s="149"/>
      <c r="N440" s="149"/>
      <c r="O440" s="149"/>
      <c r="P440" s="149"/>
      <c r="Q440" s="149"/>
      <c r="R440" s="149"/>
      <c r="S440" s="149"/>
      <c r="T440" s="149"/>
      <c r="U440" s="149"/>
      <c r="V440" s="149"/>
      <c r="W440" s="149"/>
      <c r="X440" s="149"/>
      <c r="Y440" s="149"/>
      <c r="Z440" s="149"/>
      <c r="AA440" s="149"/>
      <c r="AB440" s="149"/>
      <c r="AC440" s="149"/>
      <c r="AD440" s="148"/>
      <c r="AE440" s="148"/>
      <c r="AF440" s="148"/>
      <c r="DB440" s="149"/>
    </row>
    <row r="441" spans="2:106">
      <c r="B441" s="149"/>
      <c r="C441" s="149"/>
      <c r="D441" s="149"/>
      <c r="E441" s="149"/>
      <c r="F441" s="149"/>
      <c r="G441" s="149"/>
      <c r="H441" s="149"/>
      <c r="I441" s="149"/>
      <c r="J441" s="149"/>
      <c r="K441" s="149"/>
      <c r="L441" s="149"/>
      <c r="M441" s="149"/>
      <c r="N441" s="149"/>
      <c r="O441" s="149"/>
      <c r="P441" s="149"/>
      <c r="Q441" s="149"/>
      <c r="R441" s="149"/>
      <c r="S441" s="149"/>
      <c r="T441" s="149"/>
      <c r="U441" s="149"/>
      <c r="V441" s="149"/>
      <c r="W441" s="149"/>
      <c r="X441" s="149"/>
      <c r="Y441" s="149"/>
      <c r="Z441" s="149"/>
      <c r="AA441" s="149"/>
      <c r="AB441" s="149"/>
      <c r="AC441" s="149"/>
      <c r="AD441" s="148"/>
      <c r="AE441" s="148"/>
      <c r="AF441" s="148"/>
      <c r="DB441" s="149"/>
    </row>
    <row r="442" spans="2:106">
      <c r="B442" s="149"/>
      <c r="C442" s="149"/>
      <c r="D442" s="149"/>
      <c r="E442" s="149"/>
      <c r="F442" s="149"/>
      <c r="G442" s="149"/>
      <c r="H442" s="149"/>
      <c r="I442" s="149"/>
      <c r="J442" s="149"/>
      <c r="K442" s="149"/>
      <c r="L442" s="149"/>
      <c r="M442" s="149"/>
      <c r="N442" s="149"/>
      <c r="O442" s="149"/>
      <c r="P442" s="149"/>
      <c r="Q442" s="149"/>
      <c r="R442" s="149"/>
      <c r="S442" s="149"/>
      <c r="T442" s="149"/>
      <c r="U442" s="149"/>
      <c r="V442" s="149"/>
      <c r="W442" s="149"/>
      <c r="X442" s="149"/>
      <c r="Y442" s="149"/>
      <c r="Z442" s="149"/>
      <c r="AA442" s="149"/>
      <c r="AB442" s="149"/>
      <c r="AC442" s="149"/>
      <c r="AD442" s="148"/>
      <c r="AE442" s="148"/>
      <c r="AF442" s="148"/>
      <c r="DB442" s="149"/>
    </row>
    <row r="443" spans="2:106">
      <c r="B443" s="149"/>
      <c r="C443" s="149"/>
      <c r="D443" s="149"/>
      <c r="E443" s="149"/>
      <c r="F443" s="149"/>
      <c r="G443" s="149"/>
      <c r="H443" s="149"/>
      <c r="I443" s="149"/>
      <c r="J443" s="149"/>
      <c r="K443" s="149"/>
      <c r="L443" s="149"/>
      <c r="M443" s="149"/>
      <c r="N443" s="149"/>
      <c r="O443" s="149"/>
      <c r="P443" s="149"/>
      <c r="Q443" s="149"/>
      <c r="R443" s="149"/>
      <c r="S443" s="149"/>
      <c r="T443" s="149"/>
      <c r="U443" s="149"/>
      <c r="V443" s="149"/>
      <c r="W443" s="149"/>
      <c r="X443" s="149"/>
      <c r="Y443" s="149"/>
      <c r="Z443" s="149"/>
      <c r="AA443" s="149"/>
      <c r="AB443" s="149"/>
      <c r="AC443" s="149"/>
      <c r="AD443" s="148"/>
      <c r="AE443" s="148"/>
      <c r="AF443" s="148"/>
      <c r="DB443" s="149"/>
    </row>
    <row r="444" spans="2:106">
      <c r="B444" s="149"/>
      <c r="C444" s="149"/>
      <c r="D444" s="149"/>
      <c r="E444" s="149"/>
      <c r="F444" s="149"/>
      <c r="G444" s="149"/>
      <c r="H444" s="149"/>
      <c r="I444" s="149"/>
      <c r="J444" s="149"/>
      <c r="K444" s="149"/>
      <c r="L444" s="149"/>
      <c r="M444" s="149"/>
      <c r="N444" s="149"/>
      <c r="O444" s="149"/>
      <c r="P444" s="149"/>
      <c r="Q444" s="149"/>
      <c r="R444" s="149"/>
      <c r="S444" s="149"/>
      <c r="T444" s="149"/>
      <c r="U444" s="149"/>
      <c r="V444" s="149"/>
      <c r="W444" s="149"/>
      <c r="X444" s="149"/>
      <c r="Y444" s="149"/>
      <c r="Z444" s="149"/>
      <c r="AA444" s="149"/>
      <c r="AB444" s="149"/>
      <c r="AC444" s="149"/>
      <c r="AD444" s="148"/>
      <c r="AE444" s="148"/>
      <c r="AF444" s="148"/>
      <c r="DB444" s="149"/>
    </row>
    <row r="445" spans="2:106">
      <c r="B445" s="149"/>
      <c r="C445" s="149"/>
      <c r="D445" s="149"/>
      <c r="E445" s="149"/>
      <c r="F445" s="149"/>
      <c r="G445" s="149"/>
      <c r="H445" s="149"/>
      <c r="I445" s="149"/>
      <c r="J445" s="149"/>
      <c r="K445" s="149"/>
      <c r="L445" s="149"/>
      <c r="M445" s="149"/>
      <c r="N445" s="149"/>
      <c r="O445" s="149"/>
      <c r="P445" s="149"/>
      <c r="Q445" s="149"/>
      <c r="R445" s="149"/>
      <c r="S445" s="149"/>
      <c r="T445" s="149"/>
      <c r="U445" s="149"/>
      <c r="V445" s="149"/>
      <c r="W445" s="149"/>
      <c r="X445" s="149"/>
      <c r="Y445" s="149"/>
      <c r="Z445" s="149"/>
      <c r="AA445" s="149"/>
      <c r="AB445" s="149"/>
      <c r="AC445" s="149"/>
      <c r="AD445" s="148"/>
      <c r="AE445" s="148"/>
      <c r="AF445" s="148"/>
      <c r="DB445" s="149"/>
    </row>
    <row r="446" spans="2:106">
      <c r="B446" s="149"/>
      <c r="C446" s="149"/>
      <c r="D446" s="149"/>
      <c r="E446" s="149"/>
      <c r="F446" s="149"/>
      <c r="G446" s="149"/>
      <c r="H446" s="149"/>
      <c r="I446" s="149"/>
      <c r="J446" s="149"/>
      <c r="K446" s="149"/>
      <c r="L446" s="149"/>
      <c r="M446" s="149"/>
      <c r="N446" s="149"/>
      <c r="O446" s="149"/>
      <c r="P446" s="149"/>
      <c r="Q446" s="149"/>
      <c r="R446" s="149"/>
      <c r="S446" s="149"/>
      <c r="T446" s="149"/>
      <c r="U446" s="149"/>
      <c r="V446" s="149"/>
      <c r="W446" s="149"/>
      <c r="X446" s="149"/>
      <c r="Y446" s="149"/>
      <c r="Z446" s="149"/>
      <c r="AA446" s="149"/>
      <c r="AB446" s="149"/>
      <c r="AC446" s="149"/>
      <c r="AD446" s="148"/>
      <c r="AE446" s="148"/>
      <c r="AF446" s="148"/>
      <c r="DB446" s="149"/>
    </row>
    <row r="447" spans="2:106">
      <c r="B447" s="149"/>
      <c r="C447" s="149"/>
      <c r="D447" s="149"/>
      <c r="E447" s="149"/>
      <c r="F447" s="149"/>
      <c r="G447" s="149"/>
      <c r="H447" s="149"/>
      <c r="I447" s="149"/>
      <c r="J447" s="149"/>
      <c r="K447" s="149"/>
      <c r="L447" s="149"/>
      <c r="M447" s="149"/>
      <c r="N447" s="149"/>
      <c r="O447" s="149"/>
      <c r="P447" s="149"/>
      <c r="Q447" s="149"/>
      <c r="R447" s="149"/>
      <c r="S447" s="149"/>
      <c r="T447" s="149"/>
      <c r="U447" s="149"/>
      <c r="V447" s="149"/>
      <c r="W447" s="149"/>
      <c r="X447" s="149"/>
      <c r="Y447" s="149"/>
      <c r="Z447" s="149"/>
      <c r="AA447" s="149"/>
      <c r="AB447" s="149"/>
      <c r="AC447" s="149"/>
      <c r="AD447" s="148"/>
      <c r="AE447" s="148"/>
      <c r="AF447" s="148"/>
      <c r="DB447" s="149"/>
    </row>
    <row r="448" spans="2:106">
      <c r="B448" s="149"/>
      <c r="C448" s="149"/>
      <c r="D448" s="149"/>
      <c r="E448" s="149"/>
      <c r="F448" s="149"/>
      <c r="G448" s="149"/>
      <c r="H448" s="149"/>
      <c r="I448" s="149"/>
      <c r="J448" s="149"/>
      <c r="K448" s="149"/>
      <c r="L448" s="149"/>
      <c r="M448" s="149"/>
      <c r="N448" s="149"/>
      <c r="O448" s="149"/>
      <c r="P448" s="149"/>
      <c r="Q448" s="149"/>
      <c r="R448" s="149"/>
      <c r="S448" s="149"/>
      <c r="T448" s="149"/>
      <c r="U448" s="149"/>
      <c r="V448" s="149"/>
      <c r="W448" s="149"/>
      <c r="X448" s="149"/>
      <c r="Y448" s="149"/>
      <c r="Z448" s="149"/>
      <c r="AA448" s="149"/>
      <c r="AB448" s="149"/>
      <c r="AC448" s="149"/>
      <c r="AD448" s="148"/>
      <c r="AE448" s="148"/>
      <c r="AF448" s="148"/>
      <c r="DB448" s="149"/>
    </row>
    <row r="449" spans="2:106">
      <c r="B449" s="149"/>
      <c r="C449" s="149"/>
      <c r="D449" s="149"/>
      <c r="E449" s="149"/>
      <c r="F449" s="149"/>
      <c r="G449" s="149"/>
      <c r="H449" s="149"/>
      <c r="I449" s="149"/>
      <c r="J449" s="149"/>
      <c r="K449" s="149"/>
      <c r="L449" s="149"/>
      <c r="M449" s="149"/>
      <c r="N449" s="149"/>
      <c r="O449" s="149"/>
      <c r="P449" s="149"/>
      <c r="Q449" s="149"/>
      <c r="R449" s="149"/>
      <c r="S449" s="149"/>
      <c r="T449" s="149"/>
      <c r="U449" s="149"/>
      <c r="V449" s="149"/>
      <c r="W449" s="149"/>
      <c r="X449" s="149"/>
      <c r="Y449" s="149"/>
      <c r="Z449" s="149"/>
      <c r="AA449" s="149"/>
      <c r="AB449" s="149"/>
      <c r="AC449" s="149"/>
      <c r="AD449" s="148"/>
      <c r="AE449" s="148"/>
      <c r="AF449" s="148"/>
      <c r="DB449" s="149"/>
    </row>
    <row r="450" spans="2:106">
      <c r="B450" s="149"/>
      <c r="C450" s="149"/>
      <c r="D450" s="149"/>
      <c r="E450" s="149"/>
      <c r="F450" s="149"/>
      <c r="G450" s="149"/>
      <c r="H450" s="149"/>
      <c r="I450" s="149"/>
      <c r="J450" s="149"/>
      <c r="K450" s="149"/>
      <c r="L450" s="149"/>
      <c r="M450" s="149"/>
      <c r="N450" s="149"/>
      <c r="O450" s="149"/>
      <c r="P450" s="149"/>
      <c r="Q450" s="149"/>
      <c r="R450" s="149"/>
      <c r="S450" s="149"/>
      <c r="T450" s="149"/>
      <c r="U450" s="149"/>
      <c r="V450" s="149"/>
      <c r="W450" s="149"/>
      <c r="X450" s="149"/>
      <c r="Y450" s="149"/>
      <c r="Z450" s="149"/>
      <c r="AA450" s="149"/>
      <c r="AB450" s="149"/>
      <c r="AC450" s="149"/>
      <c r="AD450" s="148"/>
      <c r="AE450" s="148"/>
      <c r="AF450" s="148"/>
      <c r="DB450" s="149"/>
    </row>
    <row r="451" spans="2:106">
      <c r="B451" s="149"/>
      <c r="C451" s="149"/>
      <c r="D451" s="149"/>
      <c r="E451" s="149"/>
      <c r="F451" s="149"/>
      <c r="G451" s="149"/>
      <c r="H451" s="149"/>
      <c r="I451" s="149"/>
      <c r="J451" s="149"/>
      <c r="K451" s="149"/>
      <c r="L451" s="149"/>
      <c r="M451" s="149"/>
      <c r="N451" s="149"/>
      <c r="O451" s="149"/>
      <c r="P451" s="149"/>
      <c r="Q451" s="149"/>
      <c r="R451" s="149"/>
      <c r="S451" s="149"/>
      <c r="T451" s="149"/>
      <c r="U451" s="149"/>
      <c r="V451" s="149"/>
      <c r="W451" s="149"/>
      <c r="X451" s="149"/>
      <c r="Y451" s="149"/>
      <c r="Z451" s="149"/>
      <c r="AA451" s="149"/>
      <c r="AB451" s="149"/>
      <c r="AC451" s="149"/>
      <c r="AD451" s="148"/>
      <c r="AE451" s="148"/>
      <c r="AF451" s="148"/>
      <c r="DB451" s="149"/>
    </row>
    <row r="452" spans="2:106">
      <c r="B452" s="149"/>
      <c r="C452" s="149"/>
      <c r="D452" s="149"/>
      <c r="E452" s="149"/>
      <c r="F452" s="149"/>
      <c r="G452" s="149"/>
      <c r="H452" s="149"/>
      <c r="I452" s="149"/>
      <c r="J452" s="149"/>
      <c r="K452" s="149"/>
      <c r="L452" s="149"/>
      <c r="M452" s="149"/>
      <c r="N452" s="149"/>
      <c r="O452" s="149"/>
      <c r="P452" s="149"/>
      <c r="Q452" s="149"/>
      <c r="R452" s="149"/>
      <c r="S452" s="149"/>
      <c r="T452" s="149"/>
      <c r="U452" s="149"/>
      <c r="V452" s="149"/>
      <c r="W452" s="149"/>
      <c r="X452" s="149"/>
      <c r="Y452" s="149"/>
      <c r="Z452" s="149"/>
      <c r="AA452" s="149"/>
      <c r="AB452" s="149"/>
      <c r="AC452" s="149"/>
      <c r="AD452" s="148"/>
      <c r="AE452" s="148"/>
      <c r="AF452" s="148"/>
      <c r="DB452" s="149"/>
    </row>
    <row r="453" spans="2:106">
      <c r="B453" s="149"/>
      <c r="C453" s="149"/>
      <c r="D453" s="149"/>
      <c r="E453" s="149"/>
      <c r="F453" s="149"/>
      <c r="G453" s="149"/>
      <c r="H453" s="149"/>
      <c r="I453" s="149"/>
      <c r="J453" s="149"/>
      <c r="K453" s="149"/>
      <c r="L453" s="149"/>
      <c r="M453" s="149"/>
      <c r="N453" s="149"/>
      <c r="O453" s="149"/>
      <c r="P453" s="149"/>
      <c r="Q453" s="149"/>
      <c r="R453" s="149"/>
      <c r="S453" s="149"/>
      <c r="T453" s="149"/>
      <c r="U453" s="149"/>
      <c r="V453" s="149"/>
      <c r="W453" s="149"/>
      <c r="X453" s="149"/>
      <c r="Y453" s="149"/>
      <c r="Z453" s="149"/>
      <c r="AA453" s="149"/>
      <c r="AB453" s="149"/>
      <c r="AC453" s="149"/>
      <c r="AD453" s="148"/>
      <c r="AE453" s="148"/>
      <c r="AF453" s="148"/>
      <c r="DB453" s="149"/>
    </row>
    <row r="454" spans="2:106">
      <c r="B454" s="149"/>
      <c r="C454" s="149"/>
      <c r="D454" s="149"/>
      <c r="E454" s="149"/>
      <c r="F454" s="149"/>
      <c r="G454" s="149"/>
      <c r="H454" s="149"/>
      <c r="I454" s="149"/>
      <c r="J454" s="149"/>
      <c r="K454" s="149"/>
      <c r="L454" s="149"/>
      <c r="M454" s="149"/>
      <c r="N454" s="149"/>
      <c r="O454" s="149"/>
      <c r="P454" s="149"/>
      <c r="Q454" s="149"/>
      <c r="R454" s="149"/>
      <c r="S454" s="149"/>
      <c r="T454" s="149"/>
      <c r="U454" s="149"/>
      <c r="V454" s="149"/>
      <c r="W454" s="149"/>
      <c r="X454" s="149"/>
      <c r="Y454" s="149"/>
      <c r="Z454" s="149"/>
      <c r="AA454" s="149"/>
      <c r="AB454" s="149"/>
      <c r="AC454" s="149"/>
      <c r="AD454" s="148"/>
      <c r="AE454" s="148"/>
      <c r="AF454" s="148"/>
      <c r="DB454" s="149"/>
    </row>
    <row r="455" spans="2:106">
      <c r="B455" s="149"/>
      <c r="C455" s="149"/>
      <c r="D455" s="149"/>
      <c r="E455" s="149"/>
      <c r="F455" s="149"/>
      <c r="G455" s="149"/>
      <c r="H455" s="149"/>
      <c r="I455" s="149"/>
      <c r="J455" s="149"/>
      <c r="K455" s="149"/>
      <c r="L455" s="149"/>
      <c r="M455" s="149"/>
      <c r="N455" s="149"/>
      <c r="O455" s="149"/>
      <c r="P455" s="149"/>
      <c r="Q455" s="149"/>
      <c r="R455" s="149"/>
      <c r="S455" s="149"/>
      <c r="T455" s="149"/>
      <c r="U455" s="149"/>
      <c r="V455" s="149"/>
      <c r="W455" s="149"/>
      <c r="X455" s="149"/>
      <c r="Y455" s="149"/>
      <c r="Z455" s="149"/>
      <c r="AA455" s="149"/>
      <c r="AB455" s="149"/>
      <c r="AC455" s="149"/>
      <c r="AD455" s="148"/>
      <c r="AE455" s="148"/>
      <c r="AF455" s="148"/>
      <c r="DB455" s="149"/>
    </row>
    <row r="456" spans="2:106">
      <c r="B456" s="149"/>
      <c r="C456" s="149"/>
      <c r="D456" s="149"/>
      <c r="E456" s="149"/>
      <c r="F456" s="149"/>
      <c r="G456" s="149"/>
      <c r="H456" s="149"/>
      <c r="I456" s="149"/>
      <c r="J456" s="149"/>
      <c r="K456" s="149"/>
      <c r="L456" s="149"/>
      <c r="M456" s="149"/>
      <c r="N456" s="149"/>
      <c r="O456" s="149"/>
      <c r="P456" s="149"/>
      <c r="Q456" s="149"/>
      <c r="R456" s="149"/>
      <c r="S456" s="149"/>
      <c r="T456" s="149"/>
      <c r="U456" s="149"/>
      <c r="V456" s="149"/>
      <c r="W456" s="149"/>
      <c r="X456" s="149"/>
      <c r="Y456" s="149"/>
      <c r="Z456" s="149"/>
      <c r="AA456" s="149"/>
      <c r="AB456" s="149"/>
      <c r="AC456" s="149"/>
      <c r="AD456" s="148"/>
      <c r="AE456" s="148"/>
      <c r="AF456" s="148"/>
      <c r="DB456" s="149"/>
    </row>
    <row r="457" spans="2:106">
      <c r="B457" s="149"/>
      <c r="C457" s="149"/>
      <c r="D457" s="149"/>
      <c r="E457" s="149"/>
      <c r="F457" s="149"/>
      <c r="G457" s="149"/>
      <c r="H457" s="149"/>
      <c r="I457" s="149"/>
      <c r="J457" s="149"/>
      <c r="K457" s="149"/>
      <c r="L457" s="149"/>
      <c r="M457" s="149"/>
      <c r="N457" s="149"/>
      <c r="O457" s="149"/>
      <c r="P457" s="149"/>
      <c r="Q457" s="149"/>
      <c r="R457" s="149"/>
      <c r="S457" s="149"/>
      <c r="T457" s="149"/>
      <c r="U457" s="149"/>
      <c r="V457" s="149"/>
      <c r="W457" s="149"/>
      <c r="X457" s="149"/>
      <c r="Y457" s="149"/>
      <c r="Z457" s="149"/>
      <c r="AA457" s="149"/>
      <c r="AB457" s="149"/>
      <c r="AC457" s="149"/>
      <c r="AD457" s="148"/>
      <c r="AE457" s="148"/>
      <c r="AF457" s="148"/>
      <c r="DB457" s="149"/>
    </row>
    <row r="458" spans="2:106">
      <c r="B458" s="149"/>
      <c r="C458" s="149"/>
      <c r="D458" s="149"/>
      <c r="E458" s="149"/>
      <c r="F458" s="149"/>
      <c r="G458" s="149"/>
      <c r="H458" s="149"/>
      <c r="I458" s="149"/>
      <c r="J458" s="149"/>
      <c r="K458" s="149"/>
      <c r="L458" s="149"/>
      <c r="M458" s="149"/>
      <c r="N458" s="149"/>
      <c r="O458" s="149"/>
      <c r="P458" s="149"/>
      <c r="Q458" s="149"/>
      <c r="R458" s="149"/>
      <c r="S458" s="149"/>
      <c r="T458" s="149"/>
      <c r="U458" s="149"/>
      <c r="V458" s="149"/>
      <c r="W458" s="149"/>
      <c r="X458" s="149"/>
      <c r="Y458" s="149"/>
      <c r="Z458" s="149"/>
      <c r="AA458" s="149"/>
      <c r="AB458" s="149"/>
      <c r="AC458" s="149"/>
      <c r="AD458" s="148"/>
      <c r="AE458" s="148"/>
      <c r="AF458" s="148"/>
      <c r="DB458" s="149"/>
    </row>
    <row r="459" spans="2:106">
      <c r="B459" s="149"/>
      <c r="C459" s="149"/>
      <c r="D459" s="149"/>
      <c r="E459" s="149"/>
      <c r="F459" s="149"/>
      <c r="G459" s="149"/>
      <c r="H459" s="149"/>
      <c r="I459" s="149"/>
      <c r="J459" s="149"/>
      <c r="K459" s="149"/>
      <c r="L459" s="149"/>
      <c r="M459" s="149"/>
      <c r="N459" s="149"/>
      <c r="O459" s="149"/>
      <c r="P459" s="149"/>
      <c r="Q459" s="149"/>
      <c r="R459" s="149"/>
      <c r="S459" s="149"/>
      <c r="T459" s="149"/>
      <c r="U459" s="149"/>
      <c r="V459" s="149"/>
      <c r="W459" s="149"/>
      <c r="X459" s="149"/>
      <c r="Y459" s="149"/>
      <c r="Z459" s="149"/>
      <c r="AA459" s="149"/>
      <c r="AB459" s="149"/>
      <c r="AC459" s="149"/>
      <c r="AD459" s="148"/>
      <c r="AE459" s="148"/>
      <c r="AF459" s="148"/>
      <c r="DB459" s="149"/>
    </row>
    <row r="460" spans="2:106">
      <c r="B460" s="149"/>
      <c r="C460" s="149"/>
      <c r="D460" s="149"/>
      <c r="E460" s="149"/>
      <c r="F460" s="149"/>
      <c r="G460" s="149"/>
      <c r="H460" s="149"/>
      <c r="I460" s="149"/>
      <c r="J460" s="149"/>
      <c r="K460" s="149"/>
      <c r="L460" s="149"/>
      <c r="M460" s="149"/>
      <c r="N460" s="149"/>
      <c r="O460" s="149"/>
      <c r="P460" s="149"/>
      <c r="Q460" s="149"/>
      <c r="R460" s="149"/>
      <c r="S460" s="149"/>
      <c r="T460" s="149"/>
      <c r="U460" s="149"/>
      <c r="V460" s="149"/>
      <c r="W460" s="149"/>
      <c r="X460" s="149"/>
      <c r="Y460" s="149"/>
      <c r="Z460" s="149"/>
      <c r="AA460" s="149"/>
      <c r="AB460" s="149"/>
      <c r="AC460" s="149"/>
      <c r="AD460" s="148"/>
      <c r="AE460" s="148"/>
      <c r="AF460" s="148"/>
      <c r="DB460" s="149"/>
    </row>
    <row r="461" spans="2:106">
      <c r="B461" s="149"/>
      <c r="C461" s="149"/>
      <c r="D461" s="149"/>
      <c r="E461" s="149"/>
      <c r="F461" s="149"/>
      <c r="G461" s="149"/>
      <c r="H461" s="149"/>
      <c r="I461" s="149"/>
      <c r="J461" s="149"/>
      <c r="K461" s="149"/>
      <c r="L461" s="149"/>
      <c r="M461" s="149"/>
      <c r="N461" s="149"/>
      <c r="O461" s="149"/>
      <c r="P461" s="149"/>
      <c r="Q461" s="149"/>
      <c r="R461" s="149"/>
      <c r="S461" s="149"/>
      <c r="T461" s="149"/>
      <c r="U461" s="149"/>
      <c r="V461" s="149"/>
      <c r="W461" s="149"/>
      <c r="X461" s="149"/>
      <c r="Y461" s="149"/>
      <c r="Z461" s="149"/>
      <c r="AA461" s="149"/>
      <c r="AB461" s="149"/>
      <c r="AC461" s="149"/>
      <c r="AD461" s="148"/>
      <c r="AE461" s="148"/>
      <c r="AF461" s="148"/>
      <c r="DB461" s="149"/>
    </row>
    <row r="462" spans="2:106">
      <c r="B462" s="149"/>
      <c r="C462" s="149"/>
      <c r="D462" s="149"/>
      <c r="E462" s="149"/>
      <c r="F462" s="149"/>
      <c r="G462" s="149"/>
      <c r="H462" s="149"/>
      <c r="I462" s="149"/>
      <c r="J462" s="149"/>
      <c r="K462" s="149"/>
      <c r="L462" s="149"/>
      <c r="M462" s="149"/>
      <c r="N462" s="149"/>
      <c r="O462" s="149"/>
      <c r="P462" s="149"/>
      <c r="Q462" s="149"/>
      <c r="R462" s="149"/>
      <c r="S462" s="149"/>
      <c r="T462" s="149"/>
      <c r="U462" s="149"/>
      <c r="V462" s="149"/>
      <c r="W462" s="149"/>
      <c r="X462" s="149"/>
      <c r="Y462" s="149"/>
      <c r="Z462" s="149"/>
      <c r="AA462" s="149"/>
      <c r="AB462" s="149"/>
      <c r="AC462" s="149"/>
      <c r="AD462" s="148"/>
      <c r="AE462" s="148"/>
      <c r="AF462" s="148"/>
      <c r="DB462" s="149"/>
    </row>
    <row r="463" spans="2:106">
      <c r="B463" s="149"/>
      <c r="C463" s="149"/>
      <c r="D463" s="149"/>
      <c r="E463" s="149"/>
      <c r="F463" s="149"/>
      <c r="G463" s="149"/>
      <c r="H463" s="149"/>
      <c r="I463" s="149"/>
      <c r="J463" s="149"/>
      <c r="K463" s="149"/>
      <c r="L463" s="149"/>
      <c r="M463" s="149"/>
      <c r="N463" s="149"/>
      <c r="O463" s="149"/>
      <c r="P463" s="149"/>
      <c r="Q463" s="149"/>
      <c r="R463" s="149"/>
      <c r="S463" s="149"/>
      <c r="T463" s="149"/>
      <c r="U463" s="149"/>
      <c r="V463" s="149"/>
      <c r="W463" s="149"/>
      <c r="X463" s="149"/>
      <c r="Y463" s="149"/>
      <c r="Z463" s="149"/>
      <c r="AA463" s="149"/>
      <c r="AB463" s="149"/>
      <c r="AC463" s="149"/>
      <c r="AD463" s="148"/>
      <c r="AE463" s="148"/>
      <c r="AF463" s="148"/>
      <c r="DB463" s="149"/>
    </row>
    <row r="464" spans="2:106">
      <c r="B464" s="149"/>
      <c r="C464" s="149"/>
      <c r="D464" s="149"/>
      <c r="E464" s="149"/>
      <c r="F464" s="149"/>
      <c r="G464" s="149"/>
      <c r="H464" s="149"/>
      <c r="I464" s="149"/>
      <c r="J464" s="149"/>
      <c r="K464" s="149"/>
      <c r="L464" s="149"/>
      <c r="M464" s="149"/>
      <c r="N464" s="149"/>
      <c r="O464" s="149"/>
      <c r="P464" s="149"/>
      <c r="Q464" s="149"/>
      <c r="R464" s="149"/>
      <c r="S464" s="149"/>
      <c r="T464" s="149"/>
      <c r="U464" s="149"/>
      <c r="V464" s="149"/>
      <c r="W464" s="149"/>
      <c r="X464" s="149"/>
      <c r="Y464" s="149"/>
      <c r="Z464" s="149"/>
      <c r="AA464" s="149"/>
      <c r="AB464" s="149"/>
      <c r="AC464" s="149"/>
      <c r="AD464" s="148"/>
      <c r="AE464" s="148"/>
      <c r="AF464" s="148"/>
      <c r="DB464" s="149"/>
    </row>
    <row r="465" spans="2:106">
      <c r="B465" s="149"/>
      <c r="C465" s="149"/>
      <c r="D465" s="149"/>
      <c r="E465" s="149"/>
      <c r="F465" s="149"/>
      <c r="G465" s="149"/>
      <c r="H465" s="149"/>
      <c r="I465" s="149"/>
      <c r="J465" s="149"/>
      <c r="K465" s="149"/>
      <c r="L465" s="149"/>
      <c r="M465" s="149"/>
      <c r="N465" s="149"/>
      <c r="O465" s="149"/>
      <c r="P465" s="149"/>
      <c r="Q465" s="149"/>
      <c r="R465" s="149"/>
      <c r="S465" s="149"/>
      <c r="T465" s="149"/>
      <c r="U465" s="149"/>
      <c r="V465" s="149"/>
      <c r="W465" s="149"/>
      <c r="X465" s="149"/>
      <c r="Y465" s="149"/>
      <c r="Z465" s="149"/>
      <c r="AA465" s="149"/>
      <c r="AB465" s="149"/>
      <c r="AC465" s="149"/>
      <c r="AD465" s="148"/>
      <c r="AE465" s="148"/>
      <c r="AF465" s="148"/>
      <c r="DB465" s="149"/>
    </row>
    <row r="466" spans="2:106">
      <c r="B466" s="149"/>
      <c r="C466" s="149"/>
      <c r="D466" s="149"/>
      <c r="E466" s="149"/>
      <c r="F466" s="149"/>
      <c r="G466" s="149"/>
      <c r="H466" s="149"/>
      <c r="I466" s="149"/>
      <c r="J466" s="149"/>
      <c r="K466" s="149"/>
      <c r="L466" s="149"/>
      <c r="M466" s="149"/>
      <c r="N466" s="149"/>
      <c r="O466" s="149"/>
      <c r="P466" s="149"/>
      <c r="Q466" s="149"/>
      <c r="R466" s="149"/>
      <c r="S466" s="149"/>
      <c r="T466" s="149"/>
      <c r="U466" s="149"/>
      <c r="V466" s="149"/>
      <c r="W466" s="149"/>
      <c r="X466" s="149"/>
      <c r="Y466" s="149"/>
      <c r="Z466" s="149"/>
      <c r="AA466" s="149"/>
      <c r="AB466" s="149"/>
      <c r="AC466" s="149"/>
      <c r="AD466" s="148"/>
      <c r="AE466" s="148"/>
      <c r="AF466" s="148"/>
      <c r="DB466" s="149"/>
    </row>
    <row r="467" spans="2:106">
      <c r="B467" s="149"/>
      <c r="C467" s="149"/>
      <c r="D467" s="149"/>
      <c r="E467" s="149"/>
      <c r="F467" s="149"/>
      <c r="G467" s="149"/>
      <c r="H467" s="149"/>
      <c r="I467" s="149"/>
      <c r="J467" s="149"/>
      <c r="K467" s="149"/>
      <c r="L467" s="149"/>
      <c r="M467" s="149"/>
      <c r="N467" s="149"/>
      <c r="O467" s="149"/>
      <c r="P467" s="149"/>
      <c r="Q467" s="149"/>
      <c r="R467" s="149"/>
      <c r="S467" s="149"/>
      <c r="T467" s="149"/>
      <c r="U467" s="149"/>
      <c r="V467" s="149"/>
      <c r="W467" s="149"/>
      <c r="X467" s="149"/>
      <c r="Y467" s="149"/>
      <c r="Z467" s="149"/>
      <c r="AA467" s="149"/>
      <c r="AB467" s="149"/>
      <c r="AC467" s="149"/>
      <c r="AD467" s="148"/>
      <c r="AE467" s="148"/>
      <c r="AF467" s="148"/>
      <c r="DB467" s="149"/>
    </row>
    <row r="468" spans="2:106">
      <c r="B468" s="149"/>
      <c r="C468" s="149"/>
      <c r="D468" s="149"/>
      <c r="E468" s="149"/>
      <c r="F468" s="149"/>
      <c r="G468" s="149"/>
      <c r="H468" s="149"/>
      <c r="I468" s="149"/>
      <c r="J468" s="149"/>
      <c r="K468" s="149"/>
      <c r="L468" s="149"/>
      <c r="M468" s="149"/>
      <c r="N468" s="149"/>
      <c r="O468" s="149"/>
      <c r="P468" s="149"/>
      <c r="Q468" s="149"/>
      <c r="R468" s="149"/>
      <c r="S468" s="149"/>
      <c r="T468" s="149"/>
      <c r="U468" s="149"/>
      <c r="V468" s="149"/>
      <c r="W468" s="149"/>
      <c r="X468" s="149"/>
      <c r="Y468" s="149"/>
      <c r="Z468" s="149"/>
      <c r="AA468" s="149"/>
      <c r="AB468" s="149"/>
      <c r="AC468" s="149"/>
      <c r="AD468" s="148"/>
      <c r="AE468" s="148"/>
      <c r="AF468" s="148"/>
      <c r="DB468" s="149"/>
    </row>
    <row r="469" spans="2:106">
      <c r="B469" s="149"/>
      <c r="C469" s="149"/>
      <c r="D469" s="149"/>
      <c r="E469" s="149"/>
      <c r="F469" s="149"/>
      <c r="G469" s="149"/>
      <c r="H469" s="149"/>
      <c r="I469" s="149"/>
      <c r="J469" s="149"/>
      <c r="K469" s="149"/>
      <c r="L469" s="149"/>
      <c r="M469" s="149"/>
      <c r="N469" s="149"/>
      <c r="O469" s="149"/>
      <c r="P469" s="149"/>
      <c r="Q469" s="149"/>
      <c r="R469" s="149"/>
      <c r="S469" s="149"/>
      <c r="T469" s="149"/>
      <c r="U469" s="149"/>
      <c r="V469" s="149"/>
      <c r="W469" s="149"/>
      <c r="X469" s="149"/>
      <c r="Y469" s="149"/>
      <c r="Z469" s="149"/>
      <c r="AA469" s="149"/>
      <c r="AB469" s="149"/>
      <c r="AC469" s="149"/>
      <c r="AD469" s="148"/>
      <c r="AE469" s="148"/>
      <c r="AF469" s="148"/>
      <c r="DB469" s="149"/>
    </row>
    <row r="470" spans="2:106">
      <c r="B470" s="149"/>
      <c r="C470" s="149"/>
      <c r="D470" s="149"/>
      <c r="E470" s="149"/>
      <c r="F470" s="149"/>
      <c r="G470" s="149"/>
      <c r="H470" s="149"/>
      <c r="I470" s="149"/>
      <c r="J470" s="149"/>
      <c r="K470" s="149"/>
      <c r="L470" s="149"/>
      <c r="M470" s="149"/>
      <c r="N470" s="149"/>
      <c r="O470" s="149"/>
      <c r="P470" s="149"/>
      <c r="Q470" s="149"/>
      <c r="R470" s="149"/>
      <c r="S470" s="149"/>
      <c r="T470" s="149"/>
      <c r="U470" s="149"/>
      <c r="V470" s="149"/>
      <c r="W470" s="149"/>
      <c r="X470" s="149"/>
      <c r="Y470" s="149"/>
      <c r="Z470" s="149"/>
      <c r="AA470" s="149"/>
      <c r="AB470" s="149"/>
      <c r="AC470" s="149"/>
      <c r="AD470" s="148"/>
      <c r="AE470" s="148"/>
      <c r="AF470" s="148"/>
      <c r="DB470" s="149"/>
    </row>
    <row r="471" spans="2:106">
      <c r="B471" s="149"/>
      <c r="C471" s="149"/>
      <c r="D471" s="149"/>
      <c r="E471" s="149"/>
      <c r="F471" s="149"/>
      <c r="G471" s="149"/>
      <c r="H471" s="149"/>
      <c r="I471" s="149"/>
      <c r="J471" s="149"/>
      <c r="K471" s="149"/>
      <c r="L471" s="149"/>
      <c r="M471" s="149"/>
      <c r="N471" s="149"/>
      <c r="O471" s="149"/>
      <c r="P471" s="149"/>
      <c r="Q471" s="149"/>
      <c r="R471" s="149"/>
      <c r="S471" s="149"/>
      <c r="T471" s="149"/>
      <c r="U471" s="149"/>
      <c r="V471" s="149"/>
      <c r="W471" s="149"/>
      <c r="X471" s="149"/>
      <c r="Y471" s="149"/>
      <c r="Z471" s="149"/>
      <c r="AA471" s="149"/>
      <c r="AB471" s="149"/>
      <c r="AC471" s="149"/>
      <c r="AD471" s="148"/>
      <c r="AE471" s="148"/>
      <c r="AF471" s="148"/>
      <c r="DB471" s="149"/>
    </row>
    <row r="472" spans="2:106">
      <c r="B472" s="149"/>
      <c r="C472" s="149"/>
      <c r="D472" s="149"/>
      <c r="E472" s="149"/>
      <c r="F472" s="149"/>
      <c r="G472" s="149"/>
      <c r="H472" s="149"/>
      <c r="I472" s="149"/>
      <c r="J472" s="149"/>
      <c r="K472" s="149"/>
      <c r="L472" s="149"/>
      <c r="M472" s="149"/>
      <c r="N472" s="149"/>
      <c r="O472" s="149"/>
      <c r="P472" s="149"/>
      <c r="Q472" s="149"/>
      <c r="R472" s="149"/>
      <c r="S472" s="149"/>
      <c r="T472" s="149"/>
      <c r="U472" s="149"/>
      <c r="V472" s="149"/>
      <c r="W472" s="149"/>
      <c r="X472" s="149"/>
      <c r="Y472" s="149"/>
      <c r="Z472" s="149"/>
      <c r="AA472" s="149"/>
      <c r="AB472" s="149"/>
      <c r="AC472" s="149"/>
      <c r="AD472" s="148"/>
      <c r="AE472" s="148"/>
      <c r="AF472" s="148"/>
      <c r="DB472" s="149"/>
    </row>
    <row r="473" spans="2:106">
      <c r="B473" s="149"/>
      <c r="C473" s="149"/>
      <c r="D473" s="149"/>
      <c r="E473" s="149"/>
      <c r="F473" s="149"/>
      <c r="G473" s="149"/>
      <c r="H473" s="149"/>
      <c r="I473" s="149"/>
      <c r="J473" s="149"/>
      <c r="K473" s="149"/>
      <c r="L473" s="149"/>
      <c r="M473" s="149"/>
      <c r="N473" s="149"/>
      <c r="O473" s="149"/>
      <c r="P473" s="149"/>
      <c r="Q473" s="149"/>
      <c r="R473" s="149"/>
      <c r="S473" s="149"/>
      <c r="T473" s="149"/>
      <c r="U473" s="149"/>
      <c r="V473" s="149"/>
      <c r="W473" s="149"/>
      <c r="X473" s="149"/>
      <c r="Y473" s="149"/>
      <c r="Z473" s="149"/>
      <c r="AA473" s="149"/>
      <c r="AB473" s="149"/>
      <c r="AC473" s="149"/>
      <c r="AD473" s="148"/>
      <c r="AE473" s="148"/>
      <c r="AF473" s="148"/>
      <c r="DB473" s="149"/>
    </row>
    <row r="474" spans="2:106">
      <c r="B474" s="149"/>
      <c r="C474" s="149"/>
      <c r="D474" s="149"/>
      <c r="E474" s="149"/>
      <c r="F474" s="149"/>
      <c r="G474" s="149"/>
      <c r="H474" s="149"/>
      <c r="I474" s="149"/>
      <c r="J474" s="149"/>
      <c r="K474" s="149"/>
      <c r="L474" s="149"/>
      <c r="M474" s="149"/>
      <c r="N474" s="149"/>
      <c r="O474" s="149"/>
      <c r="P474" s="149"/>
      <c r="Q474" s="149"/>
      <c r="R474" s="149"/>
      <c r="S474" s="149"/>
      <c r="T474" s="149"/>
      <c r="U474" s="149"/>
      <c r="V474" s="149"/>
      <c r="W474" s="149"/>
      <c r="X474" s="149"/>
      <c r="Y474" s="149"/>
      <c r="Z474" s="149"/>
      <c r="AA474" s="149"/>
      <c r="AB474" s="149"/>
      <c r="AC474" s="149"/>
      <c r="AD474" s="148"/>
      <c r="AE474" s="148"/>
      <c r="AF474" s="148"/>
      <c r="DB474" s="149"/>
    </row>
    <row r="475" spans="2:106">
      <c r="B475" s="149"/>
      <c r="C475" s="149"/>
      <c r="D475" s="149"/>
      <c r="E475" s="149"/>
      <c r="F475" s="149"/>
      <c r="G475" s="149"/>
      <c r="H475" s="149"/>
      <c r="I475" s="149"/>
      <c r="J475" s="149"/>
      <c r="K475" s="149"/>
      <c r="L475" s="149"/>
      <c r="M475" s="149"/>
      <c r="N475" s="149"/>
      <c r="O475" s="149"/>
      <c r="P475" s="149"/>
      <c r="Q475" s="149"/>
      <c r="R475" s="149"/>
      <c r="S475" s="149"/>
      <c r="T475" s="149"/>
      <c r="U475" s="149"/>
      <c r="V475" s="149"/>
      <c r="W475" s="149"/>
      <c r="X475" s="149"/>
      <c r="Y475" s="149"/>
      <c r="Z475" s="149"/>
      <c r="AA475" s="149"/>
      <c r="AB475" s="149"/>
      <c r="AC475" s="149"/>
      <c r="AD475" s="148"/>
      <c r="AE475" s="148"/>
      <c r="AF475" s="148"/>
      <c r="DB475" s="149"/>
    </row>
    <row r="476" spans="2:106">
      <c r="B476" s="149"/>
      <c r="C476" s="149"/>
      <c r="D476" s="149"/>
      <c r="E476" s="149"/>
      <c r="F476" s="149"/>
      <c r="G476" s="149"/>
      <c r="H476" s="149"/>
      <c r="I476" s="149"/>
      <c r="J476" s="149"/>
      <c r="K476" s="149"/>
      <c r="L476" s="149"/>
      <c r="M476" s="149"/>
      <c r="N476" s="149"/>
      <c r="O476" s="149"/>
      <c r="P476" s="149"/>
      <c r="Q476" s="149"/>
      <c r="R476" s="149"/>
      <c r="S476" s="149"/>
      <c r="T476" s="149"/>
      <c r="U476" s="149"/>
      <c r="V476" s="149"/>
      <c r="W476" s="149"/>
      <c r="X476" s="149"/>
      <c r="Y476" s="149"/>
      <c r="Z476" s="149"/>
      <c r="AA476" s="149"/>
      <c r="AB476" s="149"/>
      <c r="AC476" s="149"/>
      <c r="AD476" s="148"/>
      <c r="AE476" s="148"/>
      <c r="AF476" s="148"/>
      <c r="DB476" s="149"/>
    </row>
    <row r="477" spans="2:106">
      <c r="B477" s="149"/>
      <c r="C477" s="149"/>
      <c r="D477" s="149"/>
      <c r="E477" s="149"/>
      <c r="F477" s="149"/>
      <c r="G477" s="149"/>
      <c r="H477" s="149"/>
      <c r="I477" s="149"/>
      <c r="J477" s="149"/>
      <c r="K477" s="149"/>
      <c r="L477" s="149"/>
      <c r="M477" s="149"/>
      <c r="N477" s="149"/>
      <c r="O477" s="149"/>
      <c r="P477" s="149"/>
      <c r="Q477" s="149"/>
      <c r="R477" s="149"/>
      <c r="S477" s="149"/>
      <c r="T477" s="149"/>
      <c r="U477" s="149"/>
      <c r="V477" s="149"/>
      <c r="W477" s="149"/>
      <c r="X477" s="149"/>
      <c r="Y477" s="149"/>
      <c r="Z477" s="149"/>
      <c r="AA477" s="149"/>
      <c r="AB477" s="149"/>
      <c r="AC477" s="149"/>
      <c r="AD477" s="148"/>
      <c r="AE477" s="148"/>
      <c r="AF477" s="148"/>
      <c r="DB477" s="149"/>
    </row>
    <row r="478" spans="2:106">
      <c r="B478" s="149"/>
      <c r="C478" s="149"/>
      <c r="D478" s="149"/>
      <c r="E478" s="149"/>
      <c r="F478" s="149"/>
      <c r="G478" s="149"/>
      <c r="H478" s="149"/>
      <c r="I478" s="149"/>
      <c r="J478" s="149"/>
      <c r="K478" s="149"/>
      <c r="L478" s="149"/>
      <c r="M478" s="149"/>
      <c r="N478" s="149"/>
      <c r="O478" s="149"/>
      <c r="P478" s="149"/>
      <c r="Q478" s="149"/>
      <c r="R478" s="149"/>
      <c r="S478" s="149"/>
      <c r="T478" s="149"/>
      <c r="U478" s="149"/>
      <c r="V478" s="149"/>
      <c r="W478" s="149"/>
      <c r="X478" s="149"/>
      <c r="Y478" s="149"/>
      <c r="Z478" s="149"/>
      <c r="AA478" s="149"/>
      <c r="AB478" s="149"/>
      <c r="AC478" s="149"/>
      <c r="AD478" s="148"/>
      <c r="AE478" s="148"/>
      <c r="AF478" s="148"/>
      <c r="DB478" s="149"/>
    </row>
    <row r="479" spans="2:106">
      <c r="B479" s="149"/>
      <c r="C479" s="149"/>
      <c r="D479" s="149"/>
      <c r="E479" s="149"/>
      <c r="F479" s="149"/>
      <c r="G479" s="149"/>
      <c r="H479" s="149"/>
      <c r="I479" s="149"/>
      <c r="J479" s="149"/>
      <c r="K479" s="149"/>
      <c r="L479" s="149"/>
      <c r="M479" s="149"/>
      <c r="N479" s="149"/>
      <c r="O479" s="149"/>
      <c r="P479" s="149"/>
      <c r="Q479" s="149"/>
      <c r="R479" s="149"/>
      <c r="S479" s="149"/>
      <c r="T479" s="149"/>
      <c r="U479" s="149"/>
      <c r="V479" s="149"/>
      <c r="W479" s="149"/>
      <c r="X479" s="149"/>
      <c r="Y479" s="149"/>
      <c r="Z479" s="149"/>
      <c r="AA479" s="149"/>
      <c r="AB479" s="149"/>
      <c r="AC479" s="149"/>
      <c r="AD479" s="148"/>
      <c r="AE479" s="148"/>
      <c r="AF479" s="148"/>
      <c r="DB479" s="149"/>
    </row>
    <row r="480" spans="2:106">
      <c r="B480" s="149"/>
      <c r="C480" s="149"/>
      <c r="D480" s="149"/>
      <c r="E480" s="149"/>
      <c r="F480" s="149"/>
      <c r="G480" s="149"/>
      <c r="H480" s="149"/>
      <c r="I480" s="149"/>
      <c r="J480" s="149"/>
      <c r="K480" s="149"/>
      <c r="L480" s="149"/>
      <c r="M480" s="149"/>
      <c r="N480" s="149"/>
      <c r="O480" s="149"/>
      <c r="P480" s="149"/>
      <c r="Q480" s="149"/>
      <c r="R480" s="149"/>
      <c r="S480" s="149"/>
      <c r="T480" s="149"/>
      <c r="U480" s="149"/>
      <c r="V480" s="149"/>
      <c r="W480" s="149"/>
      <c r="X480" s="149"/>
      <c r="Y480" s="149"/>
      <c r="Z480" s="149"/>
      <c r="AA480" s="149"/>
      <c r="AB480" s="149"/>
      <c r="AC480" s="149"/>
      <c r="AD480" s="148"/>
      <c r="AE480" s="148"/>
      <c r="AF480" s="148"/>
      <c r="DB480" s="149"/>
    </row>
    <row r="481" spans="2:106">
      <c r="B481" s="149"/>
      <c r="C481" s="149"/>
      <c r="D481" s="149"/>
      <c r="E481" s="149"/>
      <c r="F481" s="149"/>
      <c r="G481" s="149"/>
      <c r="H481" s="149"/>
      <c r="I481" s="149"/>
      <c r="J481" s="149"/>
      <c r="K481" s="149"/>
      <c r="L481" s="149"/>
      <c r="M481" s="149"/>
      <c r="N481" s="149"/>
      <c r="O481" s="149"/>
      <c r="P481" s="149"/>
      <c r="Q481" s="149"/>
      <c r="R481" s="149"/>
      <c r="S481" s="149"/>
      <c r="T481" s="149"/>
      <c r="U481" s="149"/>
      <c r="V481" s="149"/>
      <c r="W481" s="149"/>
      <c r="X481" s="149"/>
      <c r="Y481" s="149"/>
      <c r="Z481" s="149"/>
      <c r="AA481" s="149"/>
      <c r="AB481" s="149"/>
      <c r="AC481" s="149"/>
      <c r="AD481" s="148"/>
      <c r="AE481" s="148"/>
      <c r="AF481" s="148"/>
      <c r="DB481" s="149"/>
    </row>
    <row r="482" spans="2:106">
      <c r="B482" s="149"/>
      <c r="C482" s="149"/>
      <c r="D482" s="149"/>
      <c r="E482" s="149"/>
      <c r="F482" s="149"/>
      <c r="G482" s="149"/>
      <c r="H482" s="149"/>
      <c r="I482" s="149"/>
      <c r="J482" s="149"/>
      <c r="K482" s="149"/>
      <c r="L482" s="149"/>
      <c r="M482" s="149"/>
      <c r="N482" s="149"/>
      <c r="O482" s="149"/>
      <c r="P482" s="149"/>
      <c r="Q482" s="149"/>
      <c r="R482" s="149"/>
      <c r="S482" s="149"/>
      <c r="T482" s="149"/>
      <c r="U482" s="149"/>
      <c r="V482" s="149"/>
      <c r="W482" s="149"/>
      <c r="X482" s="149"/>
      <c r="Y482" s="149"/>
      <c r="Z482" s="149"/>
      <c r="AA482" s="149"/>
      <c r="AB482" s="149"/>
      <c r="AC482" s="149"/>
      <c r="AD482" s="148"/>
      <c r="AE482" s="148"/>
      <c r="AF482" s="148"/>
      <c r="DB482" s="149"/>
    </row>
    <row r="483" spans="2:106">
      <c r="B483" s="149"/>
      <c r="C483" s="149"/>
      <c r="D483" s="149"/>
      <c r="E483" s="149"/>
      <c r="F483" s="149"/>
      <c r="G483" s="149"/>
      <c r="H483" s="149"/>
      <c r="I483" s="149"/>
      <c r="J483" s="149"/>
      <c r="K483" s="149"/>
      <c r="L483" s="149"/>
      <c r="M483" s="149"/>
      <c r="N483" s="149"/>
      <c r="O483" s="149"/>
      <c r="P483" s="149"/>
      <c r="Q483" s="149"/>
      <c r="R483" s="149"/>
      <c r="S483" s="149"/>
      <c r="T483" s="149"/>
      <c r="U483" s="149"/>
      <c r="V483" s="149"/>
      <c r="W483" s="149"/>
      <c r="X483" s="149"/>
      <c r="Y483" s="149"/>
      <c r="Z483" s="149"/>
      <c r="AA483" s="149"/>
      <c r="AB483" s="149"/>
      <c r="AC483" s="149"/>
      <c r="AD483" s="148"/>
      <c r="AE483" s="148"/>
      <c r="AF483" s="148"/>
      <c r="DB483" s="149"/>
    </row>
    <row r="484" spans="2:106">
      <c r="B484" s="149"/>
      <c r="C484" s="149"/>
      <c r="D484" s="149"/>
      <c r="E484" s="149"/>
      <c r="F484" s="149"/>
      <c r="G484" s="149"/>
      <c r="H484" s="149"/>
      <c r="I484" s="149"/>
      <c r="J484" s="149"/>
      <c r="K484" s="149"/>
      <c r="L484" s="149"/>
      <c r="M484" s="149"/>
      <c r="N484" s="149"/>
      <c r="O484" s="149"/>
      <c r="P484" s="149"/>
      <c r="Q484" s="149"/>
      <c r="R484" s="149"/>
      <c r="S484" s="149"/>
      <c r="T484" s="149"/>
      <c r="U484" s="149"/>
      <c r="V484" s="149"/>
      <c r="W484" s="149"/>
      <c r="X484" s="149"/>
      <c r="Y484" s="149"/>
      <c r="Z484" s="149"/>
      <c r="AA484" s="149"/>
      <c r="AB484" s="149"/>
      <c r="AC484" s="149"/>
      <c r="AD484" s="148"/>
      <c r="AE484" s="148"/>
      <c r="AF484" s="148"/>
      <c r="DB484" s="149"/>
    </row>
    <row r="485" spans="2:106">
      <c r="B485" s="149"/>
      <c r="C485" s="149"/>
      <c r="D485" s="149"/>
      <c r="E485" s="149"/>
      <c r="F485" s="149"/>
      <c r="G485" s="149"/>
      <c r="H485" s="149"/>
      <c r="I485" s="149"/>
      <c r="J485" s="149"/>
      <c r="K485" s="149"/>
      <c r="L485" s="149"/>
      <c r="M485" s="149"/>
      <c r="N485" s="149"/>
      <c r="O485" s="149"/>
      <c r="P485" s="149"/>
      <c r="Q485" s="149"/>
      <c r="R485" s="149"/>
      <c r="S485" s="149"/>
      <c r="T485" s="149"/>
      <c r="U485" s="149"/>
      <c r="V485" s="149"/>
      <c r="W485" s="149"/>
      <c r="X485" s="149"/>
      <c r="Y485" s="149"/>
      <c r="Z485" s="149"/>
      <c r="AA485" s="149"/>
      <c r="AB485" s="149"/>
      <c r="AC485" s="149"/>
      <c r="AD485" s="148"/>
      <c r="AE485" s="148"/>
      <c r="AF485" s="148"/>
      <c r="DB485" s="149"/>
    </row>
    <row r="486" spans="2:106">
      <c r="B486" s="149"/>
      <c r="C486" s="149"/>
      <c r="D486" s="149"/>
      <c r="E486" s="149"/>
      <c r="F486" s="149"/>
      <c r="G486" s="149"/>
      <c r="H486" s="149"/>
      <c r="I486" s="149"/>
      <c r="J486" s="149"/>
      <c r="K486" s="149"/>
      <c r="L486" s="149"/>
      <c r="M486" s="149"/>
      <c r="N486" s="149"/>
      <c r="O486" s="149"/>
      <c r="P486" s="149"/>
      <c r="Q486" s="149"/>
      <c r="R486" s="149"/>
      <c r="S486" s="149"/>
      <c r="T486" s="149"/>
      <c r="U486" s="149"/>
      <c r="V486" s="149"/>
      <c r="W486" s="149"/>
      <c r="X486" s="149"/>
      <c r="Y486" s="149"/>
      <c r="Z486" s="149"/>
      <c r="AA486" s="149"/>
      <c r="AB486" s="149"/>
      <c r="AC486" s="149"/>
      <c r="AD486" s="148"/>
      <c r="AE486" s="148"/>
      <c r="AF486" s="148"/>
      <c r="DB486" s="149"/>
    </row>
    <row r="487" spans="2:106">
      <c r="B487" s="149"/>
      <c r="C487" s="149"/>
      <c r="D487" s="149"/>
      <c r="E487" s="149"/>
      <c r="F487" s="149"/>
      <c r="G487" s="149"/>
      <c r="H487" s="149"/>
      <c r="I487" s="149"/>
      <c r="J487" s="149"/>
      <c r="K487" s="149"/>
      <c r="L487" s="149"/>
      <c r="M487" s="149"/>
      <c r="N487" s="149"/>
      <c r="O487" s="149"/>
      <c r="P487" s="149"/>
      <c r="Q487" s="149"/>
      <c r="R487" s="149"/>
      <c r="S487" s="149"/>
      <c r="T487" s="149"/>
      <c r="U487" s="149"/>
      <c r="V487" s="149"/>
      <c r="W487" s="149"/>
      <c r="X487" s="149"/>
      <c r="Y487" s="149"/>
      <c r="Z487" s="149"/>
      <c r="AA487" s="149"/>
      <c r="AB487" s="149"/>
      <c r="AC487" s="149"/>
      <c r="AD487" s="148"/>
      <c r="AE487" s="148"/>
      <c r="AF487" s="148"/>
      <c r="DB487" s="149"/>
    </row>
    <row r="488" spans="2:106">
      <c r="B488" s="149"/>
      <c r="C488" s="149"/>
      <c r="D488" s="149"/>
      <c r="E488" s="149"/>
      <c r="F488" s="149"/>
      <c r="G488" s="149"/>
      <c r="H488" s="149"/>
      <c r="I488" s="149"/>
      <c r="J488" s="149"/>
      <c r="K488" s="149"/>
      <c r="L488" s="149"/>
      <c r="M488" s="149"/>
      <c r="N488" s="149"/>
      <c r="O488" s="149"/>
      <c r="P488" s="149"/>
      <c r="Q488" s="149"/>
      <c r="R488" s="149"/>
      <c r="S488" s="149"/>
      <c r="T488" s="149"/>
      <c r="U488" s="149"/>
      <c r="V488" s="149"/>
      <c r="W488" s="149"/>
      <c r="X488" s="149"/>
      <c r="Y488" s="149"/>
      <c r="Z488" s="149"/>
      <c r="AA488" s="149"/>
      <c r="AB488" s="149"/>
      <c r="AC488" s="149"/>
      <c r="AD488" s="148"/>
      <c r="AE488" s="148"/>
      <c r="AF488" s="148"/>
      <c r="DB488" s="149"/>
    </row>
    <row r="489" spans="2:106">
      <c r="B489" s="149"/>
      <c r="C489" s="149"/>
      <c r="D489" s="149"/>
      <c r="E489" s="149"/>
      <c r="F489" s="149"/>
      <c r="G489" s="149"/>
      <c r="H489" s="149"/>
      <c r="I489" s="149"/>
      <c r="J489" s="149"/>
      <c r="K489" s="149"/>
      <c r="L489" s="149"/>
      <c r="M489" s="149"/>
      <c r="N489" s="149"/>
      <c r="O489" s="149"/>
      <c r="P489" s="149"/>
      <c r="Q489" s="149"/>
      <c r="R489" s="149"/>
      <c r="S489" s="149"/>
      <c r="T489" s="149"/>
      <c r="U489" s="149"/>
      <c r="V489" s="149"/>
      <c r="W489" s="149"/>
      <c r="X489" s="149"/>
      <c r="Y489" s="149"/>
      <c r="Z489" s="149"/>
      <c r="AA489" s="149"/>
      <c r="AB489" s="149"/>
      <c r="AC489" s="149"/>
      <c r="AD489" s="148"/>
      <c r="AE489" s="148"/>
      <c r="AF489" s="148"/>
      <c r="DB489" s="149"/>
    </row>
    <row r="490" spans="2:106">
      <c r="B490" s="149"/>
      <c r="C490" s="149"/>
      <c r="D490" s="149"/>
      <c r="E490" s="149"/>
      <c r="F490" s="149"/>
      <c r="G490" s="149"/>
      <c r="H490" s="149"/>
      <c r="I490" s="149"/>
      <c r="J490" s="149"/>
      <c r="K490" s="149"/>
      <c r="L490" s="149"/>
      <c r="M490" s="149"/>
      <c r="N490" s="149"/>
      <c r="O490" s="149"/>
      <c r="P490" s="149"/>
      <c r="Q490" s="149"/>
      <c r="R490" s="149"/>
      <c r="S490" s="149"/>
      <c r="T490" s="149"/>
      <c r="U490" s="149"/>
      <c r="V490" s="149"/>
      <c r="W490" s="149"/>
      <c r="X490" s="149"/>
      <c r="Y490" s="149"/>
      <c r="Z490" s="149"/>
      <c r="AA490" s="149"/>
      <c r="AB490" s="149"/>
      <c r="AC490" s="149"/>
      <c r="AD490" s="148"/>
      <c r="AE490" s="148"/>
      <c r="AF490" s="148"/>
      <c r="DB490" s="149"/>
    </row>
    <row r="491" spans="2:106">
      <c r="B491" s="149"/>
      <c r="C491" s="149"/>
      <c r="D491" s="149"/>
      <c r="E491" s="149"/>
      <c r="F491" s="149"/>
      <c r="G491" s="149"/>
      <c r="H491" s="149"/>
      <c r="I491" s="149"/>
      <c r="J491" s="149"/>
      <c r="K491" s="149"/>
      <c r="L491" s="149"/>
      <c r="M491" s="149"/>
      <c r="N491" s="149"/>
      <c r="O491" s="149"/>
      <c r="P491" s="149"/>
      <c r="Q491" s="149"/>
      <c r="R491" s="149"/>
      <c r="S491" s="149"/>
      <c r="T491" s="149"/>
      <c r="U491" s="149"/>
      <c r="V491" s="149"/>
      <c r="W491" s="149"/>
      <c r="X491" s="149"/>
      <c r="Y491" s="149"/>
      <c r="Z491" s="149"/>
      <c r="AA491" s="149"/>
      <c r="AB491" s="149"/>
      <c r="AC491" s="149"/>
      <c r="AD491" s="148"/>
      <c r="AE491" s="148"/>
      <c r="AF491" s="148"/>
      <c r="DB491" s="149"/>
    </row>
    <row r="492" spans="2:106">
      <c r="B492" s="149"/>
      <c r="C492" s="149"/>
      <c r="D492" s="149"/>
      <c r="E492" s="149"/>
      <c r="F492" s="149"/>
      <c r="G492" s="149"/>
      <c r="H492" s="149"/>
      <c r="I492" s="149"/>
      <c r="J492" s="149"/>
      <c r="K492" s="149"/>
      <c r="L492" s="149"/>
      <c r="M492" s="149"/>
      <c r="N492" s="149"/>
      <c r="O492" s="149"/>
      <c r="P492" s="149"/>
      <c r="Q492" s="149"/>
      <c r="R492" s="149"/>
      <c r="S492" s="149"/>
      <c r="T492" s="149"/>
      <c r="U492" s="149"/>
      <c r="V492" s="149"/>
      <c r="W492" s="149"/>
      <c r="X492" s="149"/>
      <c r="Y492" s="149"/>
      <c r="Z492" s="149"/>
      <c r="AA492" s="149"/>
      <c r="AB492" s="149"/>
      <c r="AC492" s="149"/>
      <c r="AD492" s="148"/>
      <c r="AE492" s="148"/>
      <c r="AF492" s="148"/>
      <c r="DB492" s="149"/>
    </row>
    <row r="493" spans="2:106">
      <c r="B493" s="149"/>
      <c r="C493" s="149"/>
      <c r="D493" s="149"/>
      <c r="E493" s="149"/>
      <c r="F493" s="149"/>
      <c r="G493" s="149"/>
      <c r="H493" s="149"/>
      <c r="I493" s="149"/>
      <c r="J493" s="149"/>
      <c r="K493" s="149"/>
      <c r="L493" s="149"/>
      <c r="M493" s="149"/>
      <c r="N493" s="149"/>
      <c r="O493" s="149"/>
      <c r="P493" s="149"/>
      <c r="Q493" s="149"/>
      <c r="R493" s="149"/>
      <c r="S493" s="149"/>
      <c r="T493" s="149"/>
      <c r="U493" s="149"/>
      <c r="V493" s="149"/>
      <c r="W493" s="149"/>
      <c r="X493" s="149"/>
      <c r="Y493" s="149"/>
      <c r="Z493" s="149"/>
      <c r="AA493" s="149"/>
      <c r="AB493" s="149"/>
      <c r="AC493" s="149"/>
      <c r="AD493" s="148"/>
      <c r="AE493" s="148"/>
      <c r="AF493" s="148"/>
      <c r="DB493" s="149"/>
    </row>
    <row r="494" spans="2:106">
      <c r="B494" s="149"/>
      <c r="C494" s="149"/>
      <c r="D494" s="149"/>
      <c r="E494" s="149"/>
      <c r="F494" s="149"/>
      <c r="G494" s="149"/>
      <c r="H494" s="149"/>
      <c r="I494" s="149"/>
      <c r="J494" s="149"/>
      <c r="K494" s="149"/>
      <c r="L494" s="149"/>
      <c r="M494" s="149"/>
      <c r="N494" s="149"/>
      <c r="O494" s="149"/>
      <c r="P494" s="149"/>
      <c r="Q494" s="149"/>
      <c r="R494" s="149"/>
      <c r="S494" s="149"/>
      <c r="T494" s="149"/>
      <c r="U494" s="149"/>
      <c r="V494" s="149"/>
      <c r="W494" s="149"/>
      <c r="X494" s="149"/>
      <c r="Y494" s="149"/>
      <c r="Z494" s="149"/>
      <c r="AA494" s="149"/>
      <c r="AB494" s="149"/>
      <c r="AC494" s="149"/>
      <c r="AD494" s="148"/>
      <c r="AE494" s="148"/>
      <c r="AF494" s="148"/>
      <c r="DB494" s="149"/>
    </row>
    <row r="495" spans="2:106">
      <c r="B495" s="149"/>
      <c r="C495" s="149"/>
      <c r="D495" s="149"/>
      <c r="E495" s="149"/>
      <c r="F495" s="149"/>
      <c r="G495" s="149"/>
      <c r="H495" s="149"/>
      <c r="I495" s="149"/>
      <c r="J495" s="149"/>
      <c r="K495" s="149"/>
      <c r="L495" s="149"/>
      <c r="M495" s="149"/>
      <c r="N495" s="149"/>
      <c r="O495" s="149"/>
      <c r="P495" s="149"/>
      <c r="Q495" s="149"/>
      <c r="R495" s="149"/>
      <c r="S495" s="149"/>
      <c r="T495" s="149"/>
      <c r="U495" s="149"/>
      <c r="V495" s="149"/>
      <c r="W495" s="149"/>
      <c r="X495" s="149"/>
      <c r="Y495" s="149"/>
      <c r="Z495" s="149"/>
      <c r="AA495" s="149"/>
      <c r="AB495" s="149"/>
      <c r="AC495" s="149"/>
      <c r="AD495" s="148"/>
      <c r="AE495" s="148"/>
      <c r="AF495" s="148"/>
      <c r="DB495" s="149"/>
    </row>
    <row r="496" spans="2:106">
      <c r="B496" s="149"/>
      <c r="C496" s="149"/>
      <c r="D496" s="149"/>
      <c r="E496" s="149"/>
      <c r="F496" s="149"/>
      <c r="G496" s="149"/>
      <c r="H496" s="149"/>
      <c r="I496" s="149"/>
      <c r="J496" s="149"/>
      <c r="K496" s="149"/>
      <c r="L496" s="149"/>
      <c r="M496" s="149"/>
      <c r="N496" s="149"/>
      <c r="O496" s="149"/>
      <c r="P496" s="149"/>
      <c r="Q496" s="149"/>
      <c r="R496" s="149"/>
      <c r="S496" s="149"/>
      <c r="T496" s="149"/>
      <c r="U496" s="149"/>
      <c r="V496" s="149"/>
      <c r="W496" s="149"/>
      <c r="X496" s="149"/>
      <c r="Y496" s="149"/>
      <c r="Z496" s="149"/>
      <c r="AA496" s="149"/>
      <c r="AB496" s="149"/>
      <c r="AC496" s="149"/>
      <c r="AD496" s="148"/>
      <c r="AE496" s="148"/>
      <c r="AF496" s="148"/>
      <c r="DB496" s="149"/>
    </row>
    <row r="497" spans="2:106">
      <c r="B497" s="149"/>
      <c r="C497" s="149"/>
      <c r="D497" s="149"/>
      <c r="E497" s="149"/>
      <c r="F497" s="149"/>
      <c r="G497" s="149"/>
      <c r="H497" s="149"/>
      <c r="I497" s="149"/>
      <c r="J497" s="149"/>
      <c r="K497" s="149"/>
      <c r="L497" s="149"/>
      <c r="M497" s="149"/>
      <c r="N497" s="149"/>
      <c r="O497" s="149"/>
      <c r="P497" s="149"/>
      <c r="Q497" s="149"/>
      <c r="R497" s="149"/>
      <c r="S497" s="149"/>
      <c r="T497" s="149"/>
      <c r="U497" s="149"/>
      <c r="V497" s="149"/>
      <c r="W497" s="149"/>
      <c r="X497" s="149"/>
      <c r="Y497" s="149"/>
      <c r="Z497" s="149"/>
      <c r="AA497" s="149"/>
      <c r="AB497" s="149"/>
      <c r="AC497" s="149"/>
      <c r="AD497" s="148"/>
      <c r="AE497" s="148"/>
      <c r="AF497" s="148"/>
      <c r="DB497" s="149"/>
    </row>
    <row r="498" spans="2:106">
      <c r="B498" s="149"/>
      <c r="C498" s="149"/>
      <c r="D498" s="149"/>
      <c r="E498" s="149"/>
      <c r="F498" s="149"/>
      <c r="G498" s="149"/>
      <c r="H498" s="149"/>
      <c r="I498" s="149"/>
      <c r="J498" s="149"/>
      <c r="K498" s="149"/>
      <c r="L498" s="149"/>
      <c r="M498" s="149"/>
      <c r="N498" s="149"/>
      <c r="O498" s="149"/>
      <c r="P498" s="149"/>
      <c r="Q498" s="149"/>
      <c r="R498" s="149"/>
      <c r="S498" s="149"/>
      <c r="T498" s="149"/>
      <c r="U498" s="149"/>
      <c r="V498" s="149"/>
      <c r="W498" s="149"/>
      <c r="X498" s="149"/>
      <c r="Y498" s="149"/>
      <c r="Z498" s="149"/>
      <c r="AA498" s="149"/>
      <c r="AB498" s="149"/>
      <c r="AC498" s="149"/>
      <c r="AD498" s="148"/>
      <c r="AE498" s="148"/>
      <c r="AF498" s="148"/>
      <c r="DB498" s="149"/>
    </row>
    <row r="499" spans="2:106">
      <c r="B499" s="149"/>
      <c r="C499" s="149"/>
      <c r="D499" s="149"/>
      <c r="E499" s="149"/>
      <c r="F499" s="149"/>
      <c r="G499" s="149"/>
      <c r="H499" s="149"/>
      <c r="I499" s="149"/>
      <c r="J499" s="149"/>
      <c r="K499" s="149"/>
      <c r="L499" s="149"/>
      <c r="M499" s="149"/>
      <c r="N499" s="149"/>
      <c r="O499" s="149"/>
      <c r="P499" s="149"/>
      <c r="Q499" s="149"/>
      <c r="R499" s="149"/>
      <c r="S499" s="149"/>
      <c r="T499" s="149"/>
      <c r="U499" s="149"/>
      <c r="V499" s="149"/>
      <c r="W499" s="149"/>
      <c r="X499" s="149"/>
      <c r="Y499" s="149"/>
      <c r="Z499" s="149"/>
      <c r="AA499" s="149"/>
      <c r="AB499" s="149"/>
      <c r="AC499" s="149"/>
      <c r="AD499" s="148"/>
      <c r="AE499" s="148"/>
      <c r="AF499" s="148"/>
      <c r="DB499" s="149"/>
    </row>
    <row r="500" spans="2:106">
      <c r="B500" s="149"/>
      <c r="C500" s="149"/>
      <c r="D500" s="149"/>
      <c r="E500" s="149"/>
      <c r="F500" s="149"/>
      <c r="G500" s="149"/>
      <c r="H500" s="149"/>
      <c r="I500" s="149"/>
      <c r="J500" s="149"/>
      <c r="K500" s="149"/>
      <c r="L500" s="149"/>
      <c r="M500" s="149"/>
      <c r="N500" s="149"/>
      <c r="O500" s="149"/>
      <c r="P500" s="149"/>
      <c r="Q500" s="149"/>
      <c r="R500" s="149"/>
      <c r="S500" s="149"/>
      <c r="T500" s="149"/>
      <c r="U500" s="149"/>
      <c r="V500" s="149"/>
      <c r="W500" s="149"/>
      <c r="X500" s="149"/>
      <c r="Y500" s="149"/>
      <c r="Z500" s="149"/>
      <c r="AA500" s="149"/>
      <c r="AB500" s="149"/>
      <c r="AC500" s="149"/>
      <c r="AD500" s="148"/>
      <c r="AE500" s="148"/>
      <c r="AF500" s="148"/>
      <c r="DB500" s="149"/>
    </row>
    <row r="501" spans="2:106">
      <c r="B501" s="149"/>
      <c r="C501" s="149"/>
      <c r="D501" s="149"/>
      <c r="E501" s="149"/>
      <c r="F501" s="149"/>
      <c r="G501" s="149"/>
      <c r="H501" s="149"/>
      <c r="I501" s="149"/>
      <c r="J501" s="149"/>
      <c r="K501" s="149"/>
      <c r="L501" s="149"/>
      <c r="M501" s="149"/>
      <c r="N501" s="149"/>
      <c r="O501" s="149"/>
      <c r="P501" s="149"/>
      <c r="Q501" s="149"/>
      <c r="R501" s="149"/>
      <c r="S501" s="149"/>
      <c r="T501" s="149"/>
      <c r="U501" s="149"/>
      <c r="V501" s="149"/>
      <c r="W501" s="149"/>
      <c r="X501" s="149"/>
      <c r="Y501" s="149"/>
      <c r="Z501" s="149"/>
      <c r="AA501" s="149"/>
      <c r="AB501" s="149"/>
      <c r="AC501" s="149"/>
      <c r="AD501" s="148"/>
      <c r="AE501" s="148"/>
      <c r="AF501" s="148"/>
      <c r="DB501" s="149"/>
    </row>
    <row r="502" spans="2:106">
      <c r="B502" s="149"/>
      <c r="C502" s="149"/>
      <c r="D502" s="149"/>
      <c r="E502" s="149"/>
      <c r="F502" s="149"/>
      <c r="G502" s="149"/>
      <c r="H502" s="149"/>
      <c r="I502" s="149"/>
      <c r="J502" s="149"/>
      <c r="K502" s="149"/>
      <c r="L502" s="149"/>
      <c r="M502" s="149"/>
      <c r="N502" s="149"/>
      <c r="O502" s="149"/>
      <c r="P502" s="149"/>
      <c r="Q502" s="149"/>
      <c r="R502" s="149"/>
      <c r="S502" s="149"/>
      <c r="T502" s="149"/>
      <c r="U502" s="149"/>
      <c r="V502" s="149"/>
      <c r="W502" s="149"/>
      <c r="X502" s="149"/>
      <c r="Y502" s="149"/>
      <c r="Z502" s="149"/>
      <c r="AA502" s="149"/>
      <c r="AB502" s="149"/>
      <c r="AC502" s="149"/>
      <c r="AD502" s="148"/>
      <c r="AE502" s="148"/>
      <c r="AF502" s="148"/>
      <c r="DB502" s="149"/>
    </row>
    <row r="503" spans="2:106">
      <c r="B503" s="149"/>
      <c r="C503" s="149"/>
      <c r="D503" s="149"/>
      <c r="E503" s="149"/>
      <c r="F503" s="149"/>
      <c r="G503" s="149"/>
      <c r="H503" s="149"/>
      <c r="I503" s="149"/>
      <c r="J503" s="149"/>
      <c r="K503" s="149"/>
      <c r="L503" s="149"/>
      <c r="M503" s="149"/>
      <c r="N503" s="149"/>
      <c r="O503" s="149"/>
      <c r="P503" s="149"/>
      <c r="Q503" s="149"/>
      <c r="R503" s="149"/>
      <c r="S503" s="149"/>
      <c r="T503" s="149"/>
      <c r="U503" s="149"/>
      <c r="V503" s="149"/>
      <c r="W503" s="149"/>
      <c r="X503" s="149"/>
      <c r="Y503" s="149"/>
      <c r="Z503" s="149"/>
      <c r="AA503" s="149"/>
      <c r="AB503" s="149"/>
      <c r="AC503" s="149"/>
      <c r="AD503" s="148"/>
      <c r="AE503" s="148"/>
      <c r="AF503" s="148"/>
      <c r="DB503" s="149"/>
    </row>
    <row r="504" spans="2:106">
      <c r="B504" s="149"/>
      <c r="C504" s="149"/>
      <c r="D504" s="149"/>
      <c r="E504" s="149"/>
      <c r="F504" s="149"/>
      <c r="G504" s="149"/>
      <c r="H504" s="149"/>
      <c r="I504" s="149"/>
      <c r="J504" s="149"/>
      <c r="K504" s="149"/>
      <c r="L504" s="149"/>
      <c r="M504" s="149"/>
      <c r="N504" s="149"/>
      <c r="O504" s="149"/>
      <c r="P504" s="149"/>
      <c r="Q504" s="149"/>
      <c r="R504" s="149"/>
      <c r="S504" s="149"/>
      <c r="T504" s="149"/>
      <c r="U504" s="149"/>
      <c r="V504" s="149"/>
      <c r="W504" s="149"/>
      <c r="X504" s="149"/>
      <c r="Y504" s="149"/>
      <c r="Z504" s="149"/>
      <c r="AA504" s="149"/>
      <c r="AB504" s="149"/>
      <c r="AC504" s="149"/>
      <c r="AD504" s="148"/>
      <c r="AE504" s="148"/>
      <c r="AF504" s="148"/>
      <c r="DB504" s="149"/>
    </row>
    <row r="505" spans="2:106">
      <c r="B505" s="149"/>
      <c r="C505" s="149"/>
      <c r="D505" s="149"/>
      <c r="E505" s="149"/>
      <c r="F505" s="149"/>
      <c r="G505" s="149"/>
      <c r="H505" s="149"/>
      <c r="I505" s="149"/>
      <c r="J505" s="149"/>
      <c r="K505" s="149"/>
      <c r="L505" s="149"/>
      <c r="M505" s="149"/>
      <c r="N505" s="149"/>
      <c r="O505" s="149"/>
      <c r="P505" s="149"/>
      <c r="Q505" s="149"/>
      <c r="R505" s="149"/>
      <c r="S505" s="149"/>
      <c r="T505" s="149"/>
      <c r="U505" s="149"/>
      <c r="V505" s="149"/>
      <c r="W505" s="149"/>
      <c r="X505" s="149"/>
      <c r="Y505" s="149"/>
      <c r="Z505" s="149"/>
      <c r="AA505" s="149"/>
      <c r="AB505" s="149"/>
      <c r="AC505" s="149"/>
      <c r="AD505" s="148"/>
      <c r="AE505" s="148"/>
      <c r="AF505" s="148"/>
      <c r="DB505" s="149"/>
    </row>
    <row r="506" spans="2:106">
      <c r="B506" s="149"/>
      <c r="C506" s="149"/>
      <c r="D506" s="149"/>
      <c r="E506" s="149"/>
      <c r="F506" s="149"/>
      <c r="G506" s="149"/>
      <c r="H506" s="149"/>
      <c r="I506" s="149"/>
      <c r="J506" s="149"/>
      <c r="K506" s="149"/>
      <c r="L506" s="149"/>
      <c r="M506" s="149"/>
      <c r="N506" s="149"/>
      <c r="O506" s="149"/>
      <c r="P506" s="149"/>
      <c r="Q506" s="149"/>
      <c r="R506" s="149"/>
      <c r="S506" s="149"/>
      <c r="T506" s="149"/>
      <c r="U506" s="149"/>
      <c r="V506" s="149"/>
      <c r="W506" s="149"/>
      <c r="X506" s="149"/>
      <c r="Y506" s="149"/>
      <c r="Z506" s="149"/>
      <c r="AA506" s="149"/>
      <c r="AB506" s="149"/>
      <c r="AC506" s="149"/>
      <c r="AD506" s="148"/>
      <c r="AE506" s="148"/>
      <c r="AF506" s="148"/>
      <c r="DB506" s="149"/>
    </row>
    <row r="507" spans="2:106">
      <c r="B507" s="149"/>
      <c r="C507" s="149"/>
      <c r="D507" s="149"/>
      <c r="E507" s="149"/>
      <c r="F507" s="149"/>
      <c r="G507" s="149"/>
      <c r="H507" s="149"/>
      <c r="I507" s="149"/>
      <c r="J507" s="149"/>
      <c r="K507" s="149"/>
      <c r="L507" s="149"/>
      <c r="M507" s="149"/>
      <c r="N507" s="149"/>
      <c r="O507" s="149"/>
      <c r="P507" s="149"/>
      <c r="Q507" s="149"/>
      <c r="R507" s="149"/>
      <c r="S507" s="149"/>
      <c r="T507" s="149"/>
      <c r="U507" s="149"/>
      <c r="V507" s="149"/>
      <c r="W507" s="149"/>
      <c r="X507" s="149"/>
      <c r="Y507" s="149"/>
      <c r="Z507" s="149"/>
      <c r="AA507" s="149"/>
      <c r="AB507" s="149"/>
      <c r="AC507" s="149"/>
      <c r="AD507" s="148"/>
      <c r="AE507" s="148"/>
      <c r="AF507" s="148"/>
      <c r="DB507" s="149"/>
    </row>
    <row r="508" spans="2:106">
      <c r="B508" s="149"/>
      <c r="C508" s="149"/>
      <c r="D508" s="149"/>
      <c r="E508" s="149"/>
      <c r="F508" s="149"/>
      <c r="G508" s="149"/>
      <c r="H508" s="149"/>
      <c r="I508" s="149"/>
      <c r="J508" s="149"/>
      <c r="K508" s="149"/>
      <c r="L508" s="149"/>
      <c r="M508" s="149"/>
      <c r="N508" s="149"/>
      <c r="O508" s="149"/>
      <c r="P508" s="149"/>
      <c r="Q508" s="149"/>
      <c r="R508" s="149"/>
      <c r="S508" s="149"/>
      <c r="T508" s="149"/>
      <c r="U508" s="149"/>
      <c r="V508" s="149"/>
      <c r="W508" s="149"/>
      <c r="X508" s="149"/>
      <c r="Y508" s="149"/>
      <c r="Z508" s="149"/>
      <c r="AA508" s="149"/>
      <c r="AB508" s="149"/>
      <c r="AC508" s="149"/>
      <c r="AD508" s="148"/>
      <c r="AE508" s="148"/>
      <c r="AF508" s="148"/>
      <c r="DB508" s="149"/>
    </row>
    <row r="509" spans="2:106">
      <c r="B509" s="149"/>
      <c r="C509" s="149"/>
      <c r="D509" s="149"/>
      <c r="E509" s="149"/>
      <c r="F509" s="149"/>
      <c r="G509" s="149"/>
      <c r="H509" s="149"/>
      <c r="I509" s="149"/>
      <c r="J509" s="149"/>
      <c r="K509" s="149"/>
      <c r="L509" s="149"/>
      <c r="M509" s="149"/>
      <c r="N509" s="149"/>
      <c r="O509" s="149"/>
      <c r="P509" s="149"/>
      <c r="Q509" s="149"/>
      <c r="R509" s="149"/>
      <c r="S509" s="149"/>
      <c r="T509" s="149"/>
      <c r="U509" s="149"/>
      <c r="V509" s="149"/>
      <c r="W509" s="149"/>
      <c r="X509" s="149"/>
      <c r="Y509" s="149"/>
      <c r="Z509" s="149"/>
      <c r="AA509" s="149"/>
      <c r="AB509" s="149"/>
      <c r="AC509" s="149"/>
      <c r="AD509" s="148"/>
      <c r="AE509" s="148"/>
      <c r="AF509" s="148"/>
      <c r="DB509" s="149"/>
    </row>
    <row r="510" spans="2:106">
      <c r="B510" s="149"/>
      <c r="C510" s="149"/>
      <c r="D510" s="149"/>
      <c r="E510" s="149"/>
      <c r="F510" s="149"/>
      <c r="G510" s="149"/>
      <c r="H510" s="149"/>
      <c r="I510" s="149"/>
      <c r="J510" s="149"/>
      <c r="K510" s="149"/>
      <c r="L510" s="149"/>
      <c r="M510" s="149"/>
      <c r="N510" s="149"/>
      <c r="O510" s="149"/>
      <c r="P510" s="149"/>
      <c r="Q510" s="149"/>
      <c r="R510" s="149"/>
      <c r="S510" s="149"/>
      <c r="T510" s="149"/>
      <c r="U510" s="149"/>
      <c r="V510" s="149"/>
      <c r="W510" s="149"/>
      <c r="X510" s="149"/>
      <c r="Y510" s="149"/>
      <c r="Z510" s="149"/>
      <c r="AA510" s="149"/>
      <c r="AB510" s="149"/>
      <c r="AC510" s="149"/>
      <c r="AD510" s="148"/>
      <c r="AE510" s="148"/>
      <c r="AF510" s="148"/>
      <c r="DB510" s="149"/>
    </row>
    <row r="511" spans="2:106">
      <c r="B511" s="149"/>
      <c r="C511" s="149"/>
      <c r="D511" s="149"/>
      <c r="E511" s="149"/>
      <c r="F511" s="149"/>
      <c r="G511" s="149"/>
      <c r="H511" s="149"/>
      <c r="I511" s="149"/>
      <c r="J511" s="149"/>
      <c r="K511" s="149"/>
      <c r="L511" s="149"/>
      <c r="M511" s="149"/>
      <c r="N511" s="149"/>
      <c r="O511" s="149"/>
      <c r="P511" s="149"/>
      <c r="Q511" s="149"/>
      <c r="R511" s="149"/>
      <c r="S511" s="149"/>
      <c r="T511" s="149"/>
      <c r="U511" s="149"/>
      <c r="V511" s="149"/>
      <c r="W511" s="149"/>
      <c r="X511" s="149"/>
      <c r="Y511" s="149"/>
      <c r="Z511" s="149"/>
      <c r="AA511" s="149"/>
      <c r="AB511" s="149"/>
      <c r="AC511" s="149"/>
      <c r="AD511" s="148"/>
      <c r="AE511" s="148"/>
      <c r="AF511" s="148"/>
      <c r="DB511" s="149"/>
    </row>
    <row r="512" spans="2:106">
      <c r="B512" s="149"/>
      <c r="C512" s="149"/>
      <c r="D512" s="149"/>
      <c r="E512" s="149"/>
      <c r="F512" s="149"/>
      <c r="G512" s="149"/>
      <c r="H512" s="149"/>
      <c r="I512" s="149"/>
      <c r="J512" s="149"/>
      <c r="K512" s="149"/>
      <c r="L512" s="149"/>
      <c r="M512" s="149"/>
      <c r="N512" s="149"/>
      <c r="O512" s="149"/>
      <c r="P512" s="149"/>
      <c r="Q512" s="149"/>
      <c r="R512" s="149"/>
      <c r="S512" s="149"/>
      <c r="T512" s="149"/>
      <c r="U512" s="149"/>
      <c r="V512" s="149"/>
      <c r="W512" s="149"/>
      <c r="X512" s="149"/>
      <c r="Y512" s="149"/>
      <c r="Z512" s="149"/>
      <c r="AA512" s="149"/>
      <c r="AB512" s="149"/>
      <c r="AC512" s="149"/>
      <c r="AD512" s="148"/>
      <c r="AE512" s="148"/>
      <c r="AF512" s="148"/>
      <c r="DB512" s="149"/>
    </row>
    <row r="513" spans="2:106">
      <c r="B513" s="149"/>
      <c r="C513" s="149"/>
      <c r="D513" s="149"/>
      <c r="E513" s="149"/>
      <c r="F513" s="149"/>
      <c r="G513" s="149"/>
      <c r="H513" s="149"/>
      <c r="I513" s="149"/>
      <c r="J513" s="149"/>
      <c r="K513" s="149"/>
      <c r="L513" s="149"/>
      <c r="M513" s="149"/>
      <c r="N513" s="149"/>
      <c r="O513" s="149"/>
      <c r="P513" s="149"/>
      <c r="Q513" s="149"/>
      <c r="R513" s="149"/>
      <c r="S513" s="149"/>
      <c r="T513" s="149"/>
      <c r="U513" s="149"/>
      <c r="V513" s="149"/>
      <c r="W513" s="149"/>
      <c r="X513" s="149"/>
      <c r="Y513" s="149"/>
      <c r="Z513" s="149"/>
      <c r="AA513" s="149"/>
      <c r="AB513" s="149"/>
      <c r="AC513" s="149"/>
      <c r="AD513" s="148"/>
      <c r="AE513" s="148"/>
      <c r="AF513" s="148"/>
      <c r="DB513" s="149"/>
    </row>
    <row r="514" spans="2:106">
      <c r="B514" s="149"/>
      <c r="C514" s="149"/>
      <c r="D514" s="149"/>
      <c r="E514" s="149"/>
      <c r="F514" s="149"/>
      <c r="G514" s="149"/>
      <c r="H514" s="149"/>
      <c r="I514" s="149"/>
      <c r="J514" s="149"/>
      <c r="K514" s="149"/>
      <c r="L514" s="149"/>
      <c r="M514" s="149"/>
      <c r="N514" s="149"/>
      <c r="O514" s="149"/>
      <c r="P514" s="149"/>
      <c r="Q514" s="149"/>
      <c r="R514" s="149"/>
      <c r="S514" s="149"/>
      <c r="T514" s="149"/>
      <c r="U514" s="149"/>
      <c r="V514" s="149"/>
      <c r="W514" s="149"/>
      <c r="X514" s="149"/>
      <c r="Y514" s="149"/>
      <c r="Z514" s="149"/>
      <c r="AA514" s="149"/>
      <c r="AB514" s="149"/>
      <c r="AC514" s="149"/>
      <c r="AD514" s="148"/>
      <c r="AE514" s="148"/>
      <c r="AF514" s="148"/>
      <c r="DB514" s="149"/>
    </row>
    <row r="515" spans="2:106">
      <c r="B515" s="149"/>
      <c r="C515" s="149"/>
      <c r="D515" s="149"/>
      <c r="E515" s="149"/>
      <c r="F515" s="149"/>
      <c r="G515" s="149"/>
      <c r="H515" s="149"/>
      <c r="I515" s="149"/>
      <c r="J515" s="149"/>
      <c r="K515" s="149"/>
      <c r="L515" s="149"/>
      <c r="M515" s="149"/>
      <c r="N515" s="149"/>
      <c r="O515" s="149"/>
      <c r="P515" s="149"/>
      <c r="Q515" s="149"/>
      <c r="R515" s="149"/>
      <c r="S515" s="149"/>
      <c r="T515" s="149"/>
      <c r="U515" s="149"/>
      <c r="V515" s="149"/>
      <c r="W515" s="149"/>
      <c r="X515" s="149"/>
      <c r="Y515" s="149"/>
      <c r="Z515" s="149"/>
      <c r="AA515" s="149"/>
      <c r="AB515" s="149"/>
      <c r="AC515" s="149"/>
      <c r="AD515" s="148"/>
      <c r="AE515" s="148"/>
      <c r="AF515" s="148"/>
      <c r="DB515" s="149"/>
    </row>
    <row r="516" spans="2:106">
      <c r="B516" s="149"/>
      <c r="C516" s="149"/>
      <c r="D516" s="149"/>
      <c r="E516" s="149"/>
      <c r="F516" s="149"/>
      <c r="G516" s="149"/>
      <c r="H516" s="149"/>
      <c r="I516" s="149"/>
      <c r="J516" s="149"/>
      <c r="K516" s="149"/>
      <c r="L516" s="149"/>
      <c r="M516" s="149"/>
      <c r="N516" s="149"/>
      <c r="O516" s="149"/>
      <c r="P516" s="149"/>
      <c r="Q516" s="149"/>
      <c r="R516" s="149"/>
      <c r="S516" s="149"/>
      <c r="T516" s="149"/>
      <c r="U516" s="149"/>
      <c r="V516" s="149"/>
      <c r="W516" s="149"/>
      <c r="X516" s="149"/>
      <c r="Y516" s="149"/>
      <c r="Z516" s="149"/>
      <c r="AA516" s="149"/>
      <c r="AB516" s="149"/>
      <c r="AC516" s="149"/>
      <c r="AD516" s="148"/>
      <c r="AE516" s="148"/>
      <c r="AF516" s="148"/>
      <c r="DB516" s="149"/>
    </row>
    <row r="517" spans="2:106">
      <c r="B517" s="149"/>
      <c r="C517" s="149"/>
      <c r="D517" s="149"/>
      <c r="E517" s="149"/>
      <c r="F517" s="149"/>
      <c r="G517" s="149"/>
      <c r="H517" s="149"/>
      <c r="I517" s="149"/>
      <c r="J517" s="149"/>
      <c r="K517" s="149"/>
      <c r="L517" s="149"/>
      <c r="M517" s="149"/>
      <c r="N517" s="149"/>
      <c r="O517" s="149"/>
      <c r="P517" s="149"/>
      <c r="Q517" s="149"/>
      <c r="R517" s="149"/>
      <c r="S517" s="149"/>
      <c r="T517" s="149"/>
      <c r="U517" s="149"/>
      <c r="V517" s="149"/>
      <c r="W517" s="149"/>
      <c r="X517" s="149"/>
      <c r="Y517" s="149"/>
      <c r="Z517" s="149"/>
      <c r="AA517" s="149"/>
      <c r="AB517" s="149"/>
      <c r="AC517" s="149"/>
      <c r="AD517" s="148"/>
      <c r="AE517" s="148"/>
      <c r="AF517" s="148"/>
      <c r="DB517" s="149"/>
    </row>
    <row r="518" spans="2:106">
      <c r="B518" s="149"/>
      <c r="C518" s="149"/>
      <c r="D518" s="149"/>
      <c r="E518" s="149"/>
      <c r="F518" s="149"/>
      <c r="G518" s="149"/>
      <c r="H518" s="149"/>
      <c r="I518" s="149"/>
      <c r="J518" s="149"/>
      <c r="K518" s="149"/>
      <c r="L518" s="149"/>
      <c r="M518" s="149"/>
      <c r="N518" s="149"/>
      <c r="O518" s="149"/>
      <c r="P518" s="149"/>
      <c r="Q518" s="149"/>
      <c r="R518" s="149"/>
      <c r="S518" s="149"/>
      <c r="T518" s="149"/>
      <c r="U518" s="149"/>
      <c r="V518" s="149"/>
      <c r="W518" s="149"/>
      <c r="X518" s="149"/>
      <c r="Y518" s="149"/>
      <c r="Z518" s="149"/>
      <c r="AA518" s="149"/>
      <c r="AB518" s="149"/>
      <c r="AC518" s="149"/>
      <c r="AD518" s="148"/>
      <c r="AE518" s="148"/>
      <c r="AF518" s="148"/>
      <c r="DB518" s="149"/>
    </row>
    <row r="519" spans="2:106">
      <c r="B519" s="149"/>
      <c r="C519" s="149"/>
      <c r="D519" s="149"/>
      <c r="E519" s="149"/>
      <c r="F519" s="149"/>
      <c r="G519" s="149"/>
      <c r="H519" s="149"/>
      <c r="I519" s="149"/>
      <c r="J519" s="149"/>
      <c r="K519" s="149"/>
      <c r="L519" s="149"/>
      <c r="M519" s="149"/>
      <c r="N519" s="149"/>
      <c r="O519" s="149"/>
      <c r="P519" s="149"/>
      <c r="Q519" s="149"/>
      <c r="R519" s="149"/>
      <c r="S519" s="149"/>
      <c r="T519" s="149"/>
      <c r="U519" s="149"/>
      <c r="V519" s="149"/>
      <c r="W519" s="149"/>
      <c r="X519" s="149"/>
      <c r="Y519" s="149"/>
      <c r="Z519" s="149"/>
      <c r="AA519" s="149"/>
      <c r="AB519" s="149"/>
      <c r="AC519" s="149"/>
      <c r="AD519" s="148"/>
      <c r="AE519" s="148"/>
      <c r="AF519" s="148"/>
      <c r="DB519" s="149"/>
    </row>
    <row r="520" spans="2:106">
      <c r="B520" s="149"/>
      <c r="C520" s="149"/>
      <c r="D520" s="149"/>
      <c r="E520" s="149"/>
      <c r="F520" s="149"/>
      <c r="G520" s="149"/>
      <c r="H520" s="149"/>
      <c r="I520" s="149"/>
      <c r="J520" s="149"/>
      <c r="K520" s="149"/>
      <c r="L520" s="149"/>
      <c r="M520" s="149"/>
      <c r="N520" s="149"/>
      <c r="O520" s="149"/>
      <c r="P520" s="149"/>
      <c r="Q520" s="149"/>
      <c r="R520" s="149"/>
      <c r="S520" s="149"/>
      <c r="T520" s="149"/>
      <c r="U520" s="149"/>
      <c r="V520" s="149"/>
      <c r="W520" s="149"/>
      <c r="X520" s="149"/>
      <c r="Y520" s="149"/>
      <c r="Z520" s="149"/>
      <c r="AA520" s="149"/>
      <c r="AB520" s="149"/>
      <c r="AC520" s="149"/>
      <c r="AD520" s="148"/>
      <c r="AE520" s="148"/>
      <c r="AF520" s="148"/>
      <c r="DB520" s="149"/>
    </row>
    <row r="521" spans="2:106">
      <c r="B521" s="149"/>
      <c r="C521" s="149"/>
      <c r="D521" s="149"/>
      <c r="E521" s="149"/>
      <c r="F521" s="149"/>
      <c r="G521" s="149"/>
      <c r="H521" s="149"/>
      <c r="I521" s="149"/>
      <c r="J521" s="149"/>
      <c r="K521" s="149"/>
      <c r="L521" s="149"/>
      <c r="M521" s="149"/>
      <c r="N521" s="149"/>
      <c r="O521" s="149"/>
      <c r="P521" s="149"/>
      <c r="Q521" s="149"/>
      <c r="R521" s="149"/>
      <c r="S521" s="149"/>
      <c r="T521" s="149"/>
      <c r="U521" s="149"/>
      <c r="V521" s="149"/>
      <c r="W521" s="149"/>
      <c r="X521" s="149"/>
      <c r="Y521" s="149"/>
      <c r="Z521" s="149"/>
      <c r="AA521" s="149"/>
      <c r="AB521" s="149"/>
      <c r="AC521" s="149"/>
      <c r="AD521" s="148"/>
      <c r="AE521" s="148"/>
      <c r="AF521" s="148"/>
      <c r="DB521" s="149"/>
    </row>
    <row r="522" spans="2:106">
      <c r="B522" s="149"/>
      <c r="C522" s="149"/>
      <c r="D522" s="149"/>
      <c r="E522" s="149"/>
      <c r="F522" s="149"/>
      <c r="G522" s="149"/>
      <c r="H522" s="149"/>
      <c r="I522" s="149"/>
      <c r="J522" s="149"/>
      <c r="K522" s="149"/>
      <c r="L522" s="149"/>
      <c r="M522" s="149"/>
      <c r="N522" s="149"/>
      <c r="O522" s="149"/>
      <c r="P522" s="149"/>
      <c r="Q522" s="149"/>
      <c r="R522" s="149"/>
      <c r="S522" s="149"/>
      <c r="T522" s="149"/>
      <c r="U522" s="149"/>
      <c r="V522" s="149"/>
      <c r="W522" s="149"/>
      <c r="X522" s="149"/>
      <c r="Y522" s="149"/>
      <c r="Z522" s="149"/>
      <c r="AA522" s="149"/>
      <c r="AB522" s="149"/>
      <c r="AC522" s="149"/>
      <c r="AD522" s="148"/>
      <c r="AE522" s="148"/>
      <c r="AF522" s="148"/>
      <c r="DB522" s="149"/>
    </row>
    <row r="523" spans="2:106">
      <c r="B523" s="149"/>
      <c r="C523" s="149"/>
      <c r="D523" s="149"/>
      <c r="E523" s="149"/>
      <c r="F523" s="149"/>
      <c r="G523" s="149"/>
      <c r="H523" s="149"/>
      <c r="I523" s="149"/>
      <c r="J523" s="149"/>
      <c r="K523" s="149"/>
      <c r="L523" s="149"/>
      <c r="M523" s="149"/>
      <c r="N523" s="149"/>
      <c r="O523" s="149"/>
      <c r="P523" s="149"/>
      <c r="Q523" s="149"/>
      <c r="R523" s="149"/>
      <c r="S523" s="149"/>
      <c r="T523" s="149"/>
      <c r="U523" s="149"/>
      <c r="V523" s="149"/>
      <c r="W523" s="149"/>
      <c r="X523" s="149"/>
      <c r="Y523" s="149"/>
      <c r="Z523" s="149"/>
      <c r="AA523" s="149"/>
      <c r="AB523" s="149"/>
      <c r="AC523" s="149"/>
      <c r="AD523" s="148"/>
      <c r="AE523" s="148"/>
      <c r="AF523" s="148"/>
      <c r="DB523" s="149"/>
    </row>
    <row r="524" spans="2:106">
      <c r="B524" s="149"/>
      <c r="C524" s="149"/>
      <c r="D524" s="149"/>
      <c r="E524" s="149"/>
      <c r="F524" s="149"/>
      <c r="G524" s="149"/>
      <c r="H524" s="149"/>
      <c r="I524" s="149"/>
      <c r="J524" s="149"/>
      <c r="K524" s="149"/>
      <c r="L524" s="149"/>
      <c r="M524" s="149"/>
      <c r="N524" s="149"/>
      <c r="O524" s="149"/>
      <c r="P524" s="149"/>
      <c r="Q524" s="149"/>
      <c r="R524" s="149"/>
      <c r="S524" s="149"/>
      <c r="T524" s="149"/>
      <c r="U524" s="149"/>
      <c r="V524" s="149"/>
      <c r="W524" s="149"/>
      <c r="X524" s="149"/>
      <c r="Y524" s="149"/>
      <c r="Z524" s="149"/>
      <c r="AA524" s="149"/>
      <c r="AB524" s="149"/>
      <c r="AC524" s="149"/>
      <c r="AD524" s="148"/>
      <c r="AE524" s="148"/>
      <c r="AF524" s="148"/>
      <c r="DB524" s="149"/>
    </row>
    <row r="525" spans="2:106">
      <c r="B525" s="149"/>
      <c r="C525" s="149"/>
      <c r="D525" s="149"/>
      <c r="E525" s="149"/>
      <c r="F525" s="149"/>
      <c r="G525" s="149"/>
      <c r="H525" s="149"/>
      <c r="I525" s="149"/>
      <c r="J525" s="149"/>
      <c r="K525" s="149"/>
      <c r="L525" s="149"/>
      <c r="M525" s="149"/>
      <c r="N525" s="149"/>
      <c r="O525" s="149"/>
      <c r="P525" s="149"/>
      <c r="Q525" s="149"/>
      <c r="R525" s="149"/>
      <c r="S525" s="149"/>
      <c r="T525" s="149"/>
      <c r="U525" s="149"/>
      <c r="V525" s="149"/>
      <c r="W525" s="149"/>
      <c r="X525" s="149"/>
      <c r="Y525" s="149"/>
      <c r="Z525" s="149"/>
      <c r="AA525" s="149"/>
      <c r="AB525" s="149"/>
      <c r="AC525" s="149"/>
      <c r="AD525" s="148"/>
      <c r="AE525" s="148"/>
      <c r="AF525" s="148"/>
      <c r="DB525" s="149"/>
    </row>
    <row r="526" spans="2:106">
      <c r="B526" s="149"/>
      <c r="C526" s="149"/>
      <c r="D526" s="149"/>
      <c r="E526" s="149"/>
      <c r="F526" s="149"/>
      <c r="G526" s="149"/>
      <c r="H526" s="149"/>
      <c r="I526" s="149"/>
      <c r="J526" s="149"/>
      <c r="K526" s="149"/>
      <c r="L526" s="149"/>
      <c r="M526" s="149"/>
      <c r="N526" s="149"/>
      <c r="O526" s="149"/>
      <c r="P526" s="149"/>
      <c r="Q526" s="149"/>
      <c r="R526" s="149"/>
      <c r="S526" s="149"/>
      <c r="T526" s="149"/>
      <c r="U526" s="149"/>
      <c r="V526" s="149"/>
      <c r="W526" s="149"/>
      <c r="X526" s="149"/>
      <c r="Y526" s="149"/>
      <c r="Z526" s="149"/>
      <c r="AA526" s="149"/>
      <c r="AB526" s="149"/>
      <c r="AC526" s="149"/>
      <c r="AD526" s="148"/>
      <c r="AE526" s="148"/>
      <c r="AF526" s="148"/>
      <c r="DB526" s="149"/>
    </row>
    <row r="527" spans="2:106">
      <c r="B527" s="149"/>
      <c r="C527" s="149"/>
      <c r="D527" s="149"/>
      <c r="E527" s="149"/>
      <c r="F527" s="149"/>
      <c r="G527" s="149"/>
      <c r="H527" s="149"/>
      <c r="I527" s="149"/>
      <c r="J527" s="149"/>
      <c r="K527" s="149"/>
      <c r="L527" s="149"/>
      <c r="M527" s="149"/>
      <c r="N527" s="149"/>
      <c r="O527" s="149"/>
      <c r="P527" s="149"/>
      <c r="Q527" s="149"/>
      <c r="R527" s="149"/>
      <c r="S527" s="149"/>
      <c r="T527" s="149"/>
      <c r="U527" s="149"/>
      <c r="V527" s="149"/>
      <c r="W527" s="149"/>
      <c r="X527" s="149"/>
      <c r="Y527" s="149"/>
      <c r="Z527" s="149"/>
      <c r="AA527" s="149"/>
      <c r="AB527" s="149"/>
      <c r="AC527" s="149"/>
      <c r="AD527" s="148"/>
      <c r="AE527" s="148"/>
      <c r="AF527" s="148"/>
      <c r="DB527" s="149"/>
    </row>
    <row r="528" spans="2:106">
      <c r="B528" s="149"/>
      <c r="C528" s="149"/>
      <c r="D528" s="149"/>
      <c r="E528" s="149"/>
      <c r="F528" s="149"/>
      <c r="G528" s="149"/>
      <c r="H528" s="149"/>
      <c r="I528" s="149"/>
      <c r="J528" s="149"/>
      <c r="K528" s="149"/>
      <c r="L528" s="149"/>
      <c r="M528" s="149"/>
      <c r="N528" s="149"/>
      <c r="O528" s="149"/>
      <c r="P528" s="149"/>
      <c r="Q528" s="149"/>
      <c r="R528" s="149"/>
      <c r="S528" s="149"/>
      <c r="T528" s="149"/>
      <c r="U528" s="149"/>
      <c r="V528" s="149"/>
      <c r="W528" s="149"/>
      <c r="X528" s="149"/>
      <c r="Y528" s="149"/>
      <c r="Z528" s="149"/>
      <c r="AA528" s="149"/>
      <c r="AB528" s="149"/>
      <c r="AC528" s="149"/>
      <c r="AD528" s="148"/>
      <c r="AE528" s="148"/>
      <c r="AF528" s="148"/>
      <c r="DB528" s="149"/>
    </row>
    <row r="529" spans="2:106">
      <c r="B529" s="149"/>
      <c r="C529" s="149"/>
      <c r="D529" s="149"/>
      <c r="E529" s="149"/>
      <c r="F529" s="149"/>
      <c r="G529" s="149"/>
      <c r="H529" s="149"/>
      <c r="I529" s="149"/>
      <c r="J529" s="149"/>
      <c r="K529" s="149"/>
      <c r="L529" s="149"/>
      <c r="M529" s="149"/>
      <c r="N529" s="149"/>
      <c r="O529" s="149"/>
      <c r="P529" s="149"/>
      <c r="Q529" s="149"/>
      <c r="R529" s="149"/>
      <c r="S529" s="149"/>
      <c r="T529" s="149"/>
      <c r="U529" s="149"/>
      <c r="V529" s="149"/>
      <c r="W529" s="149"/>
      <c r="X529" s="149"/>
      <c r="Y529" s="149"/>
      <c r="Z529" s="149"/>
      <c r="AA529" s="149"/>
      <c r="AB529" s="149"/>
      <c r="AC529" s="149"/>
      <c r="AD529" s="148"/>
      <c r="AE529" s="148"/>
      <c r="AF529" s="148"/>
      <c r="DB529" s="149"/>
    </row>
    <row r="530" spans="2:106">
      <c r="B530" s="149"/>
      <c r="C530" s="149"/>
      <c r="D530" s="149"/>
      <c r="E530" s="149"/>
      <c r="F530" s="149"/>
      <c r="G530" s="149"/>
      <c r="H530" s="149"/>
      <c r="I530" s="149"/>
      <c r="J530" s="149"/>
      <c r="K530" s="149"/>
      <c r="L530" s="149"/>
      <c r="M530" s="149"/>
      <c r="N530" s="149"/>
      <c r="O530" s="149"/>
      <c r="P530" s="149"/>
      <c r="Q530" s="149"/>
      <c r="R530" s="149"/>
      <c r="S530" s="149"/>
      <c r="T530" s="149"/>
      <c r="U530" s="149"/>
      <c r="V530" s="149"/>
      <c r="W530" s="149"/>
      <c r="X530" s="149"/>
      <c r="Y530" s="149"/>
      <c r="Z530" s="149"/>
      <c r="AA530" s="149"/>
      <c r="AB530" s="149"/>
      <c r="AC530" s="149"/>
      <c r="AD530" s="148"/>
      <c r="AE530" s="148"/>
      <c r="AF530" s="148"/>
      <c r="DB530" s="149"/>
    </row>
    <row r="531" spans="2:106">
      <c r="B531" s="149"/>
      <c r="C531" s="149"/>
      <c r="D531" s="149"/>
      <c r="E531" s="149"/>
      <c r="F531" s="149"/>
      <c r="G531" s="149"/>
      <c r="H531" s="149"/>
      <c r="I531" s="149"/>
      <c r="J531" s="149"/>
      <c r="K531" s="149"/>
      <c r="L531" s="149"/>
      <c r="M531" s="149"/>
      <c r="N531" s="149"/>
      <c r="O531" s="149"/>
      <c r="P531" s="149"/>
      <c r="Q531" s="149"/>
      <c r="R531" s="149"/>
      <c r="S531" s="149"/>
      <c r="T531" s="149"/>
      <c r="U531" s="149"/>
      <c r="V531" s="149"/>
      <c r="W531" s="149"/>
      <c r="X531" s="149"/>
      <c r="Y531" s="149"/>
      <c r="Z531" s="149"/>
      <c r="AA531" s="149"/>
      <c r="AB531" s="149"/>
      <c r="AC531" s="149"/>
      <c r="AD531" s="148"/>
      <c r="AE531" s="148"/>
      <c r="AF531" s="148"/>
      <c r="DB531" s="149"/>
    </row>
    <row r="532" spans="2:106">
      <c r="B532" s="149"/>
      <c r="C532" s="149"/>
      <c r="D532" s="149"/>
      <c r="E532" s="149"/>
      <c r="F532" s="149"/>
      <c r="G532" s="149"/>
      <c r="H532" s="149"/>
      <c r="I532" s="149"/>
      <c r="J532" s="149"/>
      <c r="K532" s="149"/>
      <c r="L532" s="149"/>
      <c r="M532" s="149"/>
      <c r="N532" s="149"/>
      <c r="O532" s="149"/>
      <c r="P532" s="149"/>
      <c r="Q532" s="149"/>
      <c r="R532" s="149"/>
      <c r="S532" s="149"/>
      <c r="T532" s="149"/>
      <c r="U532" s="149"/>
      <c r="V532" s="149"/>
      <c r="W532" s="149"/>
      <c r="X532" s="149"/>
      <c r="Y532" s="149"/>
      <c r="Z532" s="149"/>
      <c r="AA532" s="149"/>
      <c r="AB532" s="149"/>
      <c r="AC532" s="149"/>
      <c r="AD532" s="148"/>
      <c r="AE532" s="148"/>
      <c r="AF532" s="148"/>
      <c r="DB532" s="149"/>
    </row>
    <row r="533" spans="2:106">
      <c r="B533" s="149"/>
      <c r="C533" s="149"/>
      <c r="D533" s="149"/>
      <c r="E533" s="149"/>
      <c r="F533" s="149"/>
      <c r="G533" s="149"/>
      <c r="H533" s="149"/>
      <c r="I533" s="149"/>
      <c r="J533" s="149"/>
      <c r="K533" s="149"/>
      <c r="L533" s="149"/>
      <c r="M533" s="149"/>
      <c r="N533" s="149"/>
      <c r="O533" s="149"/>
      <c r="P533" s="149"/>
      <c r="Q533" s="149"/>
      <c r="R533" s="149"/>
      <c r="S533" s="149"/>
      <c r="T533" s="149"/>
      <c r="U533" s="149"/>
      <c r="V533" s="149"/>
      <c r="W533" s="149"/>
      <c r="X533" s="149"/>
      <c r="Y533" s="149"/>
      <c r="Z533" s="149"/>
      <c r="AA533" s="149"/>
      <c r="AB533" s="149"/>
      <c r="AC533" s="149"/>
      <c r="AD533" s="148"/>
      <c r="AE533" s="148"/>
      <c r="AF533" s="148"/>
      <c r="DB533" s="149"/>
    </row>
    <row r="534" spans="2:106">
      <c r="B534" s="149"/>
      <c r="C534" s="149"/>
      <c r="D534" s="149"/>
      <c r="E534" s="149"/>
      <c r="F534" s="149"/>
      <c r="G534" s="149"/>
      <c r="H534" s="149"/>
      <c r="I534" s="149"/>
      <c r="J534" s="149"/>
      <c r="K534" s="149"/>
      <c r="L534" s="149"/>
      <c r="M534" s="149"/>
      <c r="N534" s="149"/>
      <c r="O534" s="149"/>
      <c r="P534" s="149"/>
      <c r="Q534" s="149"/>
      <c r="R534" s="149"/>
      <c r="S534" s="149"/>
      <c r="T534" s="149"/>
      <c r="U534" s="149"/>
      <c r="V534" s="149"/>
      <c r="W534" s="149"/>
      <c r="X534" s="149"/>
      <c r="Y534" s="149"/>
      <c r="Z534" s="149"/>
      <c r="AA534" s="149"/>
      <c r="AB534" s="149"/>
      <c r="AC534" s="149"/>
      <c r="AD534" s="148"/>
      <c r="AE534" s="148"/>
      <c r="AF534" s="148"/>
      <c r="DB534" s="149"/>
    </row>
    <row r="535" spans="2:106">
      <c r="B535" s="149"/>
      <c r="C535" s="149"/>
      <c r="D535" s="149"/>
      <c r="E535" s="149"/>
      <c r="F535" s="149"/>
      <c r="G535" s="149"/>
      <c r="H535" s="149"/>
      <c r="I535" s="149"/>
      <c r="J535" s="149"/>
      <c r="K535" s="149"/>
      <c r="L535" s="149"/>
      <c r="M535" s="149"/>
      <c r="N535" s="149"/>
      <c r="O535" s="149"/>
      <c r="P535" s="149"/>
      <c r="Q535" s="149"/>
      <c r="R535" s="149"/>
      <c r="S535" s="149"/>
      <c r="T535" s="149"/>
      <c r="U535" s="149"/>
      <c r="V535" s="149"/>
      <c r="W535" s="149"/>
      <c r="X535" s="149"/>
      <c r="Y535" s="149"/>
      <c r="Z535" s="149"/>
      <c r="AA535" s="149"/>
      <c r="AB535" s="149"/>
      <c r="AC535" s="149"/>
      <c r="AD535" s="148"/>
      <c r="AE535" s="148"/>
      <c r="AF535" s="148"/>
      <c r="DB535" s="149"/>
    </row>
    <row r="536" spans="2:106">
      <c r="B536" s="149"/>
      <c r="C536" s="149"/>
      <c r="D536" s="149"/>
      <c r="E536" s="149"/>
      <c r="F536" s="149"/>
      <c r="G536" s="149"/>
      <c r="H536" s="149"/>
      <c r="I536" s="149"/>
      <c r="J536" s="149"/>
      <c r="K536" s="149"/>
      <c r="L536" s="149"/>
      <c r="M536" s="149"/>
      <c r="N536" s="149"/>
      <c r="O536" s="149"/>
      <c r="P536" s="149"/>
      <c r="Q536" s="149"/>
      <c r="R536" s="149"/>
      <c r="S536" s="149"/>
      <c r="T536" s="149"/>
      <c r="U536" s="149"/>
      <c r="V536" s="149"/>
      <c r="W536" s="149"/>
      <c r="X536" s="149"/>
      <c r="Y536" s="149"/>
      <c r="Z536" s="149"/>
      <c r="AA536" s="149"/>
      <c r="AB536" s="149"/>
      <c r="AC536" s="149"/>
      <c r="AD536" s="148"/>
      <c r="AE536" s="148"/>
      <c r="AF536" s="148"/>
      <c r="DB536" s="149"/>
    </row>
    <row r="537" spans="2:106">
      <c r="B537" s="149"/>
      <c r="C537" s="149"/>
      <c r="D537" s="149"/>
      <c r="E537" s="149"/>
      <c r="F537" s="149"/>
      <c r="G537" s="149"/>
      <c r="H537" s="149"/>
      <c r="I537" s="149"/>
      <c r="J537" s="149"/>
      <c r="K537" s="149"/>
      <c r="L537" s="149"/>
      <c r="M537" s="149"/>
      <c r="N537" s="149"/>
      <c r="O537" s="149"/>
      <c r="P537" s="149"/>
      <c r="Q537" s="149"/>
      <c r="R537" s="149"/>
      <c r="S537" s="149"/>
      <c r="T537" s="149"/>
      <c r="U537" s="149"/>
      <c r="V537" s="149"/>
      <c r="W537" s="149"/>
      <c r="X537" s="149"/>
      <c r="Y537" s="149"/>
      <c r="Z537" s="149"/>
      <c r="AA537" s="149"/>
      <c r="AB537" s="149"/>
      <c r="AC537" s="149"/>
      <c r="AD537" s="148"/>
      <c r="AE537" s="148"/>
      <c r="AF537" s="148"/>
      <c r="DB537" s="149"/>
    </row>
    <row r="538" spans="2:106">
      <c r="B538" s="149"/>
      <c r="C538" s="149"/>
      <c r="D538" s="149"/>
      <c r="E538" s="149"/>
      <c r="F538" s="149"/>
      <c r="G538" s="149"/>
      <c r="H538" s="149"/>
      <c r="I538" s="149"/>
      <c r="J538" s="149"/>
      <c r="K538" s="149"/>
      <c r="L538" s="149"/>
      <c r="M538" s="149"/>
      <c r="N538" s="149"/>
      <c r="O538" s="149"/>
      <c r="P538" s="149"/>
      <c r="Q538" s="149"/>
      <c r="R538" s="149"/>
      <c r="S538" s="149"/>
      <c r="T538" s="149"/>
      <c r="U538" s="149"/>
      <c r="V538" s="149"/>
      <c r="W538" s="149"/>
      <c r="X538" s="149"/>
      <c r="Y538" s="149"/>
      <c r="Z538" s="149"/>
      <c r="AA538" s="149"/>
      <c r="AB538" s="149"/>
      <c r="AC538" s="149"/>
      <c r="AD538" s="148"/>
      <c r="AE538" s="148"/>
      <c r="AF538" s="148"/>
      <c r="DB538" s="149"/>
    </row>
    <row r="539" spans="2:106">
      <c r="B539" s="149"/>
      <c r="C539" s="149"/>
      <c r="D539" s="149"/>
      <c r="E539" s="149"/>
      <c r="F539" s="149"/>
      <c r="G539" s="149"/>
      <c r="H539" s="149"/>
      <c r="I539" s="149"/>
      <c r="J539" s="149"/>
      <c r="K539" s="149"/>
      <c r="L539" s="149"/>
      <c r="M539" s="149"/>
      <c r="N539" s="149"/>
      <c r="O539" s="149"/>
      <c r="P539" s="149"/>
      <c r="Q539" s="149"/>
      <c r="R539" s="149"/>
      <c r="S539" s="149"/>
      <c r="T539" s="149"/>
      <c r="U539" s="149"/>
      <c r="V539" s="149"/>
      <c r="W539" s="149"/>
      <c r="X539" s="149"/>
      <c r="Y539" s="149"/>
      <c r="Z539" s="149"/>
      <c r="AA539" s="149"/>
      <c r="AB539" s="149"/>
      <c r="AC539" s="149"/>
      <c r="AD539" s="148"/>
      <c r="AE539" s="148"/>
      <c r="AF539" s="148"/>
      <c r="DB539" s="149"/>
    </row>
    <row r="540" spans="2:106">
      <c r="B540" s="149"/>
      <c r="C540" s="149"/>
      <c r="D540" s="149"/>
      <c r="E540" s="149"/>
      <c r="F540" s="149"/>
      <c r="G540" s="149"/>
      <c r="H540" s="149"/>
      <c r="I540" s="149"/>
      <c r="J540" s="149"/>
      <c r="K540" s="149"/>
      <c r="L540" s="149"/>
      <c r="M540" s="149"/>
      <c r="N540" s="149"/>
      <c r="O540" s="149"/>
      <c r="P540" s="149"/>
      <c r="Q540" s="149"/>
      <c r="R540" s="149"/>
      <c r="S540" s="149"/>
      <c r="T540" s="149"/>
      <c r="U540" s="149"/>
      <c r="V540" s="149"/>
      <c r="W540" s="149"/>
      <c r="X540" s="149"/>
      <c r="Y540" s="149"/>
      <c r="Z540" s="149"/>
      <c r="AA540" s="149"/>
      <c r="AB540" s="149"/>
      <c r="AC540" s="149"/>
      <c r="AD540" s="148"/>
      <c r="AE540" s="148"/>
      <c r="AF540" s="148"/>
      <c r="DB540" s="149"/>
    </row>
    <row r="541" spans="2:106">
      <c r="B541" s="149"/>
      <c r="C541" s="149"/>
      <c r="D541" s="149"/>
      <c r="E541" s="149"/>
      <c r="F541" s="149"/>
      <c r="G541" s="149"/>
      <c r="H541" s="149"/>
      <c r="I541" s="149"/>
      <c r="J541" s="149"/>
      <c r="K541" s="149"/>
      <c r="L541" s="149"/>
      <c r="M541" s="149"/>
      <c r="N541" s="149"/>
      <c r="O541" s="149"/>
      <c r="P541" s="149"/>
      <c r="Q541" s="149"/>
      <c r="R541" s="149"/>
      <c r="S541" s="149"/>
      <c r="T541" s="149"/>
      <c r="U541" s="149"/>
      <c r="V541" s="149"/>
      <c r="W541" s="149"/>
      <c r="X541" s="149"/>
      <c r="Y541" s="149"/>
      <c r="Z541" s="149"/>
      <c r="AA541" s="149"/>
      <c r="AB541" s="149"/>
      <c r="AC541" s="149"/>
      <c r="AD541" s="148"/>
      <c r="AE541" s="148"/>
      <c r="AF541" s="148"/>
      <c r="DB541" s="149"/>
    </row>
    <row r="542" spans="2:106">
      <c r="B542" s="149"/>
      <c r="C542" s="149"/>
      <c r="D542" s="149"/>
      <c r="E542" s="149"/>
      <c r="F542" s="149"/>
      <c r="G542" s="149"/>
      <c r="H542" s="149"/>
      <c r="I542" s="149"/>
      <c r="J542" s="149"/>
      <c r="K542" s="149"/>
      <c r="L542" s="149"/>
      <c r="M542" s="149"/>
      <c r="N542" s="149"/>
      <c r="O542" s="149"/>
      <c r="P542" s="149"/>
      <c r="Q542" s="149"/>
      <c r="R542" s="149"/>
      <c r="S542" s="149"/>
      <c r="T542" s="149"/>
      <c r="U542" s="149"/>
      <c r="V542" s="149"/>
      <c r="W542" s="149"/>
      <c r="X542" s="149"/>
      <c r="Y542" s="149"/>
      <c r="Z542" s="149"/>
      <c r="AA542" s="149"/>
      <c r="AB542" s="149"/>
      <c r="AC542" s="149"/>
      <c r="AD542" s="148"/>
      <c r="AE542" s="148"/>
      <c r="AF542" s="148"/>
      <c r="DB542" s="149"/>
    </row>
    <row r="543" spans="2:106">
      <c r="B543" s="149"/>
      <c r="C543" s="149"/>
      <c r="D543" s="149"/>
      <c r="E543" s="149"/>
      <c r="F543" s="149"/>
      <c r="G543" s="149"/>
      <c r="H543" s="149"/>
      <c r="I543" s="149"/>
      <c r="J543" s="149"/>
      <c r="K543" s="149"/>
      <c r="L543" s="149"/>
      <c r="M543" s="149"/>
      <c r="N543" s="149"/>
      <c r="O543" s="149"/>
      <c r="P543" s="149"/>
      <c r="Q543" s="149"/>
      <c r="R543" s="149"/>
      <c r="S543" s="149"/>
      <c r="T543" s="149"/>
      <c r="U543" s="149"/>
      <c r="V543" s="149"/>
      <c r="W543" s="149"/>
      <c r="X543" s="149"/>
      <c r="Y543" s="149"/>
      <c r="Z543" s="149"/>
      <c r="AA543" s="149"/>
      <c r="AB543" s="149"/>
      <c r="AC543" s="149"/>
      <c r="AD543" s="148"/>
      <c r="AE543" s="148"/>
      <c r="AF543" s="148"/>
      <c r="DB543" s="149"/>
    </row>
    <row r="544" spans="2:106">
      <c r="B544" s="149"/>
      <c r="C544" s="149"/>
      <c r="D544" s="149"/>
      <c r="E544" s="149"/>
      <c r="F544" s="149"/>
      <c r="G544" s="149"/>
      <c r="H544" s="149"/>
      <c r="I544" s="149"/>
      <c r="J544" s="149"/>
      <c r="K544" s="149"/>
      <c r="L544" s="149"/>
      <c r="M544" s="149"/>
      <c r="N544" s="149"/>
      <c r="O544" s="149"/>
      <c r="P544" s="149"/>
      <c r="Q544" s="149"/>
      <c r="R544" s="149"/>
      <c r="S544" s="149"/>
      <c r="T544" s="149"/>
      <c r="U544" s="149"/>
      <c r="V544" s="149"/>
      <c r="W544" s="149"/>
      <c r="X544" s="149"/>
      <c r="Y544" s="149"/>
      <c r="Z544" s="149"/>
      <c r="AA544" s="149"/>
      <c r="AB544" s="149"/>
      <c r="AC544" s="149"/>
      <c r="AD544" s="148"/>
      <c r="AE544" s="148"/>
      <c r="AF544" s="148"/>
      <c r="DB544" s="149"/>
    </row>
    <row r="545" spans="2:106">
      <c r="B545" s="149"/>
      <c r="C545" s="149"/>
      <c r="D545" s="149"/>
      <c r="E545" s="149"/>
      <c r="F545" s="149"/>
      <c r="G545" s="149"/>
      <c r="H545" s="149"/>
      <c r="I545" s="149"/>
      <c r="J545" s="149"/>
      <c r="K545" s="149"/>
      <c r="L545" s="149"/>
      <c r="M545" s="149"/>
      <c r="N545" s="149"/>
      <c r="O545" s="149"/>
      <c r="P545" s="149"/>
      <c r="Q545" s="149"/>
      <c r="R545" s="149"/>
      <c r="S545" s="149"/>
      <c r="T545" s="149"/>
      <c r="U545" s="149"/>
      <c r="V545" s="149"/>
      <c r="W545" s="149"/>
      <c r="X545" s="149"/>
      <c r="Y545" s="149"/>
      <c r="Z545" s="149"/>
      <c r="AA545" s="149"/>
      <c r="AB545" s="149"/>
      <c r="AC545" s="149"/>
      <c r="AD545" s="148"/>
      <c r="AE545" s="148"/>
      <c r="AF545" s="148"/>
      <c r="DB545" s="149"/>
    </row>
    <row r="546" spans="2:106">
      <c r="B546" s="149"/>
      <c r="C546" s="149"/>
      <c r="D546" s="149"/>
      <c r="E546" s="149"/>
      <c r="F546" s="149"/>
      <c r="G546" s="149"/>
      <c r="H546" s="149"/>
      <c r="I546" s="149"/>
      <c r="J546" s="149"/>
      <c r="K546" s="149"/>
      <c r="L546" s="149"/>
      <c r="M546" s="149"/>
      <c r="N546" s="149"/>
      <c r="O546" s="149"/>
      <c r="P546" s="149"/>
      <c r="Q546" s="149"/>
      <c r="R546" s="149"/>
      <c r="S546" s="149"/>
      <c r="T546" s="149"/>
      <c r="U546" s="149"/>
      <c r="V546" s="149"/>
      <c r="W546" s="149"/>
      <c r="X546" s="149"/>
      <c r="Y546" s="149"/>
      <c r="Z546" s="149"/>
      <c r="AA546" s="149"/>
      <c r="AB546" s="149"/>
      <c r="AC546" s="149"/>
      <c r="AD546" s="148"/>
      <c r="AE546" s="148"/>
      <c r="AF546" s="148"/>
      <c r="DB546" s="149"/>
    </row>
    <row r="547" spans="2:106">
      <c r="B547" s="149"/>
      <c r="C547" s="149"/>
      <c r="D547" s="149"/>
      <c r="E547" s="149"/>
      <c r="F547" s="149"/>
      <c r="G547" s="149"/>
      <c r="H547" s="149"/>
      <c r="I547" s="149"/>
      <c r="J547" s="149"/>
      <c r="K547" s="149"/>
      <c r="L547" s="149"/>
      <c r="M547" s="149"/>
      <c r="N547" s="149"/>
      <c r="O547" s="149"/>
      <c r="P547" s="149"/>
      <c r="Q547" s="149"/>
      <c r="R547" s="149"/>
      <c r="S547" s="149"/>
      <c r="T547" s="149"/>
      <c r="U547" s="149"/>
      <c r="V547" s="149"/>
      <c r="W547" s="149"/>
      <c r="X547" s="149"/>
      <c r="Y547" s="149"/>
      <c r="Z547" s="149"/>
      <c r="AA547" s="149"/>
      <c r="AB547" s="149"/>
      <c r="AC547" s="149"/>
      <c r="AD547" s="148"/>
      <c r="AE547" s="148"/>
      <c r="AF547" s="148"/>
      <c r="DB547" s="149"/>
    </row>
    <row r="548" spans="2:106">
      <c r="B548" s="149"/>
      <c r="C548" s="149"/>
      <c r="D548" s="149"/>
      <c r="E548" s="149"/>
      <c r="F548" s="149"/>
      <c r="G548" s="149"/>
      <c r="H548" s="149"/>
      <c r="I548" s="149"/>
      <c r="J548" s="149"/>
      <c r="K548" s="149"/>
      <c r="L548" s="149"/>
      <c r="M548" s="149"/>
      <c r="N548" s="149"/>
      <c r="O548" s="149"/>
      <c r="P548" s="149"/>
      <c r="Q548" s="149"/>
      <c r="R548" s="149"/>
      <c r="S548" s="149"/>
      <c r="T548" s="149"/>
      <c r="U548" s="149"/>
      <c r="V548" s="149"/>
      <c r="W548" s="149"/>
      <c r="X548" s="149"/>
      <c r="Y548" s="149"/>
      <c r="Z548" s="149"/>
      <c r="AA548" s="149"/>
      <c r="AB548" s="149"/>
      <c r="AC548" s="149"/>
      <c r="AD548" s="148"/>
      <c r="AE548" s="148"/>
      <c r="AF548" s="148"/>
      <c r="DB548" s="149"/>
    </row>
    <row r="549" spans="2:106">
      <c r="B549" s="149"/>
      <c r="C549" s="149"/>
      <c r="D549" s="149"/>
      <c r="E549" s="149"/>
      <c r="F549" s="149"/>
      <c r="G549" s="149"/>
      <c r="H549" s="149"/>
      <c r="I549" s="149"/>
      <c r="J549" s="149"/>
      <c r="K549" s="149"/>
      <c r="L549" s="149"/>
      <c r="M549" s="149"/>
      <c r="N549" s="149"/>
      <c r="O549" s="149"/>
      <c r="P549" s="149"/>
      <c r="Q549" s="149"/>
      <c r="R549" s="149"/>
      <c r="S549" s="149"/>
      <c r="T549" s="149"/>
      <c r="U549" s="149"/>
      <c r="V549" s="149"/>
      <c r="W549" s="149"/>
      <c r="X549" s="149"/>
      <c r="Y549" s="149"/>
      <c r="Z549" s="149"/>
      <c r="AA549" s="149"/>
      <c r="AB549" s="149"/>
      <c r="AC549" s="149"/>
      <c r="AD549" s="148"/>
      <c r="AE549" s="148"/>
      <c r="AF549" s="148"/>
      <c r="DB549" s="149"/>
    </row>
    <row r="550" spans="2:106">
      <c r="B550" s="149"/>
      <c r="C550" s="149"/>
      <c r="D550" s="149"/>
      <c r="E550" s="149"/>
      <c r="F550" s="149"/>
      <c r="G550" s="149"/>
      <c r="H550" s="149"/>
      <c r="I550" s="149"/>
      <c r="J550" s="149"/>
      <c r="K550" s="149"/>
      <c r="L550" s="149"/>
      <c r="M550" s="149"/>
      <c r="N550" s="149"/>
      <c r="O550" s="149"/>
      <c r="P550" s="149"/>
      <c r="Q550" s="149"/>
      <c r="R550" s="149"/>
      <c r="S550" s="149"/>
      <c r="T550" s="149"/>
      <c r="U550" s="149"/>
      <c r="V550" s="149"/>
      <c r="W550" s="149"/>
      <c r="X550" s="149"/>
      <c r="Y550" s="149"/>
      <c r="Z550" s="149"/>
      <c r="AA550" s="149"/>
      <c r="AB550" s="149"/>
      <c r="AC550" s="149"/>
      <c r="AD550" s="148"/>
      <c r="AE550" s="148"/>
      <c r="AF550" s="148"/>
      <c r="DB550" s="149"/>
    </row>
    <row r="551" spans="2:106">
      <c r="B551" s="149"/>
      <c r="C551" s="149"/>
      <c r="D551" s="149"/>
      <c r="E551" s="149"/>
      <c r="F551" s="149"/>
      <c r="G551" s="149"/>
      <c r="H551" s="149"/>
      <c r="I551" s="149"/>
      <c r="J551" s="149"/>
      <c r="K551" s="149"/>
      <c r="L551" s="149"/>
      <c r="M551" s="149"/>
      <c r="N551" s="149"/>
      <c r="O551" s="149"/>
      <c r="P551" s="149"/>
      <c r="Q551" s="149"/>
      <c r="R551" s="149"/>
      <c r="S551" s="149"/>
      <c r="T551" s="149"/>
      <c r="U551" s="149"/>
      <c r="V551" s="149"/>
      <c r="W551" s="149"/>
      <c r="X551" s="149"/>
      <c r="Y551" s="149"/>
      <c r="Z551" s="149"/>
      <c r="AA551" s="149"/>
      <c r="AB551" s="149"/>
      <c r="AC551" s="149"/>
      <c r="AD551" s="148"/>
      <c r="AE551" s="148"/>
      <c r="AF551" s="148"/>
      <c r="DB551" s="149"/>
    </row>
    <row r="552" spans="2:106">
      <c r="B552" s="149"/>
      <c r="C552" s="149"/>
      <c r="D552" s="149"/>
      <c r="E552" s="149"/>
      <c r="F552" s="149"/>
      <c r="G552" s="149"/>
      <c r="H552" s="149"/>
      <c r="I552" s="149"/>
      <c r="J552" s="149"/>
      <c r="K552" s="149"/>
      <c r="L552" s="149"/>
      <c r="M552" s="149"/>
      <c r="N552" s="149"/>
      <c r="O552" s="149"/>
      <c r="P552" s="149"/>
      <c r="Q552" s="149"/>
      <c r="R552" s="149"/>
      <c r="S552" s="149"/>
      <c r="T552" s="149"/>
      <c r="U552" s="149"/>
      <c r="V552" s="149"/>
      <c r="W552" s="149"/>
      <c r="X552" s="149"/>
      <c r="Y552" s="149"/>
      <c r="Z552" s="149"/>
      <c r="AA552" s="149"/>
      <c r="AB552" s="149"/>
      <c r="AC552" s="149"/>
      <c r="AD552" s="148"/>
      <c r="AE552" s="148"/>
      <c r="AF552" s="148"/>
      <c r="DB552" s="149"/>
    </row>
    <row r="553" spans="2:106">
      <c r="B553" s="149"/>
      <c r="C553" s="149"/>
      <c r="D553" s="149"/>
      <c r="E553" s="149"/>
      <c r="F553" s="149"/>
      <c r="G553" s="149"/>
      <c r="H553" s="149"/>
      <c r="I553" s="149"/>
      <c r="J553" s="149"/>
      <c r="K553" s="149"/>
      <c r="L553" s="149"/>
      <c r="M553" s="149"/>
      <c r="N553" s="149"/>
      <c r="O553" s="149"/>
      <c r="P553" s="149"/>
      <c r="Q553" s="149"/>
      <c r="R553" s="149"/>
      <c r="S553" s="149"/>
      <c r="T553" s="149"/>
      <c r="U553" s="149"/>
      <c r="V553" s="149"/>
      <c r="W553" s="149"/>
      <c r="X553" s="149"/>
      <c r="Y553" s="149"/>
      <c r="Z553" s="149"/>
      <c r="AA553" s="149"/>
      <c r="AB553" s="149"/>
      <c r="AC553" s="149"/>
      <c r="AD553" s="148"/>
      <c r="AE553" s="148"/>
      <c r="AF553" s="148"/>
      <c r="DB553" s="149"/>
    </row>
    <row r="554" spans="2:106">
      <c r="B554" s="149"/>
      <c r="C554" s="149"/>
      <c r="D554" s="149"/>
      <c r="E554" s="149"/>
      <c r="F554" s="149"/>
      <c r="G554" s="149"/>
      <c r="H554" s="149"/>
      <c r="I554" s="149"/>
      <c r="J554" s="149"/>
      <c r="K554" s="149"/>
      <c r="L554" s="149"/>
      <c r="M554" s="149"/>
      <c r="N554" s="149"/>
      <c r="O554" s="149"/>
      <c r="P554" s="149"/>
      <c r="Q554" s="149"/>
      <c r="R554" s="149"/>
      <c r="S554" s="149"/>
      <c r="T554" s="149"/>
      <c r="U554" s="149"/>
      <c r="V554" s="149"/>
      <c r="W554" s="149"/>
      <c r="X554" s="149"/>
      <c r="Y554" s="149"/>
      <c r="Z554" s="149"/>
      <c r="AA554" s="149"/>
      <c r="AB554" s="149"/>
      <c r="AC554" s="149"/>
      <c r="AD554" s="148"/>
      <c r="AE554" s="148"/>
      <c r="AF554" s="148"/>
      <c r="DB554" s="149"/>
    </row>
    <row r="555" spans="2:106">
      <c r="B555" s="149"/>
      <c r="C555" s="149"/>
      <c r="D555" s="149"/>
      <c r="E555" s="149"/>
      <c r="F555" s="149"/>
      <c r="G555" s="149"/>
      <c r="H555" s="149"/>
      <c r="I555" s="149"/>
      <c r="J555" s="149"/>
      <c r="K555" s="149"/>
      <c r="L555" s="149"/>
      <c r="M555" s="149"/>
      <c r="N555" s="149"/>
      <c r="O555" s="149"/>
      <c r="P555" s="149"/>
      <c r="Q555" s="149"/>
      <c r="R555" s="149"/>
      <c r="S555" s="149"/>
      <c r="T555" s="149"/>
      <c r="U555" s="149"/>
      <c r="V555" s="149"/>
      <c r="W555" s="149"/>
      <c r="X555" s="149"/>
      <c r="Y555" s="149"/>
      <c r="Z555" s="149"/>
      <c r="AA555" s="149"/>
      <c r="AB555" s="149"/>
      <c r="AC555" s="149"/>
      <c r="AD555" s="148"/>
      <c r="AE555" s="148"/>
      <c r="AF555" s="148"/>
      <c r="DB555" s="149"/>
    </row>
    <row r="556" spans="2:106">
      <c r="B556" s="149"/>
      <c r="C556" s="149"/>
      <c r="D556" s="149"/>
      <c r="E556" s="149"/>
      <c r="F556" s="149"/>
      <c r="G556" s="149"/>
      <c r="H556" s="149"/>
      <c r="I556" s="149"/>
      <c r="J556" s="149"/>
      <c r="K556" s="149"/>
      <c r="L556" s="149"/>
      <c r="M556" s="149"/>
      <c r="N556" s="149"/>
      <c r="O556" s="149"/>
      <c r="P556" s="149"/>
      <c r="Q556" s="149"/>
      <c r="R556" s="149"/>
      <c r="S556" s="149"/>
      <c r="T556" s="149"/>
      <c r="U556" s="149"/>
      <c r="V556" s="149"/>
      <c r="W556" s="149"/>
      <c r="X556" s="149"/>
      <c r="Y556" s="149"/>
      <c r="Z556" s="149"/>
      <c r="AA556" s="149"/>
      <c r="AB556" s="149"/>
      <c r="AC556" s="149"/>
      <c r="AD556" s="148"/>
      <c r="AE556" s="148"/>
      <c r="AF556" s="148"/>
      <c r="DB556" s="149"/>
    </row>
    <row r="557" spans="2:106">
      <c r="B557" s="149"/>
      <c r="C557" s="149"/>
      <c r="D557" s="149"/>
      <c r="E557" s="149"/>
      <c r="F557" s="149"/>
      <c r="G557" s="149"/>
      <c r="H557" s="149"/>
      <c r="I557" s="149"/>
      <c r="J557" s="149"/>
      <c r="K557" s="149"/>
      <c r="L557" s="149"/>
      <c r="M557" s="149"/>
      <c r="N557" s="149"/>
      <c r="O557" s="149"/>
      <c r="P557" s="149"/>
      <c r="Q557" s="149"/>
      <c r="R557" s="149"/>
      <c r="S557" s="149"/>
      <c r="T557" s="149"/>
      <c r="U557" s="149"/>
      <c r="V557" s="149"/>
      <c r="W557" s="149"/>
      <c r="X557" s="149"/>
      <c r="Y557" s="149"/>
      <c r="Z557" s="149"/>
      <c r="AA557" s="149"/>
      <c r="AB557" s="149"/>
      <c r="AC557" s="149"/>
      <c r="AD557" s="148"/>
      <c r="AE557" s="148"/>
      <c r="AF557" s="148"/>
      <c r="DB557" s="149"/>
    </row>
    <row r="558" spans="2:106">
      <c r="B558" s="149"/>
      <c r="C558" s="149"/>
      <c r="D558" s="149"/>
      <c r="E558" s="149"/>
      <c r="F558" s="149"/>
      <c r="G558" s="149"/>
      <c r="H558" s="149"/>
      <c r="I558" s="149"/>
      <c r="J558" s="149"/>
      <c r="K558" s="149"/>
      <c r="L558" s="149"/>
      <c r="M558" s="149"/>
      <c r="N558" s="149"/>
      <c r="O558" s="149"/>
      <c r="P558" s="149"/>
      <c r="Q558" s="149"/>
      <c r="R558" s="149"/>
      <c r="S558" s="149"/>
      <c r="T558" s="149"/>
      <c r="U558" s="149"/>
      <c r="V558" s="149"/>
      <c r="W558" s="149"/>
      <c r="X558" s="149"/>
      <c r="Y558" s="149"/>
      <c r="Z558" s="149"/>
      <c r="AA558" s="149"/>
      <c r="AB558" s="149"/>
      <c r="AC558" s="149"/>
      <c r="AD558" s="148"/>
      <c r="AE558" s="148"/>
      <c r="AF558" s="148"/>
      <c r="DB558" s="149"/>
    </row>
    <row r="559" spans="2:106">
      <c r="B559" s="149"/>
      <c r="C559" s="149"/>
      <c r="D559" s="149"/>
      <c r="E559" s="149"/>
      <c r="F559" s="149"/>
      <c r="G559" s="149"/>
      <c r="H559" s="149"/>
      <c r="I559" s="149"/>
      <c r="J559" s="149"/>
      <c r="K559" s="149"/>
      <c r="L559" s="149"/>
      <c r="M559" s="149"/>
      <c r="N559" s="149"/>
      <c r="O559" s="149"/>
      <c r="P559" s="149"/>
      <c r="Q559" s="149"/>
      <c r="R559" s="149"/>
      <c r="S559" s="149"/>
      <c r="T559" s="149"/>
      <c r="U559" s="149"/>
      <c r="V559" s="149"/>
      <c r="W559" s="149"/>
      <c r="X559" s="149"/>
      <c r="Y559" s="149"/>
      <c r="Z559" s="149"/>
      <c r="AA559" s="149"/>
      <c r="AB559" s="149"/>
      <c r="AC559" s="149"/>
      <c r="AD559" s="148"/>
      <c r="AE559" s="148"/>
      <c r="AF559" s="148"/>
      <c r="DB559" s="149"/>
    </row>
    <row r="560" spans="2:106">
      <c r="B560" s="149"/>
      <c r="C560" s="149"/>
      <c r="D560" s="149"/>
      <c r="E560" s="149"/>
      <c r="F560" s="149"/>
      <c r="G560" s="149"/>
      <c r="H560" s="149"/>
      <c r="I560" s="149"/>
      <c r="J560" s="149"/>
      <c r="K560" s="149"/>
      <c r="L560" s="149"/>
      <c r="M560" s="149"/>
      <c r="N560" s="149"/>
      <c r="O560" s="149"/>
      <c r="P560" s="149"/>
      <c r="Q560" s="149"/>
      <c r="R560" s="149"/>
      <c r="S560" s="149"/>
      <c r="T560" s="149"/>
      <c r="U560" s="149"/>
      <c r="V560" s="149"/>
      <c r="W560" s="149"/>
      <c r="X560" s="149"/>
      <c r="Y560" s="149"/>
      <c r="Z560" s="149"/>
      <c r="AA560" s="149"/>
      <c r="AB560" s="149"/>
      <c r="AC560" s="149"/>
      <c r="AD560" s="148"/>
      <c r="AE560" s="148"/>
      <c r="AF560" s="148"/>
      <c r="DB560" s="149"/>
    </row>
    <row r="561" spans="2:106">
      <c r="B561" s="149"/>
      <c r="C561" s="149"/>
      <c r="D561" s="149"/>
      <c r="E561" s="149"/>
      <c r="F561" s="149"/>
      <c r="G561" s="149"/>
      <c r="H561" s="149"/>
      <c r="I561" s="149"/>
      <c r="J561" s="149"/>
      <c r="K561" s="149"/>
      <c r="L561" s="149"/>
      <c r="M561" s="149"/>
      <c r="N561" s="149"/>
      <c r="O561" s="149"/>
      <c r="P561" s="149"/>
      <c r="Q561" s="149"/>
      <c r="R561" s="149"/>
      <c r="S561" s="149"/>
      <c r="T561" s="149"/>
      <c r="U561" s="149"/>
      <c r="V561" s="149"/>
      <c r="W561" s="149"/>
      <c r="X561" s="149"/>
      <c r="Y561" s="149"/>
      <c r="Z561" s="149"/>
      <c r="AA561" s="149"/>
      <c r="AB561" s="149"/>
      <c r="AC561" s="149"/>
      <c r="AD561" s="148"/>
      <c r="AE561" s="148"/>
      <c r="AF561" s="148"/>
      <c r="DB561" s="149"/>
    </row>
    <row r="562" spans="2:106">
      <c r="B562" s="149"/>
      <c r="C562" s="149"/>
      <c r="D562" s="149"/>
      <c r="E562" s="149"/>
      <c r="F562" s="149"/>
      <c r="G562" s="149"/>
      <c r="H562" s="149"/>
      <c r="I562" s="149"/>
      <c r="J562" s="149"/>
      <c r="K562" s="149"/>
      <c r="L562" s="149"/>
      <c r="M562" s="149"/>
      <c r="N562" s="149"/>
      <c r="O562" s="149"/>
      <c r="P562" s="149"/>
      <c r="Q562" s="149"/>
      <c r="R562" s="149"/>
      <c r="S562" s="149"/>
      <c r="T562" s="149"/>
      <c r="U562" s="149"/>
      <c r="V562" s="149"/>
      <c r="W562" s="149"/>
      <c r="X562" s="149"/>
      <c r="Y562" s="149"/>
      <c r="Z562" s="149"/>
      <c r="AA562" s="149"/>
      <c r="AB562" s="149"/>
      <c r="AC562" s="149"/>
      <c r="AD562" s="148"/>
      <c r="AE562" s="148"/>
      <c r="AF562" s="148"/>
      <c r="DB562" s="149"/>
    </row>
    <row r="563" spans="2:106">
      <c r="B563" s="149"/>
      <c r="C563" s="149"/>
      <c r="D563" s="149"/>
      <c r="E563" s="149"/>
      <c r="F563" s="149"/>
      <c r="G563" s="149"/>
      <c r="H563" s="149"/>
      <c r="I563" s="149"/>
      <c r="J563" s="149"/>
      <c r="K563" s="149"/>
      <c r="L563" s="149"/>
      <c r="M563" s="149"/>
      <c r="N563" s="149"/>
      <c r="O563" s="149"/>
      <c r="P563" s="149"/>
      <c r="Q563" s="149"/>
      <c r="R563" s="149"/>
      <c r="S563" s="149"/>
      <c r="T563" s="149"/>
      <c r="U563" s="149"/>
      <c r="V563" s="149"/>
      <c r="W563" s="149"/>
      <c r="X563" s="149"/>
      <c r="Y563" s="149"/>
      <c r="Z563" s="149"/>
      <c r="AA563" s="149"/>
      <c r="AB563" s="149"/>
      <c r="AC563" s="149"/>
      <c r="AD563" s="148"/>
      <c r="AE563" s="148"/>
      <c r="AF563" s="148"/>
      <c r="DB563" s="149"/>
    </row>
    <row r="564" spans="2:106">
      <c r="B564" s="149"/>
      <c r="C564" s="149"/>
      <c r="D564" s="149"/>
      <c r="E564" s="149"/>
      <c r="F564" s="149"/>
      <c r="G564" s="149"/>
      <c r="H564" s="149"/>
      <c r="I564" s="149"/>
      <c r="J564" s="149"/>
      <c r="K564" s="149"/>
      <c r="L564" s="149"/>
      <c r="M564" s="149"/>
      <c r="N564" s="149"/>
      <c r="O564" s="149"/>
      <c r="P564" s="149"/>
      <c r="Q564" s="149"/>
      <c r="R564" s="149"/>
      <c r="S564" s="149"/>
      <c r="T564" s="149"/>
      <c r="U564" s="149"/>
      <c r="V564" s="149"/>
      <c r="W564" s="149"/>
      <c r="X564" s="149"/>
      <c r="Y564" s="149"/>
      <c r="Z564" s="149"/>
      <c r="AA564" s="149"/>
      <c r="AB564" s="149"/>
      <c r="AC564" s="149"/>
      <c r="AD564" s="148"/>
      <c r="AE564" s="148"/>
      <c r="AF564" s="148"/>
      <c r="DB564" s="149"/>
    </row>
    <row r="565" spans="2:106">
      <c r="B565" s="149"/>
      <c r="C565" s="149"/>
      <c r="D565" s="149"/>
      <c r="E565" s="149"/>
      <c r="F565" s="149"/>
      <c r="G565" s="149"/>
      <c r="H565" s="149"/>
      <c r="I565" s="149"/>
      <c r="J565" s="149"/>
      <c r="K565" s="149"/>
      <c r="L565" s="149"/>
      <c r="M565" s="149"/>
      <c r="N565" s="149"/>
      <c r="O565" s="149"/>
      <c r="P565" s="149"/>
      <c r="Q565" s="149"/>
      <c r="R565" s="149"/>
      <c r="S565" s="149"/>
      <c r="T565" s="149"/>
      <c r="U565" s="149"/>
      <c r="V565" s="149"/>
      <c r="W565" s="149"/>
      <c r="X565" s="149"/>
      <c r="Y565" s="149"/>
      <c r="Z565" s="149"/>
      <c r="AA565" s="149"/>
      <c r="AB565" s="149"/>
      <c r="AC565" s="149"/>
      <c r="AD565" s="148"/>
      <c r="AE565" s="148"/>
      <c r="AF565" s="148"/>
      <c r="DB565" s="149"/>
    </row>
    <row r="566" spans="2:106">
      <c r="B566" s="149"/>
      <c r="C566" s="149"/>
      <c r="D566" s="149"/>
      <c r="E566" s="149"/>
      <c r="F566" s="149"/>
      <c r="G566" s="149"/>
      <c r="H566" s="149"/>
      <c r="I566" s="149"/>
      <c r="J566" s="149"/>
      <c r="K566" s="149"/>
      <c r="L566" s="149"/>
      <c r="M566" s="149"/>
      <c r="N566" s="149"/>
      <c r="O566" s="149"/>
      <c r="P566" s="149"/>
      <c r="Q566" s="149"/>
      <c r="R566" s="149"/>
      <c r="S566" s="149"/>
      <c r="T566" s="149"/>
      <c r="U566" s="149"/>
      <c r="V566" s="149"/>
      <c r="W566" s="149"/>
      <c r="X566" s="149"/>
      <c r="Y566" s="149"/>
      <c r="Z566" s="149"/>
      <c r="AA566" s="149"/>
      <c r="AB566" s="149"/>
      <c r="AC566" s="149"/>
      <c r="AD566" s="148"/>
      <c r="AE566" s="148"/>
      <c r="AF566" s="148"/>
      <c r="DB566" s="149"/>
    </row>
    <row r="567" spans="2:106">
      <c r="B567" s="149"/>
      <c r="C567" s="149"/>
      <c r="D567" s="149"/>
      <c r="E567" s="149"/>
      <c r="F567" s="149"/>
      <c r="G567" s="149"/>
      <c r="H567" s="149"/>
      <c r="I567" s="149"/>
      <c r="J567" s="149"/>
      <c r="K567" s="149"/>
      <c r="L567" s="149"/>
      <c r="M567" s="149"/>
      <c r="N567" s="149"/>
      <c r="O567" s="149"/>
      <c r="P567" s="149"/>
      <c r="Q567" s="149"/>
      <c r="R567" s="149"/>
      <c r="S567" s="149"/>
      <c r="T567" s="149"/>
      <c r="U567" s="149"/>
      <c r="V567" s="149"/>
      <c r="W567" s="149"/>
      <c r="X567" s="149"/>
      <c r="Y567" s="149"/>
      <c r="Z567" s="149"/>
      <c r="AA567" s="149"/>
      <c r="AB567" s="149"/>
      <c r="AC567" s="149"/>
      <c r="AD567" s="148"/>
      <c r="AE567" s="148"/>
      <c r="AF567" s="148"/>
      <c r="DB567" s="149"/>
    </row>
    <row r="568" spans="2:106">
      <c r="B568" s="149"/>
      <c r="C568" s="149"/>
      <c r="D568" s="149"/>
      <c r="E568" s="149"/>
      <c r="F568" s="149"/>
      <c r="G568" s="149"/>
      <c r="H568" s="149"/>
      <c r="I568" s="149"/>
      <c r="J568" s="149"/>
      <c r="K568" s="149"/>
      <c r="L568" s="149"/>
      <c r="M568" s="149"/>
      <c r="N568" s="149"/>
      <c r="O568" s="149"/>
      <c r="P568" s="149"/>
      <c r="Q568" s="149"/>
      <c r="R568" s="149"/>
      <c r="S568" s="149"/>
      <c r="T568" s="149"/>
      <c r="U568" s="149"/>
      <c r="V568" s="149"/>
      <c r="W568" s="149"/>
      <c r="X568" s="149"/>
      <c r="Y568" s="149"/>
      <c r="Z568" s="149"/>
      <c r="AA568" s="149"/>
      <c r="AB568" s="149"/>
      <c r="AC568" s="149"/>
      <c r="AD568" s="148"/>
      <c r="AE568" s="148"/>
      <c r="AF568" s="148"/>
      <c r="DB568" s="149"/>
    </row>
    <row r="569" spans="2:106">
      <c r="B569" s="149"/>
      <c r="C569" s="149"/>
      <c r="D569" s="149"/>
      <c r="E569" s="149"/>
      <c r="F569" s="149"/>
      <c r="G569" s="149"/>
      <c r="H569" s="149"/>
      <c r="I569" s="149"/>
      <c r="J569" s="149"/>
      <c r="K569" s="149"/>
      <c r="L569" s="149"/>
      <c r="M569" s="149"/>
      <c r="N569" s="149"/>
      <c r="O569" s="149"/>
      <c r="P569" s="149"/>
      <c r="Q569" s="149"/>
      <c r="R569" s="149"/>
      <c r="S569" s="149"/>
      <c r="T569" s="149"/>
      <c r="U569" s="149"/>
      <c r="V569" s="149"/>
      <c r="W569" s="149"/>
      <c r="X569" s="149"/>
      <c r="Y569" s="149"/>
      <c r="Z569" s="149"/>
      <c r="AA569" s="149"/>
      <c r="AB569" s="149"/>
      <c r="AC569" s="149"/>
      <c r="AD569" s="148"/>
      <c r="AE569" s="148"/>
      <c r="AF569" s="148"/>
      <c r="DB569" s="149"/>
    </row>
    <row r="570" spans="2:106">
      <c r="B570" s="149"/>
      <c r="C570" s="149"/>
      <c r="D570" s="149"/>
      <c r="E570" s="149"/>
      <c r="F570" s="149"/>
      <c r="G570" s="149"/>
      <c r="H570" s="149"/>
      <c r="I570" s="149"/>
      <c r="J570" s="149"/>
      <c r="K570" s="149"/>
      <c r="L570" s="149"/>
      <c r="M570" s="149"/>
      <c r="N570" s="149"/>
      <c r="O570" s="149"/>
      <c r="P570" s="149"/>
      <c r="Q570" s="149"/>
      <c r="R570" s="149"/>
      <c r="S570" s="149"/>
      <c r="T570" s="149"/>
      <c r="U570" s="149"/>
      <c r="V570" s="149"/>
      <c r="W570" s="149"/>
      <c r="X570" s="149"/>
      <c r="Y570" s="149"/>
      <c r="Z570" s="149"/>
      <c r="AA570" s="149"/>
      <c r="AB570" s="149"/>
      <c r="AC570" s="149"/>
      <c r="AD570" s="148"/>
      <c r="AE570" s="148"/>
      <c r="AF570" s="148"/>
      <c r="DB570" s="149"/>
    </row>
    <row r="571" spans="2:106">
      <c r="B571" s="149"/>
      <c r="C571" s="149"/>
      <c r="D571" s="149"/>
      <c r="E571" s="149"/>
      <c r="F571" s="149"/>
      <c r="G571" s="149"/>
      <c r="H571" s="149"/>
      <c r="I571" s="149"/>
      <c r="J571" s="149"/>
      <c r="K571" s="149"/>
      <c r="L571" s="149"/>
      <c r="M571" s="149"/>
      <c r="N571" s="149"/>
      <c r="O571" s="149"/>
      <c r="P571" s="149"/>
      <c r="Q571" s="149"/>
      <c r="R571" s="149"/>
      <c r="S571" s="149"/>
      <c r="T571" s="149"/>
      <c r="U571" s="149"/>
      <c r="V571" s="149"/>
      <c r="W571" s="149"/>
      <c r="X571" s="149"/>
      <c r="Y571" s="149"/>
      <c r="Z571" s="149"/>
      <c r="AA571" s="149"/>
      <c r="AB571" s="149"/>
      <c r="AC571" s="149"/>
      <c r="AD571" s="148"/>
      <c r="AE571" s="148"/>
      <c r="AF571" s="148"/>
      <c r="DB571" s="149"/>
    </row>
    <row r="572" spans="2:106">
      <c r="B572" s="149"/>
      <c r="C572" s="149"/>
      <c r="D572" s="149"/>
      <c r="E572" s="149"/>
      <c r="F572" s="149"/>
      <c r="G572" s="149"/>
      <c r="H572" s="149"/>
      <c r="I572" s="149"/>
      <c r="J572" s="149"/>
      <c r="K572" s="149"/>
      <c r="L572" s="149"/>
      <c r="M572" s="149"/>
      <c r="N572" s="149"/>
      <c r="O572" s="149"/>
      <c r="P572" s="149"/>
      <c r="Q572" s="149"/>
      <c r="R572" s="149"/>
      <c r="S572" s="149"/>
      <c r="T572" s="149"/>
      <c r="U572" s="149"/>
      <c r="V572" s="149"/>
      <c r="W572" s="149"/>
      <c r="X572" s="149"/>
      <c r="Y572" s="149"/>
      <c r="Z572" s="149"/>
      <c r="AA572" s="149"/>
      <c r="AB572" s="149"/>
      <c r="AC572" s="149"/>
      <c r="AD572" s="148"/>
      <c r="AE572" s="148"/>
      <c r="AF572" s="148"/>
      <c r="DB572" s="149"/>
    </row>
    <row r="573" spans="2:106">
      <c r="B573" s="149"/>
      <c r="C573" s="149"/>
      <c r="D573" s="149"/>
      <c r="E573" s="149"/>
      <c r="F573" s="149"/>
      <c r="G573" s="149"/>
      <c r="H573" s="149"/>
      <c r="I573" s="149"/>
      <c r="J573" s="149"/>
      <c r="K573" s="149"/>
      <c r="L573" s="149"/>
      <c r="M573" s="149"/>
      <c r="N573" s="149"/>
      <c r="O573" s="149"/>
      <c r="P573" s="149"/>
      <c r="Q573" s="149"/>
      <c r="R573" s="149"/>
      <c r="S573" s="149"/>
      <c r="T573" s="149"/>
      <c r="U573" s="149"/>
      <c r="V573" s="149"/>
      <c r="W573" s="149"/>
      <c r="X573" s="149"/>
      <c r="Y573" s="149"/>
      <c r="Z573" s="149"/>
      <c r="AA573" s="149"/>
      <c r="AB573" s="149"/>
      <c r="AC573" s="149"/>
      <c r="AD573" s="148"/>
      <c r="AE573" s="148"/>
      <c r="AF573" s="148"/>
      <c r="DB573" s="149"/>
    </row>
    <row r="574" spans="2:106">
      <c r="B574" s="149"/>
      <c r="C574" s="149"/>
      <c r="D574" s="149"/>
      <c r="E574" s="149"/>
      <c r="F574" s="149"/>
      <c r="G574" s="149"/>
      <c r="H574" s="149"/>
      <c r="I574" s="149"/>
      <c r="J574" s="149"/>
      <c r="K574" s="149"/>
      <c r="L574" s="149"/>
      <c r="M574" s="149"/>
      <c r="N574" s="149"/>
      <c r="O574" s="149"/>
      <c r="P574" s="149"/>
      <c r="Q574" s="149"/>
      <c r="R574" s="149"/>
      <c r="S574" s="149"/>
      <c r="T574" s="149"/>
      <c r="U574" s="149"/>
      <c r="V574" s="149"/>
      <c r="W574" s="149"/>
      <c r="X574" s="149"/>
      <c r="Y574" s="149"/>
      <c r="Z574" s="149"/>
      <c r="AA574" s="149"/>
      <c r="AB574" s="149"/>
      <c r="AC574" s="149"/>
      <c r="AD574" s="148"/>
      <c r="AE574" s="148"/>
      <c r="AF574" s="148"/>
      <c r="DB574" s="149"/>
    </row>
    <row r="575" spans="2:106">
      <c r="B575" s="149"/>
      <c r="C575" s="149"/>
      <c r="D575" s="149"/>
      <c r="E575" s="149"/>
      <c r="F575" s="149"/>
      <c r="G575" s="149"/>
      <c r="H575" s="149"/>
      <c r="I575" s="149"/>
      <c r="J575" s="149"/>
      <c r="K575" s="149"/>
      <c r="L575" s="149"/>
      <c r="M575" s="149"/>
      <c r="N575" s="149"/>
      <c r="O575" s="149"/>
      <c r="P575" s="149"/>
      <c r="Q575" s="149"/>
      <c r="R575" s="149"/>
      <c r="S575" s="149"/>
      <c r="T575" s="149"/>
      <c r="U575" s="149"/>
      <c r="V575" s="149"/>
      <c r="W575" s="149"/>
      <c r="X575" s="149"/>
      <c r="Y575" s="149"/>
      <c r="Z575" s="149"/>
      <c r="AA575" s="149"/>
      <c r="AB575" s="149"/>
      <c r="AC575" s="149"/>
      <c r="AD575" s="148"/>
      <c r="AE575" s="148"/>
      <c r="AF575" s="148"/>
      <c r="DB575" s="149"/>
    </row>
    <row r="576" spans="2:106">
      <c r="B576" s="149"/>
      <c r="C576" s="149"/>
      <c r="D576" s="149"/>
      <c r="E576" s="149"/>
      <c r="F576" s="149"/>
      <c r="G576" s="149"/>
      <c r="H576" s="149"/>
      <c r="I576" s="149"/>
      <c r="J576" s="149"/>
      <c r="K576" s="149"/>
      <c r="L576" s="149"/>
      <c r="M576" s="149"/>
      <c r="N576" s="149"/>
      <c r="O576" s="149"/>
      <c r="P576" s="149"/>
      <c r="Q576" s="149"/>
      <c r="R576" s="149"/>
      <c r="S576" s="149"/>
      <c r="T576" s="149"/>
      <c r="U576" s="149"/>
      <c r="V576" s="149"/>
      <c r="W576" s="149"/>
      <c r="X576" s="149"/>
      <c r="Y576" s="149"/>
      <c r="Z576" s="149"/>
      <c r="AA576" s="149"/>
      <c r="AB576" s="149"/>
      <c r="AC576" s="149"/>
      <c r="AD576" s="148"/>
      <c r="AE576" s="148"/>
      <c r="AF576" s="148"/>
      <c r="DB576" s="149"/>
    </row>
    <row r="577" spans="2:106">
      <c r="B577" s="149"/>
      <c r="C577" s="149"/>
      <c r="D577" s="149"/>
      <c r="E577" s="149"/>
      <c r="F577" s="149"/>
      <c r="G577" s="149"/>
      <c r="H577" s="149"/>
      <c r="I577" s="149"/>
      <c r="J577" s="149"/>
      <c r="K577" s="149"/>
      <c r="L577" s="149"/>
      <c r="M577" s="149"/>
      <c r="N577" s="149"/>
      <c r="O577" s="149"/>
      <c r="P577" s="149"/>
      <c r="Q577" s="149"/>
      <c r="R577" s="149"/>
      <c r="S577" s="149"/>
      <c r="T577" s="149"/>
      <c r="U577" s="149"/>
      <c r="V577" s="149"/>
      <c r="W577" s="149"/>
      <c r="X577" s="149"/>
      <c r="Y577" s="149"/>
      <c r="Z577" s="149"/>
      <c r="AA577" s="149"/>
      <c r="AB577" s="149"/>
      <c r="AC577" s="149"/>
      <c r="AD577" s="148"/>
      <c r="AE577" s="148"/>
      <c r="AF577" s="148"/>
      <c r="DB577" s="149"/>
    </row>
    <row r="578" spans="2:106">
      <c r="B578" s="149"/>
      <c r="C578" s="149"/>
      <c r="D578" s="149"/>
      <c r="E578" s="149"/>
      <c r="F578" s="149"/>
      <c r="G578" s="149"/>
      <c r="H578" s="149"/>
      <c r="I578" s="149"/>
      <c r="J578" s="149"/>
      <c r="K578" s="149"/>
      <c r="L578" s="149"/>
      <c r="M578" s="149"/>
      <c r="N578" s="149"/>
      <c r="O578" s="149"/>
      <c r="P578" s="149"/>
      <c r="Q578" s="149"/>
      <c r="R578" s="149"/>
      <c r="S578" s="149"/>
      <c r="T578" s="149"/>
      <c r="U578" s="149"/>
      <c r="V578" s="149"/>
      <c r="W578" s="149"/>
      <c r="X578" s="149"/>
      <c r="Y578" s="149"/>
      <c r="Z578" s="149"/>
      <c r="AA578" s="149"/>
      <c r="AB578" s="149"/>
      <c r="AC578" s="149"/>
      <c r="AD578" s="148"/>
      <c r="AE578" s="148"/>
      <c r="AF578" s="148"/>
      <c r="DB578" s="149"/>
    </row>
    <row r="579" spans="2:106">
      <c r="B579" s="149"/>
      <c r="C579" s="149"/>
      <c r="D579" s="149"/>
      <c r="E579" s="149"/>
      <c r="F579" s="149"/>
      <c r="G579" s="149"/>
      <c r="H579" s="149"/>
      <c r="I579" s="149"/>
      <c r="J579" s="149"/>
      <c r="K579" s="149"/>
      <c r="L579" s="149"/>
      <c r="M579" s="149"/>
      <c r="N579" s="149"/>
      <c r="O579" s="149"/>
      <c r="P579" s="149"/>
      <c r="Q579" s="149"/>
      <c r="R579" s="149"/>
      <c r="S579" s="149"/>
      <c r="T579" s="149"/>
      <c r="U579" s="149"/>
      <c r="V579" s="149"/>
      <c r="W579" s="149"/>
      <c r="X579" s="149"/>
      <c r="Y579" s="149"/>
      <c r="Z579" s="149"/>
      <c r="AA579" s="149"/>
      <c r="AB579" s="149"/>
      <c r="AC579" s="149"/>
      <c r="AD579" s="148"/>
      <c r="AE579" s="148"/>
      <c r="AF579" s="148"/>
      <c r="DB579" s="149"/>
    </row>
    <row r="580" spans="2:106">
      <c r="B580" s="149"/>
      <c r="C580" s="149"/>
      <c r="D580" s="149"/>
      <c r="E580" s="149"/>
      <c r="F580" s="149"/>
      <c r="G580" s="149"/>
      <c r="H580" s="149"/>
      <c r="I580" s="149"/>
      <c r="J580" s="149"/>
      <c r="K580" s="149"/>
      <c r="L580" s="149"/>
      <c r="M580" s="149"/>
      <c r="N580" s="149"/>
      <c r="O580" s="149"/>
      <c r="P580" s="149"/>
      <c r="Q580" s="149"/>
      <c r="R580" s="149"/>
      <c r="S580" s="149"/>
      <c r="T580" s="149"/>
      <c r="U580" s="149"/>
      <c r="V580" s="149"/>
      <c r="W580" s="149"/>
      <c r="X580" s="149"/>
      <c r="Y580" s="149"/>
      <c r="Z580" s="149"/>
      <c r="AA580" s="149"/>
      <c r="AB580" s="149"/>
      <c r="AC580" s="149"/>
      <c r="AD580" s="148"/>
      <c r="AE580" s="148"/>
      <c r="AF580" s="148"/>
      <c r="DB580" s="149"/>
    </row>
    <row r="581" spans="2:106">
      <c r="B581" s="149"/>
      <c r="C581" s="149"/>
      <c r="D581" s="149"/>
      <c r="E581" s="149"/>
      <c r="F581" s="149"/>
      <c r="G581" s="149"/>
      <c r="H581" s="149"/>
      <c r="I581" s="149"/>
      <c r="J581" s="149"/>
      <c r="K581" s="149"/>
      <c r="L581" s="149"/>
      <c r="M581" s="149"/>
      <c r="N581" s="149"/>
      <c r="O581" s="149"/>
      <c r="P581" s="149"/>
      <c r="Q581" s="149"/>
      <c r="R581" s="149"/>
      <c r="S581" s="149"/>
      <c r="T581" s="149"/>
      <c r="U581" s="149"/>
      <c r="V581" s="149"/>
      <c r="W581" s="149"/>
      <c r="X581" s="149"/>
      <c r="Y581" s="149"/>
      <c r="Z581" s="149"/>
      <c r="AA581" s="149"/>
      <c r="AB581" s="149"/>
      <c r="AC581" s="149"/>
      <c r="AD581" s="148"/>
      <c r="AE581" s="148"/>
      <c r="AF581" s="148"/>
      <c r="DB581" s="149"/>
    </row>
    <row r="582" spans="2:106">
      <c r="B582" s="149"/>
      <c r="C582" s="149"/>
      <c r="D582" s="149"/>
      <c r="E582" s="149"/>
      <c r="F582" s="149"/>
      <c r="G582" s="149"/>
      <c r="H582" s="149"/>
      <c r="I582" s="149"/>
      <c r="J582" s="149"/>
      <c r="K582" s="149"/>
      <c r="L582" s="149"/>
      <c r="M582" s="149"/>
      <c r="N582" s="149"/>
      <c r="O582" s="149"/>
      <c r="P582" s="149"/>
      <c r="Q582" s="149"/>
      <c r="R582" s="149"/>
      <c r="S582" s="149"/>
      <c r="T582" s="149"/>
      <c r="U582" s="149"/>
      <c r="V582" s="149"/>
      <c r="W582" s="149"/>
      <c r="X582" s="149"/>
      <c r="Y582" s="149"/>
      <c r="Z582" s="149"/>
      <c r="AA582" s="149"/>
      <c r="AB582" s="149"/>
      <c r="AC582" s="149"/>
      <c r="AD582" s="148"/>
      <c r="AE582" s="148"/>
      <c r="AF582" s="148"/>
      <c r="DB582" s="149"/>
    </row>
    <row r="583" spans="2:106">
      <c r="B583" s="149"/>
      <c r="C583" s="149"/>
      <c r="D583" s="149"/>
      <c r="E583" s="149"/>
      <c r="F583" s="149"/>
      <c r="G583" s="149"/>
      <c r="H583" s="149"/>
      <c r="I583" s="149"/>
      <c r="J583" s="149"/>
      <c r="K583" s="149"/>
      <c r="L583" s="149"/>
      <c r="M583" s="149"/>
      <c r="N583" s="149"/>
      <c r="O583" s="149"/>
      <c r="P583" s="149"/>
      <c r="Q583" s="149"/>
      <c r="R583" s="149"/>
      <c r="S583" s="149"/>
      <c r="T583" s="149"/>
      <c r="U583" s="149"/>
      <c r="V583" s="149"/>
      <c r="W583" s="149"/>
      <c r="X583" s="149"/>
      <c r="Y583" s="149"/>
      <c r="Z583" s="149"/>
      <c r="AA583" s="149"/>
      <c r="AB583" s="149"/>
      <c r="AC583" s="149"/>
      <c r="AD583" s="148"/>
      <c r="AE583" s="148"/>
      <c r="AF583" s="148"/>
      <c r="DB583" s="149"/>
    </row>
    <row r="584" spans="2:106">
      <c r="B584" s="149"/>
      <c r="C584" s="149"/>
      <c r="D584" s="149"/>
      <c r="E584" s="149"/>
      <c r="F584" s="149"/>
      <c r="G584" s="149"/>
      <c r="H584" s="149"/>
      <c r="I584" s="149"/>
      <c r="J584" s="149"/>
      <c r="K584" s="149"/>
      <c r="L584" s="149"/>
      <c r="M584" s="149"/>
      <c r="N584" s="149"/>
      <c r="O584" s="149"/>
      <c r="P584" s="149"/>
      <c r="Q584" s="149"/>
      <c r="R584" s="149"/>
      <c r="S584" s="149"/>
      <c r="T584" s="149"/>
      <c r="U584" s="149"/>
      <c r="V584" s="149"/>
      <c r="W584" s="149"/>
      <c r="X584" s="149"/>
      <c r="Y584" s="149"/>
      <c r="Z584" s="149"/>
      <c r="AA584" s="149"/>
      <c r="AB584" s="149"/>
      <c r="AC584" s="149"/>
      <c r="AD584" s="148"/>
      <c r="AE584" s="148"/>
      <c r="AF584" s="148"/>
      <c r="DB584" s="149"/>
    </row>
    <row r="585" spans="2:106">
      <c r="B585" s="149"/>
      <c r="C585" s="149"/>
      <c r="D585" s="149"/>
      <c r="E585" s="149"/>
      <c r="F585" s="149"/>
      <c r="G585" s="149"/>
      <c r="H585" s="149"/>
      <c r="I585" s="149"/>
      <c r="J585" s="149"/>
      <c r="K585" s="149"/>
      <c r="L585" s="149"/>
      <c r="M585" s="149"/>
      <c r="N585" s="149"/>
      <c r="O585" s="149"/>
      <c r="P585" s="149"/>
      <c r="Q585" s="149"/>
      <c r="R585" s="149"/>
      <c r="S585" s="149"/>
      <c r="T585" s="149"/>
      <c r="U585" s="149"/>
      <c r="V585" s="149"/>
      <c r="W585" s="149"/>
      <c r="X585" s="149"/>
      <c r="Y585" s="149"/>
      <c r="Z585" s="149"/>
      <c r="AA585" s="149"/>
      <c r="AB585" s="149"/>
      <c r="AC585" s="149"/>
      <c r="AD585" s="148"/>
      <c r="AE585" s="148"/>
      <c r="AF585" s="148"/>
      <c r="DB585" s="149"/>
    </row>
    <row r="586" spans="2:106">
      <c r="B586" s="149"/>
      <c r="C586" s="149"/>
      <c r="D586" s="149"/>
      <c r="E586" s="149"/>
      <c r="F586" s="149"/>
      <c r="G586" s="149"/>
      <c r="H586" s="149"/>
      <c r="I586" s="149"/>
      <c r="J586" s="149"/>
      <c r="K586" s="149"/>
      <c r="L586" s="149"/>
      <c r="M586" s="149"/>
      <c r="N586" s="149"/>
      <c r="O586" s="149"/>
      <c r="P586" s="149"/>
      <c r="Q586" s="149"/>
      <c r="R586" s="149"/>
      <c r="S586" s="149"/>
      <c r="T586" s="149"/>
      <c r="U586" s="149"/>
      <c r="V586" s="149"/>
      <c r="W586" s="149"/>
      <c r="X586" s="149"/>
      <c r="Y586" s="149"/>
      <c r="Z586" s="149"/>
      <c r="AA586" s="149"/>
      <c r="AB586" s="149"/>
      <c r="AC586" s="149"/>
      <c r="AD586" s="148"/>
      <c r="AE586" s="148"/>
      <c r="AF586" s="148"/>
      <c r="DB586" s="149"/>
    </row>
    <row r="587" spans="2:106">
      <c r="B587" s="149"/>
      <c r="C587" s="149"/>
      <c r="D587" s="149"/>
      <c r="E587" s="149"/>
      <c r="F587" s="149"/>
      <c r="G587" s="149"/>
      <c r="H587" s="149"/>
      <c r="I587" s="149"/>
      <c r="J587" s="149"/>
      <c r="K587" s="149"/>
      <c r="L587" s="149"/>
      <c r="M587" s="149"/>
      <c r="N587" s="149"/>
      <c r="O587" s="149"/>
      <c r="P587" s="149"/>
      <c r="Q587" s="149"/>
      <c r="R587" s="149"/>
      <c r="S587" s="149"/>
      <c r="T587" s="149"/>
      <c r="U587" s="149"/>
      <c r="V587" s="149"/>
      <c r="W587" s="149"/>
      <c r="X587" s="149"/>
      <c r="Y587" s="149"/>
      <c r="Z587" s="149"/>
      <c r="AA587" s="149"/>
      <c r="AB587" s="149"/>
      <c r="AC587" s="149"/>
      <c r="AD587" s="148"/>
      <c r="AE587" s="148"/>
      <c r="AF587" s="148"/>
      <c r="DB587" s="149"/>
    </row>
    <row r="588" spans="2:106">
      <c r="B588" s="149"/>
      <c r="C588" s="149"/>
      <c r="D588" s="149"/>
      <c r="E588" s="149"/>
      <c r="F588" s="149"/>
      <c r="G588" s="149"/>
      <c r="H588" s="149"/>
      <c r="I588" s="149"/>
      <c r="J588" s="149"/>
      <c r="K588" s="149"/>
      <c r="L588" s="149"/>
      <c r="M588" s="149"/>
      <c r="N588" s="149"/>
      <c r="O588" s="149"/>
      <c r="P588" s="149"/>
      <c r="Q588" s="149"/>
      <c r="R588" s="149"/>
      <c r="S588" s="149"/>
      <c r="T588" s="149"/>
      <c r="U588" s="149"/>
      <c r="V588" s="149"/>
      <c r="W588" s="149"/>
      <c r="X588" s="149"/>
      <c r="Y588" s="149"/>
      <c r="Z588" s="149"/>
      <c r="AA588" s="149"/>
      <c r="AB588" s="149"/>
      <c r="AC588" s="149"/>
      <c r="AD588" s="148"/>
      <c r="AE588" s="148"/>
      <c r="AF588" s="148"/>
      <c r="DB588" s="149"/>
    </row>
    <row r="589" spans="2:106">
      <c r="B589" s="149"/>
      <c r="C589" s="149"/>
      <c r="D589" s="149"/>
      <c r="E589" s="149"/>
      <c r="F589" s="149"/>
      <c r="G589" s="149"/>
      <c r="H589" s="149"/>
      <c r="I589" s="149"/>
      <c r="J589" s="149"/>
      <c r="K589" s="149"/>
      <c r="L589" s="149"/>
      <c r="M589" s="149"/>
      <c r="N589" s="149"/>
      <c r="O589" s="149"/>
      <c r="P589" s="149"/>
      <c r="Q589" s="149"/>
      <c r="R589" s="149"/>
      <c r="S589" s="149"/>
      <c r="T589" s="149"/>
      <c r="U589" s="149"/>
      <c r="V589" s="149"/>
      <c r="W589" s="149"/>
      <c r="X589" s="149"/>
      <c r="Y589" s="149"/>
      <c r="Z589" s="149"/>
      <c r="AA589" s="149"/>
      <c r="AB589" s="149"/>
      <c r="AC589" s="149"/>
      <c r="AD589" s="148"/>
      <c r="AE589" s="148"/>
      <c r="AF589" s="148"/>
      <c r="DB589" s="149"/>
    </row>
    <row r="590" spans="2:106">
      <c r="B590" s="149"/>
      <c r="C590" s="149"/>
      <c r="D590" s="149"/>
      <c r="E590" s="149"/>
      <c r="F590" s="149"/>
      <c r="G590" s="149"/>
      <c r="H590" s="149"/>
      <c r="I590" s="149"/>
      <c r="J590" s="149"/>
      <c r="K590" s="149"/>
      <c r="L590" s="149"/>
      <c r="M590" s="149"/>
      <c r="N590" s="149"/>
      <c r="O590" s="149"/>
      <c r="P590" s="149"/>
      <c r="Q590" s="149"/>
      <c r="R590" s="149"/>
      <c r="S590" s="149"/>
      <c r="T590" s="149"/>
      <c r="U590" s="149"/>
      <c r="V590" s="149"/>
      <c r="W590" s="149"/>
      <c r="X590" s="149"/>
      <c r="Y590" s="149"/>
      <c r="Z590" s="149"/>
      <c r="AA590" s="149"/>
      <c r="AB590" s="149"/>
      <c r="AC590" s="149"/>
      <c r="AD590" s="148"/>
      <c r="AE590" s="148"/>
      <c r="AF590" s="148"/>
      <c r="DB590" s="149"/>
    </row>
    <row r="591" spans="2:106">
      <c r="B591" s="149"/>
      <c r="C591" s="149"/>
      <c r="D591" s="149"/>
      <c r="E591" s="149"/>
      <c r="F591" s="149"/>
      <c r="G591" s="149"/>
      <c r="H591" s="149"/>
      <c r="I591" s="149"/>
      <c r="J591" s="149"/>
      <c r="K591" s="149"/>
      <c r="L591" s="149"/>
      <c r="M591" s="149"/>
      <c r="N591" s="149"/>
      <c r="O591" s="149"/>
      <c r="P591" s="149"/>
      <c r="Q591" s="149"/>
      <c r="R591" s="149"/>
      <c r="S591" s="149"/>
      <c r="T591" s="149"/>
      <c r="U591" s="149"/>
      <c r="V591" s="149"/>
      <c r="W591" s="149"/>
      <c r="X591" s="149"/>
      <c r="Y591" s="149"/>
      <c r="Z591" s="149"/>
      <c r="AA591" s="149"/>
      <c r="AB591" s="149"/>
      <c r="AC591" s="149"/>
      <c r="AD591" s="148"/>
      <c r="AE591" s="148"/>
      <c r="AF591" s="148"/>
      <c r="DB591" s="149"/>
    </row>
    <row r="592" spans="2:106">
      <c r="B592" s="149"/>
      <c r="C592" s="149"/>
      <c r="D592" s="149"/>
      <c r="E592" s="149"/>
      <c r="F592" s="149"/>
      <c r="G592" s="149"/>
      <c r="H592" s="149"/>
      <c r="I592" s="149"/>
      <c r="J592" s="149"/>
      <c r="K592" s="149"/>
      <c r="L592" s="149"/>
      <c r="M592" s="149"/>
      <c r="N592" s="149"/>
      <c r="O592" s="149"/>
      <c r="P592" s="149"/>
      <c r="Q592" s="149"/>
      <c r="R592" s="149"/>
      <c r="S592" s="149"/>
      <c r="T592" s="149"/>
      <c r="U592" s="149"/>
      <c r="V592" s="149"/>
      <c r="W592" s="149"/>
      <c r="X592" s="149"/>
      <c r="Y592" s="149"/>
      <c r="Z592" s="149"/>
      <c r="AA592" s="149"/>
      <c r="AB592" s="149"/>
      <c r="AC592" s="149"/>
      <c r="AD592" s="148"/>
      <c r="AE592" s="148"/>
      <c r="AF592" s="148"/>
      <c r="DB592" s="149"/>
    </row>
    <row r="593" spans="2:106">
      <c r="B593" s="149"/>
      <c r="C593" s="149"/>
      <c r="D593" s="149"/>
      <c r="E593" s="149"/>
      <c r="F593" s="149"/>
      <c r="G593" s="149"/>
      <c r="H593" s="149"/>
      <c r="I593" s="149"/>
      <c r="J593" s="149"/>
      <c r="K593" s="149"/>
      <c r="L593" s="149"/>
      <c r="M593" s="149"/>
      <c r="N593" s="149"/>
      <c r="O593" s="149"/>
      <c r="P593" s="149"/>
      <c r="Q593" s="149"/>
      <c r="R593" s="149"/>
      <c r="S593" s="149"/>
      <c r="T593" s="149"/>
      <c r="U593" s="149"/>
      <c r="V593" s="149"/>
      <c r="W593" s="149"/>
      <c r="X593" s="149"/>
      <c r="Y593" s="149"/>
      <c r="Z593" s="149"/>
      <c r="AA593" s="149"/>
      <c r="AB593" s="149"/>
      <c r="AC593" s="149"/>
      <c r="AD593" s="148"/>
      <c r="AE593" s="148"/>
      <c r="AF593" s="148"/>
      <c r="DB593" s="149"/>
    </row>
    <row r="594" spans="2:106">
      <c r="B594" s="149"/>
      <c r="C594" s="149"/>
      <c r="D594" s="149"/>
      <c r="E594" s="149"/>
      <c r="F594" s="149"/>
      <c r="G594" s="149"/>
      <c r="H594" s="149"/>
      <c r="I594" s="149"/>
      <c r="J594" s="149"/>
      <c r="K594" s="149"/>
      <c r="L594" s="149"/>
      <c r="M594" s="149"/>
      <c r="N594" s="149"/>
      <c r="O594" s="149"/>
      <c r="P594" s="149"/>
      <c r="Q594" s="149"/>
      <c r="R594" s="149"/>
      <c r="S594" s="149"/>
      <c r="T594" s="149"/>
      <c r="U594" s="149"/>
      <c r="V594" s="149"/>
      <c r="W594" s="149"/>
      <c r="X594" s="149"/>
      <c r="Y594" s="149"/>
      <c r="Z594" s="149"/>
      <c r="AA594" s="149"/>
      <c r="AB594" s="149"/>
      <c r="AC594" s="149"/>
      <c r="AD594" s="148"/>
      <c r="AE594" s="148"/>
      <c r="AF594" s="148"/>
      <c r="DB594" s="149"/>
    </row>
    <row r="595" spans="2:106">
      <c r="B595" s="149"/>
      <c r="C595" s="149"/>
      <c r="D595" s="149"/>
      <c r="E595" s="149"/>
      <c r="F595" s="149"/>
      <c r="G595" s="149"/>
      <c r="H595" s="149"/>
      <c r="I595" s="149"/>
      <c r="J595" s="149"/>
      <c r="K595" s="149"/>
      <c r="L595" s="149"/>
      <c r="M595" s="149"/>
      <c r="N595" s="149"/>
      <c r="O595" s="149"/>
      <c r="P595" s="149"/>
      <c r="Q595" s="149"/>
      <c r="R595" s="149"/>
      <c r="S595" s="149"/>
      <c r="T595" s="149"/>
      <c r="U595" s="149"/>
      <c r="V595" s="149"/>
      <c r="W595" s="149"/>
      <c r="X595" s="149"/>
      <c r="Y595" s="149"/>
      <c r="Z595" s="149"/>
      <c r="AA595" s="149"/>
      <c r="AB595" s="149"/>
      <c r="AC595" s="149"/>
      <c r="AD595" s="148"/>
      <c r="AE595" s="148"/>
      <c r="AF595" s="148"/>
      <c r="DB595" s="149"/>
    </row>
    <row r="596" spans="2:106">
      <c r="B596" s="149"/>
      <c r="C596" s="149"/>
      <c r="D596" s="149"/>
      <c r="E596" s="149"/>
      <c r="F596" s="149"/>
      <c r="G596" s="149"/>
      <c r="H596" s="149"/>
      <c r="I596" s="149"/>
      <c r="J596" s="149"/>
      <c r="K596" s="149"/>
      <c r="L596" s="149"/>
      <c r="M596" s="149"/>
      <c r="N596" s="149"/>
      <c r="O596" s="149"/>
      <c r="P596" s="149"/>
      <c r="Q596" s="149"/>
      <c r="R596" s="149"/>
      <c r="S596" s="149"/>
      <c r="T596" s="149"/>
      <c r="U596" s="149"/>
      <c r="V596" s="149"/>
      <c r="W596" s="149"/>
      <c r="X596" s="149"/>
      <c r="Y596" s="149"/>
      <c r="Z596" s="149"/>
      <c r="AA596" s="149"/>
      <c r="AB596" s="149"/>
      <c r="AC596" s="149"/>
      <c r="AD596" s="148"/>
      <c r="AE596" s="148"/>
      <c r="AF596" s="148"/>
      <c r="DB596" s="149"/>
    </row>
    <row r="597" spans="2:106">
      <c r="B597" s="149"/>
      <c r="C597" s="149"/>
      <c r="D597" s="149"/>
      <c r="E597" s="149"/>
      <c r="F597" s="149"/>
      <c r="G597" s="149"/>
      <c r="H597" s="149"/>
      <c r="I597" s="149"/>
      <c r="J597" s="149"/>
      <c r="K597" s="149"/>
      <c r="L597" s="149"/>
      <c r="M597" s="149"/>
      <c r="N597" s="149"/>
      <c r="O597" s="149"/>
      <c r="P597" s="149"/>
      <c r="Q597" s="149"/>
      <c r="R597" s="149"/>
      <c r="S597" s="149"/>
      <c r="T597" s="149"/>
      <c r="U597" s="149"/>
      <c r="V597" s="149"/>
      <c r="W597" s="149"/>
      <c r="X597" s="149"/>
      <c r="Y597" s="149"/>
      <c r="Z597" s="149"/>
      <c r="AA597" s="149"/>
      <c r="AB597" s="149"/>
      <c r="AC597" s="149"/>
      <c r="AD597" s="148"/>
      <c r="AE597" s="148"/>
      <c r="AF597" s="148"/>
      <c r="DB597" s="149"/>
    </row>
    <row r="598" spans="2:106">
      <c r="B598" s="149"/>
      <c r="C598" s="149"/>
      <c r="D598" s="149"/>
      <c r="E598" s="149"/>
      <c r="F598" s="149"/>
      <c r="G598" s="149"/>
      <c r="H598" s="149"/>
      <c r="I598" s="149"/>
      <c r="J598" s="149"/>
      <c r="K598" s="149"/>
      <c r="L598" s="149"/>
      <c r="M598" s="149"/>
      <c r="N598" s="149"/>
      <c r="O598" s="149"/>
      <c r="P598" s="149"/>
      <c r="Q598" s="149"/>
      <c r="R598" s="149"/>
      <c r="S598" s="149"/>
      <c r="T598" s="149"/>
      <c r="U598" s="149"/>
      <c r="V598" s="149"/>
      <c r="W598" s="149"/>
      <c r="X598" s="149"/>
      <c r="Y598" s="149"/>
      <c r="Z598" s="149"/>
      <c r="AA598" s="149"/>
      <c r="AB598" s="149"/>
      <c r="AC598" s="149"/>
      <c r="AD598" s="148"/>
      <c r="AE598" s="148"/>
      <c r="AF598" s="148"/>
      <c r="DB598" s="149"/>
    </row>
    <row r="599" spans="2:106">
      <c r="B599" s="149"/>
      <c r="C599" s="149"/>
      <c r="D599" s="149"/>
      <c r="E599" s="149"/>
      <c r="F599" s="149"/>
      <c r="G599" s="149"/>
      <c r="H599" s="149"/>
      <c r="I599" s="149"/>
      <c r="J599" s="149"/>
      <c r="K599" s="149"/>
      <c r="L599" s="149"/>
      <c r="M599" s="149"/>
      <c r="N599" s="149"/>
      <c r="O599" s="149"/>
      <c r="P599" s="149"/>
      <c r="Q599" s="149"/>
      <c r="R599" s="149"/>
      <c r="S599" s="149"/>
      <c r="T599" s="149"/>
      <c r="U599" s="149"/>
      <c r="V599" s="149"/>
      <c r="W599" s="149"/>
      <c r="X599" s="149"/>
      <c r="Y599" s="149"/>
      <c r="Z599" s="149"/>
      <c r="AA599" s="149"/>
      <c r="AB599" s="149"/>
      <c r="AC599" s="149"/>
      <c r="AD599" s="148"/>
      <c r="AE599" s="148"/>
      <c r="AF599" s="148"/>
      <c r="DB599" s="149"/>
    </row>
    <row r="600" spans="2:106">
      <c r="B600" s="149"/>
      <c r="C600" s="149"/>
      <c r="D600" s="149"/>
      <c r="E600" s="149"/>
      <c r="F600" s="149"/>
      <c r="G600" s="149"/>
      <c r="H600" s="149"/>
      <c r="I600" s="149"/>
      <c r="J600" s="149"/>
      <c r="K600" s="149"/>
      <c r="L600" s="149"/>
      <c r="M600" s="149"/>
      <c r="N600" s="149"/>
      <c r="O600" s="149"/>
      <c r="P600" s="149"/>
      <c r="Q600" s="149"/>
      <c r="R600" s="149"/>
      <c r="S600" s="149"/>
      <c r="T600" s="149"/>
      <c r="U600" s="149"/>
      <c r="V600" s="149"/>
      <c r="W600" s="149"/>
      <c r="X600" s="149"/>
      <c r="Y600" s="149"/>
      <c r="Z600" s="149"/>
      <c r="AA600" s="149"/>
      <c r="AB600" s="149"/>
      <c r="AC600" s="149"/>
      <c r="AD600" s="148"/>
      <c r="AE600" s="148"/>
      <c r="AF600" s="148"/>
      <c r="DB600" s="149"/>
    </row>
    <row r="601" spans="2:106">
      <c r="B601" s="149"/>
      <c r="C601" s="149"/>
      <c r="D601" s="149"/>
      <c r="E601" s="149"/>
      <c r="F601" s="149"/>
      <c r="G601" s="149"/>
      <c r="H601" s="149"/>
      <c r="I601" s="149"/>
      <c r="J601" s="149"/>
      <c r="K601" s="149"/>
      <c r="L601" s="149"/>
      <c r="M601" s="149"/>
      <c r="N601" s="149"/>
      <c r="O601" s="149"/>
      <c r="P601" s="149"/>
      <c r="Q601" s="149"/>
      <c r="R601" s="149"/>
      <c r="S601" s="149"/>
      <c r="T601" s="149"/>
      <c r="U601" s="149"/>
      <c r="V601" s="149"/>
      <c r="W601" s="149"/>
      <c r="X601" s="149"/>
      <c r="Y601" s="149"/>
      <c r="Z601" s="149"/>
      <c r="AA601" s="149"/>
      <c r="AB601" s="149"/>
      <c r="AC601" s="149"/>
      <c r="AD601" s="148"/>
      <c r="AE601" s="148"/>
      <c r="AF601" s="148"/>
      <c r="DB601" s="149"/>
    </row>
    <row r="602" spans="2:106">
      <c r="B602" s="149"/>
      <c r="C602" s="149"/>
      <c r="D602" s="149"/>
      <c r="E602" s="149"/>
      <c r="F602" s="149"/>
      <c r="G602" s="149"/>
      <c r="H602" s="149"/>
      <c r="I602" s="149"/>
      <c r="J602" s="149"/>
      <c r="K602" s="149"/>
      <c r="L602" s="149"/>
      <c r="M602" s="149"/>
      <c r="N602" s="149"/>
      <c r="O602" s="149"/>
      <c r="P602" s="149"/>
      <c r="Q602" s="149"/>
      <c r="R602" s="149"/>
      <c r="S602" s="149"/>
      <c r="T602" s="149"/>
      <c r="U602" s="149"/>
      <c r="V602" s="149"/>
      <c r="W602" s="149"/>
      <c r="X602" s="149"/>
      <c r="Y602" s="149"/>
      <c r="Z602" s="149"/>
      <c r="AA602" s="149"/>
      <c r="AB602" s="149"/>
      <c r="AC602" s="149"/>
      <c r="AD602" s="148"/>
      <c r="AE602" s="148"/>
      <c r="AF602" s="148"/>
      <c r="DB602" s="149"/>
    </row>
    <row r="603" spans="2:106">
      <c r="B603" s="149"/>
      <c r="C603" s="149"/>
      <c r="D603" s="149"/>
      <c r="E603" s="149"/>
      <c r="F603" s="149"/>
      <c r="G603" s="149"/>
      <c r="H603" s="149"/>
      <c r="I603" s="149"/>
      <c r="J603" s="149"/>
      <c r="K603" s="149"/>
      <c r="L603" s="149"/>
      <c r="M603" s="149"/>
      <c r="N603" s="149"/>
      <c r="O603" s="149"/>
      <c r="P603" s="149"/>
      <c r="Q603" s="149"/>
      <c r="R603" s="149"/>
      <c r="S603" s="149"/>
      <c r="T603" s="149"/>
      <c r="U603" s="149"/>
      <c r="V603" s="149"/>
      <c r="W603" s="149"/>
      <c r="X603" s="149"/>
      <c r="Y603" s="149"/>
      <c r="Z603" s="149"/>
      <c r="AA603" s="149"/>
      <c r="AB603" s="149"/>
      <c r="AC603" s="149"/>
      <c r="AD603" s="148"/>
      <c r="AE603" s="148"/>
      <c r="AF603" s="148"/>
      <c r="DB603" s="149"/>
    </row>
    <row r="604" spans="2:106">
      <c r="B604" s="149"/>
      <c r="C604" s="149"/>
      <c r="D604" s="149"/>
      <c r="E604" s="149"/>
      <c r="F604" s="149"/>
      <c r="G604" s="149"/>
      <c r="H604" s="149"/>
      <c r="I604" s="149"/>
      <c r="J604" s="149"/>
      <c r="K604" s="149"/>
      <c r="L604" s="149"/>
      <c r="M604" s="149"/>
      <c r="N604" s="149"/>
      <c r="O604" s="149"/>
      <c r="P604" s="149"/>
      <c r="Q604" s="149"/>
      <c r="R604" s="149"/>
      <c r="S604" s="149"/>
      <c r="T604" s="149"/>
      <c r="U604" s="149"/>
      <c r="V604" s="149"/>
      <c r="W604" s="149"/>
      <c r="X604" s="149"/>
      <c r="Y604" s="149"/>
      <c r="Z604" s="149"/>
      <c r="AA604" s="149"/>
      <c r="AB604" s="149"/>
      <c r="AC604" s="149"/>
      <c r="AD604" s="148"/>
      <c r="AE604" s="148"/>
      <c r="AF604" s="148"/>
      <c r="DB604" s="149"/>
    </row>
    <row r="605" spans="2:106">
      <c r="B605" s="149"/>
      <c r="C605" s="149"/>
      <c r="D605" s="149"/>
      <c r="E605" s="149"/>
      <c r="F605" s="149"/>
      <c r="G605" s="149"/>
      <c r="H605" s="149"/>
      <c r="I605" s="149"/>
      <c r="J605" s="149"/>
      <c r="K605" s="149"/>
      <c r="L605" s="149"/>
      <c r="M605" s="149"/>
      <c r="N605" s="149"/>
      <c r="O605" s="149"/>
      <c r="P605" s="149"/>
      <c r="Q605" s="149"/>
      <c r="R605" s="149"/>
      <c r="S605" s="149"/>
      <c r="T605" s="149"/>
      <c r="U605" s="149"/>
      <c r="V605" s="149"/>
      <c r="W605" s="149"/>
      <c r="X605" s="149"/>
      <c r="Y605" s="149"/>
      <c r="Z605" s="149"/>
      <c r="AA605" s="149"/>
      <c r="AB605" s="149"/>
      <c r="AC605" s="149"/>
      <c r="AD605" s="148"/>
      <c r="AE605" s="148"/>
      <c r="AF605" s="148"/>
      <c r="DB605" s="149"/>
    </row>
    <row r="606" spans="2:106">
      <c r="B606" s="149"/>
      <c r="C606" s="149"/>
      <c r="D606" s="149"/>
      <c r="E606" s="149"/>
      <c r="F606" s="149"/>
      <c r="G606" s="149"/>
      <c r="H606" s="149"/>
      <c r="I606" s="149"/>
      <c r="J606" s="149"/>
      <c r="K606" s="149"/>
      <c r="L606" s="149"/>
      <c r="M606" s="149"/>
      <c r="N606" s="149"/>
      <c r="O606" s="149"/>
      <c r="P606" s="149"/>
      <c r="Q606" s="149"/>
      <c r="R606" s="149"/>
      <c r="S606" s="149"/>
      <c r="T606" s="149"/>
      <c r="U606" s="149"/>
      <c r="V606" s="149"/>
      <c r="W606" s="149"/>
      <c r="X606" s="149"/>
      <c r="Y606" s="149"/>
      <c r="Z606" s="149"/>
      <c r="AA606" s="149"/>
      <c r="AB606" s="149"/>
      <c r="AC606" s="149"/>
      <c r="AD606" s="148"/>
      <c r="AE606" s="148"/>
      <c r="AF606" s="148"/>
      <c r="DB606" s="149"/>
    </row>
    <row r="607" spans="2:106">
      <c r="B607" s="149"/>
      <c r="C607" s="149"/>
      <c r="D607" s="149"/>
      <c r="E607" s="149"/>
      <c r="F607" s="149"/>
      <c r="G607" s="149"/>
      <c r="H607" s="149"/>
      <c r="I607" s="149"/>
      <c r="J607" s="149"/>
      <c r="K607" s="149"/>
      <c r="L607" s="149"/>
      <c r="M607" s="149"/>
      <c r="N607" s="149"/>
      <c r="O607" s="149"/>
      <c r="P607" s="149"/>
      <c r="Q607" s="149"/>
      <c r="R607" s="149"/>
      <c r="S607" s="149"/>
      <c r="T607" s="149"/>
      <c r="U607" s="149"/>
      <c r="V607" s="149"/>
      <c r="W607" s="149"/>
      <c r="X607" s="149"/>
      <c r="Y607" s="149"/>
      <c r="Z607" s="149"/>
      <c r="AA607" s="149"/>
      <c r="AB607" s="149"/>
      <c r="AC607" s="149"/>
      <c r="AD607" s="148"/>
      <c r="AE607" s="148"/>
      <c r="AF607" s="148"/>
      <c r="DB607" s="149"/>
    </row>
    <row r="608" spans="2:106">
      <c r="B608" s="149"/>
      <c r="C608" s="149"/>
      <c r="D608" s="149"/>
      <c r="E608" s="149"/>
      <c r="F608" s="149"/>
      <c r="G608" s="149"/>
      <c r="H608" s="149"/>
      <c r="I608" s="149"/>
      <c r="J608" s="149"/>
      <c r="K608" s="149"/>
      <c r="L608" s="149"/>
      <c r="M608" s="149"/>
      <c r="N608" s="149"/>
      <c r="O608" s="149"/>
      <c r="P608" s="149"/>
      <c r="Q608" s="149"/>
      <c r="R608" s="149"/>
      <c r="S608" s="149"/>
      <c r="T608" s="149"/>
      <c r="U608" s="149"/>
      <c r="V608" s="149"/>
      <c r="W608" s="149"/>
      <c r="X608" s="149"/>
      <c r="Y608" s="149"/>
      <c r="Z608" s="149"/>
      <c r="AA608" s="149"/>
      <c r="AB608" s="149"/>
      <c r="AC608" s="149"/>
      <c r="AD608" s="148"/>
      <c r="AE608" s="148"/>
      <c r="AF608" s="148"/>
      <c r="DB608" s="149"/>
    </row>
    <row r="609" spans="2:106">
      <c r="B609" s="149"/>
      <c r="C609" s="149"/>
      <c r="D609" s="149"/>
      <c r="E609" s="149"/>
      <c r="F609" s="149"/>
      <c r="G609" s="149"/>
      <c r="H609" s="149"/>
      <c r="I609" s="149"/>
      <c r="J609" s="149"/>
      <c r="K609" s="149"/>
      <c r="L609" s="149"/>
      <c r="M609" s="149"/>
      <c r="N609" s="149"/>
      <c r="O609" s="149"/>
      <c r="P609" s="149"/>
      <c r="Q609" s="149"/>
      <c r="R609" s="149"/>
      <c r="S609" s="149"/>
      <c r="T609" s="149"/>
      <c r="U609" s="149"/>
      <c r="V609" s="149"/>
      <c r="W609" s="149"/>
      <c r="X609" s="149"/>
      <c r="Y609" s="149"/>
      <c r="Z609" s="149"/>
      <c r="AA609" s="149"/>
      <c r="AB609" s="149"/>
      <c r="AC609" s="149"/>
      <c r="AD609" s="148"/>
      <c r="AE609" s="148"/>
      <c r="AF609" s="148"/>
      <c r="DB609" s="149"/>
    </row>
    <row r="610" spans="2:106">
      <c r="B610" s="149"/>
      <c r="C610" s="149"/>
      <c r="D610" s="149"/>
      <c r="E610" s="149"/>
      <c r="F610" s="149"/>
      <c r="G610" s="149"/>
      <c r="H610" s="149"/>
      <c r="I610" s="149"/>
      <c r="J610" s="149"/>
      <c r="K610" s="149"/>
      <c r="L610" s="149"/>
      <c r="M610" s="149"/>
      <c r="N610" s="149"/>
      <c r="O610" s="149"/>
      <c r="P610" s="149"/>
      <c r="Q610" s="149"/>
      <c r="R610" s="149"/>
      <c r="S610" s="149"/>
      <c r="T610" s="149"/>
      <c r="U610" s="149"/>
      <c r="V610" s="149"/>
      <c r="W610" s="149"/>
      <c r="X610" s="149"/>
      <c r="Y610" s="149"/>
      <c r="Z610" s="149"/>
      <c r="AA610" s="149"/>
      <c r="AB610" s="149"/>
      <c r="AC610" s="149"/>
      <c r="AD610" s="148"/>
      <c r="AE610" s="148"/>
      <c r="AF610" s="148"/>
      <c r="DB610" s="149"/>
    </row>
    <row r="611" spans="2:106">
      <c r="B611" s="149"/>
      <c r="C611" s="149"/>
      <c r="D611" s="149"/>
      <c r="E611" s="149"/>
      <c r="F611" s="149"/>
      <c r="G611" s="149"/>
      <c r="H611" s="149"/>
      <c r="I611" s="149"/>
      <c r="J611" s="149"/>
      <c r="K611" s="149"/>
      <c r="L611" s="149"/>
      <c r="M611" s="149"/>
      <c r="N611" s="149"/>
      <c r="O611" s="149"/>
      <c r="P611" s="149"/>
      <c r="Q611" s="149"/>
      <c r="R611" s="149"/>
      <c r="S611" s="149"/>
      <c r="T611" s="149"/>
      <c r="U611" s="149"/>
      <c r="V611" s="149"/>
      <c r="W611" s="149"/>
      <c r="X611" s="149"/>
      <c r="Y611" s="149"/>
      <c r="Z611" s="149"/>
      <c r="AA611" s="149"/>
      <c r="AB611" s="149"/>
      <c r="AC611" s="149"/>
      <c r="AD611" s="148"/>
      <c r="AE611" s="148"/>
      <c r="AF611" s="148"/>
      <c r="DB611" s="149"/>
    </row>
    <row r="612" spans="2:106">
      <c r="B612" s="149"/>
      <c r="C612" s="149"/>
      <c r="D612" s="149"/>
      <c r="E612" s="149"/>
      <c r="F612" s="149"/>
      <c r="G612" s="149"/>
      <c r="H612" s="149"/>
      <c r="I612" s="149"/>
      <c r="J612" s="149"/>
      <c r="K612" s="149"/>
      <c r="L612" s="149"/>
      <c r="M612" s="149"/>
      <c r="N612" s="149"/>
      <c r="O612" s="149"/>
      <c r="P612" s="149"/>
      <c r="Q612" s="149"/>
      <c r="R612" s="149"/>
      <c r="S612" s="149"/>
      <c r="T612" s="149"/>
      <c r="U612" s="149"/>
      <c r="V612" s="149"/>
      <c r="W612" s="149"/>
      <c r="X612" s="149"/>
      <c r="Y612" s="149"/>
      <c r="Z612" s="149"/>
      <c r="AA612" s="149"/>
      <c r="AB612" s="149"/>
      <c r="AC612" s="149"/>
      <c r="AD612" s="148"/>
      <c r="AE612" s="148"/>
      <c r="AF612" s="148"/>
      <c r="DB612" s="149"/>
    </row>
    <row r="613" spans="2:106">
      <c r="B613" s="149"/>
      <c r="C613" s="149"/>
      <c r="D613" s="149"/>
      <c r="E613" s="149"/>
      <c r="F613" s="149"/>
      <c r="G613" s="149"/>
      <c r="H613" s="149"/>
      <c r="I613" s="149"/>
      <c r="J613" s="149"/>
      <c r="K613" s="149"/>
      <c r="L613" s="149"/>
      <c r="M613" s="149"/>
      <c r="N613" s="149"/>
      <c r="O613" s="149"/>
      <c r="P613" s="149"/>
      <c r="Q613" s="149"/>
      <c r="R613" s="149"/>
      <c r="S613" s="149"/>
      <c r="T613" s="149"/>
      <c r="U613" s="149"/>
      <c r="V613" s="149"/>
      <c r="W613" s="149"/>
      <c r="X613" s="149"/>
      <c r="Y613" s="149"/>
      <c r="Z613" s="149"/>
      <c r="AA613" s="149"/>
      <c r="AB613" s="149"/>
      <c r="AC613" s="149"/>
      <c r="AD613" s="148"/>
      <c r="AE613" s="148"/>
      <c r="AF613" s="148"/>
      <c r="DB613" s="149"/>
    </row>
    <row r="614" spans="2:106">
      <c r="B614" s="149"/>
      <c r="C614" s="149"/>
      <c r="D614" s="149"/>
      <c r="E614" s="149"/>
      <c r="F614" s="149"/>
      <c r="G614" s="149"/>
      <c r="H614" s="149"/>
      <c r="I614" s="149"/>
      <c r="J614" s="149"/>
      <c r="K614" s="149"/>
      <c r="L614" s="149"/>
      <c r="M614" s="149"/>
      <c r="N614" s="149"/>
      <c r="O614" s="149"/>
      <c r="P614" s="149"/>
      <c r="Q614" s="149"/>
      <c r="R614" s="149"/>
      <c r="S614" s="149"/>
      <c r="T614" s="149"/>
      <c r="U614" s="149"/>
      <c r="V614" s="149"/>
      <c r="W614" s="149"/>
      <c r="X614" s="149"/>
      <c r="Y614" s="149"/>
      <c r="Z614" s="149"/>
      <c r="AA614" s="149"/>
      <c r="AB614" s="149"/>
      <c r="AC614" s="149"/>
      <c r="AD614" s="148"/>
      <c r="AE614" s="148"/>
      <c r="AF614" s="148"/>
      <c r="DB614" s="149"/>
    </row>
    <row r="615" spans="2:106">
      <c r="B615" s="149"/>
      <c r="C615" s="149"/>
      <c r="D615" s="149"/>
      <c r="E615" s="149"/>
      <c r="F615" s="149"/>
      <c r="G615" s="149"/>
      <c r="H615" s="149"/>
      <c r="I615" s="149"/>
      <c r="J615" s="149"/>
      <c r="K615" s="149"/>
      <c r="L615" s="149"/>
      <c r="M615" s="149"/>
      <c r="N615" s="149"/>
      <c r="O615" s="149"/>
      <c r="P615" s="149"/>
      <c r="Q615" s="149"/>
      <c r="R615" s="149"/>
      <c r="S615" s="149"/>
      <c r="T615" s="149"/>
      <c r="U615" s="149"/>
      <c r="V615" s="149"/>
      <c r="W615" s="149"/>
      <c r="X615" s="149"/>
      <c r="Y615" s="149"/>
      <c r="Z615" s="149"/>
      <c r="AA615" s="149"/>
      <c r="AB615" s="149"/>
      <c r="AC615" s="149"/>
      <c r="AD615" s="148"/>
      <c r="AE615" s="148"/>
      <c r="AF615" s="148"/>
      <c r="DB615" s="149"/>
    </row>
    <row r="616" spans="2:106">
      <c r="B616" s="149"/>
      <c r="C616" s="149"/>
      <c r="D616" s="149"/>
      <c r="E616" s="149"/>
      <c r="F616" s="149"/>
      <c r="G616" s="149"/>
      <c r="H616" s="149"/>
      <c r="I616" s="149"/>
      <c r="J616" s="149"/>
      <c r="K616" s="149"/>
      <c r="L616" s="149"/>
      <c r="M616" s="149"/>
      <c r="N616" s="149"/>
      <c r="O616" s="149"/>
      <c r="P616" s="149"/>
      <c r="Q616" s="149"/>
      <c r="R616" s="149"/>
      <c r="S616" s="149"/>
      <c r="T616" s="149"/>
      <c r="U616" s="149"/>
      <c r="V616" s="149"/>
      <c r="W616" s="149"/>
      <c r="X616" s="149"/>
      <c r="Y616" s="149"/>
      <c r="Z616" s="149"/>
      <c r="AA616" s="149"/>
      <c r="AB616" s="149"/>
      <c r="AC616" s="149"/>
      <c r="AD616" s="148"/>
      <c r="AE616" s="148"/>
      <c r="AF616" s="148"/>
      <c r="DB616" s="149"/>
    </row>
    <row r="617" spans="2:106">
      <c r="B617" s="149"/>
      <c r="C617" s="149"/>
      <c r="D617" s="149"/>
      <c r="E617" s="149"/>
      <c r="F617" s="149"/>
      <c r="G617" s="149"/>
      <c r="H617" s="149"/>
      <c r="I617" s="149"/>
      <c r="J617" s="149"/>
      <c r="K617" s="149"/>
      <c r="L617" s="149"/>
      <c r="M617" s="149"/>
      <c r="N617" s="149"/>
      <c r="O617" s="149"/>
      <c r="P617" s="149"/>
      <c r="Q617" s="149"/>
      <c r="R617" s="149"/>
      <c r="S617" s="149"/>
      <c r="T617" s="149"/>
      <c r="U617" s="149"/>
      <c r="V617" s="149"/>
      <c r="W617" s="149"/>
      <c r="X617" s="149"/>
      <c r="Y617" s="149"/>
      <c r="Z617" s="149"/>
      <c r="AA617" s="149"/>
      <c r="AB617" s="149"/>
      <c r="AC617" s="149"/>
      <c r="AD617" s="148"/>
      <c r="AE617" s="148"/>
      <c r="AF617" s="148"/>
      <c r="DB617" s="149"/>
    </row>
    <row r="618" spans="2:106">
      <c r="B618" s="149"/>
      <c r="C618" s="149"/>
      <c r="D618" s="149"/>
      <c r="E618" s="149"/>
      <c r="F618" s="149"/>
      <c r="G618" s="149"/>
      <c r="H618" s="149"/>
      <c r="I618" s="149"/>
      <c r="J618" s="149"/>
      <c r="K618" s="149"/>
      <c r="L618" s="149"/>
      <c r="M618" s="149"/>
      <c r="N618" s="149"/>
      <c r="O618" s="149"/>
      <c r="P618" s="149"/>
      <c r="Q618" s="149"/>
      <c r="R618" s="149"/>
      <c r="S618" s="149"/>
      <c r="T618" s="149"/>
      <c r="U618" s="149"/>
      <c r="V618" s="149"/>
      <c r="W618" s="149"/>
      <c r="X618" s="149"/>
      <c r="Y618" s="149"/>
      <c r="Z618" s="149"/>
      <c r="AA618" s="149"/>
      <c r="AB618" s="149"/>
      <c r="AC618" s="149"/>
      <c r="AD618" s="148"/>
      <c r="AE618" s="148"/>
      <c r="AF618" s="148"/>
      <c r="DB618" s="149"/>
    </row>
    <row r="619" spans="2:106">
      <c r="B619" s="149"/>
      <c r="C619" s="149"/>
      <c r="D619" s="149"/>
      <c r="E619" s="149"/>
      <c r="F619" s="149"/>
      <c r="G619" s="149"/>
      <c r="H619" s="149"/>
      <c r="I619" s="149"/>
      <c r="J619" s="149"/>
      <c r="K619" s="149"/>
      <c r="L619" s="149"/>
      <c r="M619" s="149"/>
      <c r="N619" s="149"/>
      <c r="O619" s="149"/>
      <c r="P619" s="149"/>
      <c r="Q619" s="149"/>
      <c r="R619" s="149"/>
      <c r="S619" s="149"/>
      <c r="T619" s="149"/>
      <c r="U619" s="149"/>
      <c r="V619" s="149"/>
      <c r="W619" s="149"/>
      <c r="X619" s="149"/>
      <c r="Y619" s="149"/>
      <c r="Z619" s="149"/>
      <c r="AA619" s="149"/>
      <c r="AB619" s="149"/>
      <c r="AC619" s="149"/>
      <c r="AD619" s="148"/>
      <c r="AE619" s="148"/>
      <c r="AF619" s="148"/>
      <c r="DB619" s="149"/>
    </row>
    <row r="620" spans="2:106">
      <c r="B620" s="149"/>
      <c r="C620" s="149"/>
      <c r="D620" s="149"/>
      <c r="E620" s="149"/>
      <c r="F620" s="149"/>
      <c r="G620" s="149"/>
      <c r="H620" s="149"/>
      <c r="I620" s="149"/>
      <c r="J620" s="149"/>
      <c r="K620" s="149"/>
      <c r="L620" s="149"/>
      <c r="M620" s="149"/>
      <c r="N620" s="149"/>
      <c r="O620" s="149"/>
      <c r="P620" s="149"/>
      <c r="Q620" s="149"/>
      <c r="R620" s="149"/>
      <c r="S620" s="149"/>
      <c r="T620" s="149"/>
      <c r="U620" s="149"/>
      <c r="V620" s="149"/>
      <c r="W620" s="149"/>
      <c r="X620" s="149"/>
      <c r="Y620" s="149"/>
      <c r="Z620" s="149"/>
      <c r="AA620" s="149"/>
      <c r="AB620" s="149"/>
      <c r="AC620" s="149"/>
      <c r="AD620" s="148"/>
      <c r="AE620" s="148"/>
      <c r="AF620" s="148"/>
      <c r="DB620" s="149"/>
    </row>
    <row r="621" spans="2:106">
      <c r="B621" s="149"/>
      <c r="C621" s="149"/>
      <c r="D621" s="149"/>
      <c r="E621" s="149"/>
      <c r="F621" s="149"/>
      <c r="G621" s="149"/>
      <c r="H621" s="149"/>
      <c r="I621" s="149"/>
      <c r="J621" s="149"/>
      <c r="K621" s="149"/>
      <c r="L621" s="149"/>
      <c r="M621" s="149"/>
      <c r="N621" s="149"/>
      <c r="O621" s="149"/>
      <c r="P621" s="149"/>
      <c r="Q621" s="149"/>
      <c r="R621" s="149"/>
      <c r="S621" s="149"/>
      <c r="T621" s="149"/>
      <c r="U621" s="149"/>
      <c r="V621" s="149"/>
      <c r="W621" s="149"/>
      <c r="X621" s="149"/>
      <c r="Y621" s="149"/>
      <c r="Z621" s="149"/>
      <c r="AA621" s="149"/>
      <c r="AB621" s="149"/>
      <c r="AC621" s="149"/>
      <c r="AD621" s="148"/>
      <c r="AE621" s="148"/>
      <c r="AF621" s="148"/>
      <c r="DB621" s="149"/>
    </row>
    <row r="622" spans="2:106">
      <c r="B622" s="149"/>
      <c r="C622" s="149"/>
      <c r="D622" s="149"/>
      <c r="E622" s="149"/>
      <c r="F622" s="149"/>
      <c r="G622" s="149"/>
      <c r="H622" s="149"/>
      <c r="I622" s="149"/>
      <c r="J622" s="149"/>
      <c r="K622" s="149"/>
      <c r="L622" s="149"/>
      <c r="M622" s="149"/>
      <c r="N622" s="149"/>
      <c r="O622" s="149"/>
      <c r="P622" s="149"/>
      <c r="Q622" s="149"/>
      <c r="R622" s="149"/>
      <c r="S622" s="149"/>
      <c r="T622" s="149"/>
      <c r="U622" s="149"/>
      <c r="V622" s="149"/>
      <c r="W622" s="149"/>
      <c r="X622" s="149"/>
      <c r="Y622" s="149"/>
      <c r="Z622" s="149"/>
      <c r="AA622" s="149"/>
      <c r="AB622" s="149"/>
      <c r="AC622" s="149"/>
      <c r="AD622" s="148"/>
      <c r="AE622" s="148"/>
      <c r="AF622" s="148"/>
      <c r="DB622" s="149"/>
    </row>
    <row r="623" spans="2:106">
      <c r="B623" s="149"/>
      <c r="C623" s="149"/>
      <c r="D623" s="149"/>
      <c r="E623" s="149"/>
      <c r="F623" s="149"/>
      <c r="G623" s="149"/>
      <c r="H623" s="149"/>
      <c r="I623" s="149"/>
      <c r="J623" s="149"/>
      <c r="K623" s="149"/>
      <c r="L623" s="149"/>
      <c r="M623" s="149"/>
      <c r="N623" s="149"/>
      <c r="O623" s="149"/>
      <c r="P623" s="149"/>
      <c r="Q623" s="149"/>
      <c r="R623" s="149"/>
      <c r="S623" s="149"/>
      <c r="T623" s="149"/>
      <c r="U623" s="149"/>
      <c r="V623" s="149"/>
      <c r="W623" s="149"/>
      <c r="X623" s="149"/>
      <c r="Y623" s="149"/>
      <c r="Z623" s="149"/>
      <c r="AA623" s="149"/>
      <c r="AB623" s="149"/>
      <c r="AC623" s="149"/>
      <c r="AD623" s="148"/>
      <c r="AE623" s="148"/>
      <c r="AF623" s="148"/>
      <c r="DB623" s="149"/>
    </row>
    <row r="624" spans="2:106">
      <c r="B624" s="149"/>
      <c r="C624" s="149"/>
      <c r="D624" s="149"/>
      <c r="E624" s="149"/>
      <c r="F624" s="149"/>
      <c r="G624" s="149"/>
      <c r="H624" s="149"/>
      <c r="I624" s="149"/>
      <c r="J624" s="149"/>
      <c r="K624" s="149"/>
      <c r="L624" s="149"/>
      <c r="M624" s="149"/>
      <c r="N624" s="149"/>
      <c r="O624" s="149"/>
      <c r="P624" s="149"/>
      <c r="Q624" s="149"/>
      <c r="R624" s="149"/>
      <c r="S624" s="149"/>
      <c r="T624" s="149"/>
      <c r="U624" s="149"/>
      <c r="V624" s="149"/>
      <c r="W624" s="149"/>
      <c r="X624" s="149"/>
      <c r="Y624" s="149"/>
      <c r="Z624" s="149"/>
      <c r="AA624" s="149"/>
      <c r="AB624" s="149"/>
      <c r="AC624" s="149"/>
      <c r="AD624" s="148"/>
      <c r="AE624" s="148"/>
      <c r="AF624" s="148"/>
      <c r="DB624" s="149"/>
    </row>
    <row r="625" spans="2:106">
      <c r="B625" s="149"/>
      <c r="C625" s="149"/>
      <c r="D625" s="149"/>
      <c r="E625" s="149"/>
      <c r="F625" s="149"/>
      <c r="G625" s="149"/>
      <c r="H625" s="149"/>
      <c r="I625" s="149"/>
      <c r="J625" s="149"/>
      <c r="K625" s="149"/>
      <c r="L625" s="149"/>
      <c r="M625" s="149"/>
      <c r="N625" s="149"/>
      <c r="O625" s="149"/>
      <c r="P625" s="149"/>
      <c r="Q625" s="149"/>
      <c r="R625" s="149"/>
      <c r="S625" s="149"/>
      <c r="T625" s="149"/>
      <c r="U625" s="149"/>
      <c r="V625" s="149"/>
      <c r="W625" s="149"/>
      <c r="X625" s="149"/>
      <c r="Y625" s="149"/>
      <c r="Z625" s="149"/>
      <c r="AA625" s="149"/>
      <c r="AB625" s="149"/>
      <c r="AC625" s="149"/>
      <c r="AD625" s="148"/>
      <c r="AE625" s="148"/>
      <c r="AF625" s="148"/>
      <c r="DB625" s="149"/>
    </row>
    <row r="626" spans="2:106">
      <c r="B626" s="149"/>
      <c r="C626" s="149"/>
      <c r="D626" s="149"/>
      <c r="E626" s="149"/>
      <c r="F626" s="149"/>
      <c r="G626" s="149"/>
      <c r="H626" s="149"/>
      <c r="I626" s="149"/>
      <c r="J626" s="149"/>
      <c r="K626" s="149"/>
      <c r="L626" s="149"/>
      <c r="M626" s="149"/>
      <c r="N626" s="149"/>
      <c r="O626" s="149"/>
      <c r="P626" s="149"/>
      <c r="Q626" s="149"/>
      <c r="R626" s="149"/>
      <c r="S626" s="149"/>
      <c r="T626" s="149"/>
      <c r="U626" s="149"/>
      <c r="V626" s="149"/>
      <c r="W626" s="149"/>
      <c r="X626" s="149"/>
      <c r="Y626" s="149"/>
      <c r="Z626" s="149"/>
      <c r="AA626" s="149"/>
      <c r="AB626" s="149"/>
      <c r="AC626" s="149"/>
      <c r="AD626" s="148"/>
      <c r="AE626" s="148"/>
      <c r="AF626" s="148"/>
      <c r="DB626" s="149"/>
    </row>
    <row r="627" spans="2:106">
      <c r="B627" s="149"/>
      <c r="C627" s="149"/>
      <c r="D627" s="149"/>
      <c r="E627" s="149"/>
      <c r="F627" s="149"/>
      <c r="G627" s="149"/>
      <c r="H627" s="149"/>
      <c r="I627" s="149"/>
      <c r="J627" s="149"/>
      <c r="K627" s="149"/>
      <c r="L627" s="149"/>
      <c r="M627" s="149"/>
      <c r="N627" s="149"/>
      <c r="O627" s="149"/>
      <c r="P627" s="149"/>
      <c r="Q627" s="149"/>
      <c r="R627" s="149"/>
      <c r="S627" s="149"/>
      <c r="T627" s="149"/>
      <c r="U627" s="149"/>
      <c r="V627" s="149"/>
      <c r="W627" s="149"/>
      <c r="X627" s="149"/>
      <c r="Y627" s="149"/>
      <c r="Z627" s="149"/>
      <c r="AA627" s="149"/>
      <c r="AB627" s="149"/>
      <c r="AC627" s="149"/>
      <c r="AD627" s="148"/>
      <c r="AE627" s="148"/>
      <c r="AF627" s="148"/>
      <c r="DB627" s="149"/>
    </row>
    <row r="628" spans="2:106">
      <c r="B628" s="149"/>
      <c r="C628" s="149"/>
      <c r="D628" s="149"/>
      <c r="E628" s="149"/>
      <c r="F628" s="149"/>
      <c r="G628" s="149"/>
      <c r="H628" s="149"/>
      <c r="I628" s="149"/>
      <c r="J628" s="149"/>
      <c r="K628" s="149"/>
      <c r="L628" s="149"/>
      <c r="M628" s="149"/>
      <c r="N628" s="149"/>
      <c r="O628" s="149"/>
      <c r="P628" s="149"/>
      <c r="Q628" s="149"/>
      <c r="R628" s="149"/>
      <c r="S628" s="149"/>
      <c r="T628" s="149"/>
      <c r="U628" s="149"/>
      <c r="V628" s="149"/>
      <c r="W628" s="149"/>
      <c r="X628" s="149"/>
      <c r="Y628" s="149"/>
      <c r="Z628" s="149"/>
      <c r="AA628" s="149"/>
      <c r="AB628" s="149"/>
      <c r="AC628" s="149"/>
      <c r="AD628" s="148"/>
      <c r="AE628" s="148"/>
      <c r="AF628" s="148"/>
      <c r="DB628" s="149"/>
    </row>
    <row r="629" spans="2:106">
      <c r="B629" s="149"/>
      <c r="C629" s="149"/>
      <c r="D629" s="149"/>
      <c r="E629" s="149"/>
      <c r="F629" s="149"/>
      <c r="G629" s="149"/>
      <c r="H629" s="149"/>
      <c r="I629" s="149"/>
      <c r="J629" s="149"/>
      <c r="K629" s="149"/>
      <c r="L629" s="149"/>
      <c r="M629" s="149"/>
      <c r="N629" s="149"/>
      <c r="O629" s="149"/>
      <c r="P629" s="149"/>
      <c r="Q629" s="149"/>
      <c r="R629" s="149"/>
      <c r="S629" s="149"/>
      <c r="T629" s="149"/>
      <c r="U629" s="149"/>
      <c r="V629" s="149"/>
      <c r="W629" s="149"/>
      <c r="X629" s="149"/>
      <c r="Y629" s="149"/>
      <c r="Z629" s="149"/>
      <c r="AA629" s="149"/>
      <c r="AB629" s="149"/>
      <c r="AC629" s="149"/>
      <c r="AD629" s="148"/>
      <c r="AE629" s="148"/>
      <c r="AF629" s="148"/>
      <c r="DB629" s="149"/>
    </row>
    <row r="630" spans="2:106">
      <c r="B630" s="149"/>
      <c r="C630" s="149"/>
      <c r="D630" s="149"/>
      <c r="E630" s="149"/>
      <c r="F630" s="149"/>
      <c r="G630" s="149"/>
      <c r="H630" s="149"/>
      <c r="I630" s="149"/>
      <c r="J630" s="149"/>
      <c r="K630" s="149"/>
      <c r="L630" s="149"/>
      <c r="M630" s="149"/>
      <c r="N630" s="149"/>
      <c r="O630" s="149"/>
      <c r="P630" s="149"/>
      <c r="Q630" s="149"/>
      <c r="R630" s="149"/>
      <c r="S630" s="149"/>
      <c r="T630" s="149"/>
      <c r="U630" s="149"/>
      <c r="V630" s="149"/>
      <c r="W630" s="149"/>
      <c r="X630" s="149"/>
      <c r="Y630" s="149"/>
      <c r="Z630" s="149"/>
      <c r="AA630" s="149"/>
      <c r="AB630" s="149"/>
      <c r="AC630" s="149"/>
      <c r="AD630" s="148"/>
      <c r="AE630" s="148"/>
      <c r="AF630" s="148"/>
      <c r="DB630" s="149"/>
    </row>
    <row r="631" spans="2:106">
      <c r="B631" s="149"/>
      <c r="C631" s="149"/>
      <c r="D631" s="149"/>
      <c r="E631" s="149"/>
      <c r="F631" s="149"/>
      <c r="G631" s="149"/>
      <c r="H631" s="149"/>
      <c r="I631" s="149"/>
      <c r="J631" s="149"/>
      <c r="K631" s="149"/>
      <c r="L631" s="149"/>
      <c r="M631" s="149"/>
      <c r="N631" s="149"/>
      <c r="O631" s="149"/>
      <c r="P631" s="149"/>
      <c r="Q631" s="149"/>
      <c r="R631" s="149"/>
      <c r="S631" s="149"/>
      <c r="T631" s="149"/>
      <c r="U631" s="149"/>
      <c r="V631" s="149"/>
      <c r="W631" s="149"/>
      <c r="X631" s="149"/>
      <c r="Y631" s="149"/>
      <c r="Z631" s="149"/>
      <c r="AA631" s="149"/>
      <c r="AB631" s="149"/>
      <c r="AC631" s="149"/>
      <c r="AD631" s="148"/>
      <c r="AE631" s="148"/>
      <c r="AF631" s="148"/>
      <c r="DB631" s="149"/>
    </row>
    <row r="632" spans="2:106">
      <c r="B632" s="149"/>
      <c r="C632" s="149"/>
      <c r="D632" s="149"/>
      <c r="E632" s="149"/>
      <c r="F632" s="149"/>
      <c r="G632" s="149"/>
      <c r="H632" s="149"/>
      <c r="I632" s="149"/>
      <c r="J632" s="149"/>
      <c r="K632" s="149"/>
      <c r="L632" s="149"/>
      <c r="M632" s="149"/>
      <c r="N632" s="149"/>
      <c r="O632" s="149"/>
      <c r="P632" s="149"/>
      <c r="Q632" s="149"/>
      <c r="R632" s="149"/>
      <c r="S632" s="149"/>
      <c r="T632" s="149"/>
      <c r="U632" s="149"/>
      <c r="V632" s="149"/>
      <c r="W632" s="149"/>
      <c r="X632" s="149"/>
      <c r="Y632" s="149"/>
      <c r="Z632" s="149"/>
      <c r="AA632" s="149"/>
      <c r="AB632" s="149"/>
      <c r="AC632" s="149"/>
      <c r="AD632" s="148"/>
      <c r="AE632" s="148"/>
      <c r="AF632" s="148"/>
      <c r="DB632" s="149"/>
    </row>
    <row r="633" spans="2:106">
      <c r="B633" s="149"/>
      <c r="C633" s="149"/>
      <c r="D633" s="149"/>
      <c r="E633" s="149"/>
      <c r="F633" s="149"/>
      <c r="G633" s="149"/>
      <c r="H633" s="149"/>
      <c r="I633" s="149"/>
      <c r="J633" s="149"/>
      <c r="K633" s="149"/>
      <c r="L633" s="149"/>
      <c r="M633" s="149"/>
      <c r="N633" s="149"/>
      <c r="O633" s="149"/>
      <c r="P633" s="149"/>
      <c r="Q633" s="149"/>
      <c r="R633" s="149"/>
      <c r="S633" s="149"/>
      <c r="T633" s="149"/>
      <c r="U633" s="149"/>
      <c r="V633" s="149"/>
      <c r="W633" s="149"/>
      <c r="X633" s="149"/>
      <c r="Y633" s="149"/>
      <c r="Z633" s="149"/>
      <c r="AA633" s="149"/>
      <c r="AB633" s="149"/>
      <c r="AC633" s="149"/>
      <c r="AD633" s="148"/>
      <c r="AE633" s="148"/>
      <c r="AF633" s="148"/>
      <c r="DB633" s="149"/>
    </row>
    <row r="634" spans="2:106">
      <c r="B634" s="149"/>
      <c r="C634" s="149"/>
      <c r="D634" s="149"/>
      <c r="E634" s="149"/>
      <c r="F634" s="149"/>
      <c r="G634" s="149"/>
      <c r="H634" s="149"/>
      <c r="I634" s="149"/>
      <c r="J634" s="149"/>
      <c r="K634" s="149"/>
      <c r="L634" s="149"/>
      <c r="M634" s="149"/>
      <c r="N634" s="149"/>
      <c r="O634" s="149"/>
      <c r="P634" s="149"/>
      <c r="Q634" s="149"/>
      <c r="R634" s="149"/>
      <c r="S634" s="149"/>
      <c r="T634" s="149"/>
      <c r="U634" s="149"/>
      <c r="V634" s="149"/>
      <c r="W634" s="149"/>
      <c r="X634" s="149"/>
      <c r="Y634" s="149"/>
      <c r="Z634" s="149"/>
      <c r="AA634" s="149"/>
      <c r="AB634" s="149"/>
      <c r="AC634" s="149"/>
      <c r="AD634" s="148"/>
      <c r="AE634" s="148"/>
      <c r="AF634" s="148"/>
      <c r="DB634" s="149"/>
    </row>
    <row r="635" spans="2:106">
      <c r="B635" s="149"/>
      <c r="C635" s="149"/>
      <c r="D635" s="149"/>
      <c r="E635" s="149"/>
      <c r="F635" s="149"/>
      <c r="G635" s="149"/>
      <c r="H635" s="149"/>
      <c r="I635" s="149"/>
      <c r="J635" s="149"/>
      <c r="K635" s="149"/>
      <c r="L635" s="149"/>
      <c r="M635" s="149"/>
      <c r="N635" s="149"/>
      <c r="O635" s="149"/>
      <c r="P635" s="149"/>
      <c r="Q635" s="149"/>
      <c r="R635" s="149"/>
      <c r="S635" s="149"/>
      <c r="T635" s="149"/>
      <c r="U635" s="149"/>
      <c r="V635" s="149"/>
      <c r="W635" s="149"/>
      <c r="X635" s="149"/>
      <c r="Y635" s="149"/>
      <c r="Z635" s="149"/>
      <c r="AA635" s="149"/>
      <c r="AB635" s="149"/>
      <c r="AC635" s="149"/>
      <c r="AD635" s="148"/>
      <c r="AE635" s="148"/>
      <c r="AF635" s="148"/>
      <c r="DB635" s="149"/>
    </row>
    <row r="636" spans="2:106">
      <c r="B636" s="149"/>
      <c r="C636" s="149"/>
      <c r="D636" s="149"/>
      <c r="E636" s="149"/>
      <c r="F636" s="149"/>
      <c r="G636" s="149"/>
      <c r="H636" s="149"/>
      <c r="I636" s="149"/>
      <c r="J636" s="149"/>
      <c r="K636" s="149"/>
      <c r="L636" s="149"/>
      <c r="M636" s="149"/>
      <c r="N636" s="149"/>
      <c r="O636" s="149"/>
      <c r="P636" s="149"/>
      <c r="Q636" s="149"/>
      <c r="R636" s="149"/>
      <c r="S636" s="149"/>
      <c r="T636" s="149"/>
      <c r="U636" s="149"/>
      <c r="V636" s="149"/>
      <c r="W636" s="149"/>
      <c r="X636" s="149"/>
      <c r="Y636" s="149"/>
      <c r="Z636" s="149"/>
      <c r="AA636" s="149"/>
      <c r="AB636" s="149"/>
      <c r="AC636" s="149"/>
      <c r="AD636" s="148"/>
      <c r="AE636" s="148"/>
      <c r="AF636" s="148"/>
      <c r="DB636" s="149"/>
    </row>
    <row r="637" spans="2:106">
      <c r="B637" s="149"/>
      <c r="C637" s="149"/>
      <c r="D637" s="149"/>
      <c r="E637" s="149"/>
      <c r="F637" s="149"/>
      <c r="G637" s="149"/>
      <c r="H637" s="149"/>
      <c r="I637" s="149"/>
      <c r="J637" s="149"/>
      <c r="K637" s="149"/>
      <c r="L637" s="149"/>
      <c r="M637" s="149"/>
      <c r="N637" s="149"/>
      <c r="O637" s="149"/>
      <c r="P637" s="149"/>
      <c r="Q637" s="149"/>
      <c r="R637" s="149"/>
      <c r="S637" s="149"/>
      <c r="T637" s="149"/>
      <c r="U637" s="149"/>
      <c r="V637" s="149"/>
      <c r="W637" s="149"/>
      <c r="X637" s="149"/>
      <c r="Y637" s="149"/>
      <c r="Z637" s="149"/>
      <c r="AA637" s="149"/>
      <c r="AB637" s="149"/>
      <c r="AC637" s="149"/>
      <c r="AD637" s="148"/>
      <c r="AE637" s="148"/>
      <c r="AF637" s="148"/>
      <c r="DB637" s="149"/>
    </row>
    <row r="638" spans="2:106">
      <c r="B638" s="149"/>
      <c r="C638" s="149"/>
      <c r="D638" s="149"/>
      <c r="E638" s="149"/>
      <c r="F638" s="149"/>
      <c r="G638" s="149"/>
      <c r="H638" s="149"/>
      <c r="I638" s="149"/>
      <c r="J638" s="149"/>
      <c r="K638" s="149"/>
      <c r="L638" s="149"/>
      <c r="M638" s="149"/>
      <c r="N638" s="149"/>
      <c r="O638" s="149"/>
      <c r="P638" s="149"/>
      <c r="Q638" s="149"/>
      <c r="R638" s="149"/>
      <c r="S638" s="149"/>
      <c r="T638" s="149"/>
      <c r="U638" s="149"/>
      <c r="V638" s="149"/>
      <c r="W638" s="149"/>
      <c r="X638" s="149"/>
      <c r="Y638" s="149"/>
      <c r="Z638" s="149"/>
      <c r="AA638" s="149"/>
      <c r="AB638" s="149"/>
      <c r="AC638" s="149"/>
      <c r="AD638" s="148"/>
      <c r="AE638" s="148"/>
      <c r="AF638" s="148"/>
      <c r="DB638" s="149"/>
    </row>
    <row r="639" spans="2:106">
      <c r="B639" s="149"/>
      <c r="C639" s="149"/>
      <c r="D639" s="149"/>
      <c r="E639" s="149"/>
      <c r="F639" s="149"/>
      <c r="G639" s="149"/>
      <c r="H639" s="149"/>
      <c r="I639" s="149"/>
      <c r="J639" s="149"/>
      <c r="K639" s="149"/>
      <c r="L639" s="149"/>
      <c r="M639" s="149"/>
      <c r="N639" s="149"/>
      <c r="O639" s="149"/>
      <c r="P639" s="149"/>
      <c r="Q639" s="149"/>
      <c r="R639" s="149"/>
      <c r="S639" s="149"/>
      <c r="T639" s="149"/>
      <c r="U639" s="149"/>
      <c r="V639" s="149"/>
      <c r="W639" s="149"/>
      <c r="X639" s="149"/>
      <c r="Y639" s="149"/>
      <c r="Z639" s="149"/>
      <c r="AA639" s="149"/>
      <c r="AB639" s="149"/>
      <c r="AC639" s="149"/>
      <c r="AD639" s="148"/>
      <c r="AE639" s="148"/>
      <c r="AF639" s="148"/>
      <c r="DB639" s="149"/>
    </row>
    <row r="640" spans="2:106">
      <c r="B640" s="149"/>
      <c r="C640" s="149"/>
      <c r="D640" s="149"/>
      <c r="E640" s="149"/>
      <c r="F640" s="149"/>
      <c r="G640" s="149"/>
      <c r="H640" s="149"/>
      <c r="I640" s="149"/>
      <c r="J640" s="149"/>
      <c r="K640" s="149"/>
      <c r="L640" s="149"/>
      <c r="M640" s="149"/>
      <c r="N640" s="149"/>
      <c r="O640" s="149"/>
      <c r="P640" s="149"/>
      <c r="Q640" s="149"/>
      <c r="R640" s="149"/>
      <c r="S640" s="149"/>
      <c r="T640" s="149"/>
      <c r="U640" s="149"/>
      <c r="V640" s="149"/>
      <c r="W640" s="149"/>
      <c r="X640" s="149"/>
      <c r="Y640" s="149"/>
      <c r="Z640" s="149"/>
      <c r="AA640" s="149"/>
      <c r="AB640" s="149"/>
      <c r="AC640" s="149"/>
      <c r="AD640" s="148"/>
      <c r="AE640" s="148"/>
      <c r="AF640" s="148"/>
      <c r="DB640" s="149"/>
    </row>
    <row r="641" spans="2:106">
      <c r="B641" s="149"/>
      <c r="C641" s="149"/>
      <c r="D641" s="149"/>
      <c r="E641" s="149"/>
      <c r="F641" s="149"/>
      <c r="G641" s="149"/>
      <c r="H641" s="149"/>
      <c r="I641" s="149"/>
      <c r="J641" s="149"/>
      <c r="K641" s="149"/>
      <c r="L641" s="149"/>
      <c r="M641" s="149"/>
      <c r="N641" s="149"/>
      <c r="O641" s="149"/>
      <c r="P641" s="149"/>
      <c r="Q641" s="149"/>
      <c r="R641" s="149"/>
      <c r="S641" s="149"/>
      <c r="T641" s="149"/>
      <c r="U641" s="149"/>
      <c r="V641" s="149"/>
      <c r="W641" s="149"/>
      <c r="X641" s="149"/>
      <c r="Y641" s="149"/>
      <c r="Z641" s="149"/>
      <c r="AA641" s="149"/>
      <c r="AB641" s="149"/>
      <c r="AC641" s="149"/>
      <c r="AD641" s="148"/>
      <c r="AE641" s="148"/>
      <c r="AF641" s="148"/>
      <c r="DB641" s="149"/>
    </row>
    <row r="642" spans="2:106">
      <c r="B642" s="149"/>
      <c r="C642" s="149"/>
      <c r="D642" s="149"/>
      <c r="E642" s="149"/>
      <c r="F642" s="149"/>
      <c r="G642" s="149"/>
      <c r="H642" s="149"/>
      <c r="I642" s="149"/>
      <c r="J642" s="149"/>
      <c r="K642" s="149"/>
      <c r="L642" s="149"/>
      <c r="M642" s="149"/>
      <c r="N642" s="149"/>
      <c r="O642" s="149"/>
      <c r="P642" s="149"/>
      <c r="Q642" s="149"/>
      <c r="R642" s="149"/>
      <c r="S642" s="149"/>
      <c r="T642" s="149"/>
      <c r="U642" s="149"/>
      <c r="V642" s="149"/>
      <c r="W642" s="149"/>
      <c r="X642" s="149"/>
      <c r="Y642" s="149"/>
      <c r="Z642" s="149"/>
      <c r="AA642" s="149"/>
      <c r="AB642" s="149"/>
      <c r="AC642" s="149"/>
      <c r="AD642" s="148"/>
      <c r="AE642" s="148"/>
      <c r="AF642" s="148"/>
      <c r="DB642" s="149"/>
    </row>
    <row r="643" spans="2:106">
      <c r="B643" s="149"/>
      <c r="C643" s="149"/>
      <c r="D643" s="149"/>
      <c r="E643" s="149"/>
      <c r="F643" s="149"/>
      <c r="G643" s="149"/>
      <c r="H643" s="149"/>
      <c r="I643" s="149"/>
      <c r="J643" s="149"/>
      <c r="K643" s="149"/>
      <c r="L643" s="149"/>
      <c r="M643" s="149"/>
      <c r="N643" s="149"/>
      <c r="O643" s="149"/>
      <c r="P643" s="149"/>
      <c r="Q643" s="149"/>
      <c r="R643" s="149"/>
      <c r="S643" s="149"/>
      <c r="T643" s="149"/>
      <c r="U643" s="149"/>
      <c r="V643" s="149"/>
      <c r="W643" s="149"/>
      <c r="X643" s="149"/>
      <c r="Y643" s="149"/>
      <c r="Z643" s="149"/>
      <c r="AA643" s="149"/>
      <c r="AB643" s="149"/>
      <c r="AC643" s="149"/>
      <c r="AD643" s="148"/>
      <c r="AE643" s="148"/>
      <c r="AF643" s="148"/>
      <c r="DB643" s="149"/>
    </row>
    <row r="644" spans="2:106">
      <c r="B644" s="149"/>
      <c r="C644" s="149"/>
      <c r="D644" s="149"/>
      <c r="E644" s="149"/>
      <c r="F644" s="149"/>
      <c r="G644" s="149"/>
      <c r="H644" s="149"/>
      <c r="I644" s="149"/>
      <c r="J644" s="149"/>
      <c r="K644" s="149"/>
      <c r="L644" s="149"/>
      <c r="M644" s="149"/>
      <c r="N644" s="149"/>
      <c r="O644" s="149"/>
      <c r="P644" s="149"/>
      <c r="Q644" s="149"/>
      <c r="R644" s="149"/>
      <c r="S644" s="149"/>
      <c r="T644" s="149"/>
      <c r="U644" s="149"/>
      <c r="V644" s="149"/>
      <c r="W644" s="149"/>
      <c r="X644" s="149"/>
      <c r="Y644" s="149"/>
      <c r="Z644" s="149"/>
      <c r="AA644" s="149"/>
      <c r="AB644" s="149"/>
      <c r="AC644" s="149"/>
      <c r="AD644" s="148"/>
      <c r="AE644" s="148"/>
      <c r="AF644" s="148"/>
      <c r="DB644" s="149"/>
    </row>
    <row r="645" spans="2:106">
      <c r="B645" s="149"/>
      <c r="C645" s="149"/>
      <c r="D645" s="149"/>
      <c r="E645" s="149"/>
      <c r="F645" s="149"/>
      <c r="G645" s="149"/>
      <c r="H645" s="149"/>
      <c r="I645" s="149"/>
      <c r="J645" s="149"/>
      <c r="K645" s="149"/>
      <c r="L645" s="149"/>
      <c r="M645" s="149"/>
      <c r="N645" s="149"/>
      <c r="O645" s="149"/>
      <c r="P645" s="149"/>
      <c r="Q645" s="149"/>
      <c r="R645" s="149"/>
      <c r="S645" s="149"/>
      <c r="T645" s="149"/>
      <c r="U645" s="149"/>
      <c r="V645" s="149"/>
      <c r="W645" s="149"/>
      <c r="X645" s="149"/>
      <c r="Y645" s="149"/>
      <c r="Z645" s="149"/>
      <c r="AA645" s="149"/>
      <c r="AB645" s="149"/>
      <c r="AC645" s="149"/>
      <c r="AD645" s="148"/>
      <c r="AE645" s="148"/>
      <c r="AF645" s="148"/>
      <c r="DB645" s="149"/>
    </row>
    <row r="646" spans="2:106">
      <c r="B646" s="149"/>
      <c r="C646" s="149"/>
      <c r="D646" s="149"/>
      <c r="E646" s="149"/>
      <c r="F646" s="149"/>
      <c r="G646" s="149"/>
      <c r="H646" s="149"/>
      <c r="I646" s="149"/>
      <c r="J646" s="149"/>
      <c r="K646" s="149"/>
      <c r="L646" s="149"/>
      <c r="M646" s="149"/>
      <c r="N646" s="149"/>
      <c r="O646" s="149"/>
      <c r="P646" s="149"/>
      <c r="Q646" s="149"/>
      <c r="R646" s="149"/>
      <c r="S646" s="149"/>
      <c r="T646" s="149"/>
      <c r="U646" s="149"/>
      <c r="V646" s="149"/>
      <c r="W646" s="149"/>
      <c r="X646" s="149"/>
      <c r="Y646" s="149"/>
      <c r="Z646" s="149"/>
      <c r="AA646" s="149"/>
      <c r="AB646" s="149"/>
      <c r="AC646" s="149"/>
      <c r="AD646" s="148"/>
      <c r="AE646" s="148"/>
      <c r="AF646" s="148"/>
      <c r="DB646" s="149"/>
    </row>
    <row r="647" spans="2:106">
      <c r="B647" s="149"/>
      <c r="C647" s="149"/>
      <c r="D647" s="149"/>
      <c r="E647" s="149"/>
      <c r="F647" s="149"/>
      <c r="G647" s="149"/>
      <c r="H647" s="149"/>
      <c r="I647" s="149"/>
      <c r="J647" s="149"/>
      <c r="K647" s="149"/>
      <c r="L647" s="149"/>
      <c r="M647" s="149"/>
      <c r="N647" s="149"/>
      <c r="O647" s="149"/>
      <c r="P647" s="149"/>
      <c r="Q647" s="149"/>
      <c r="R647" s="149"/>
      <c r="S647" s="149"/>
      <c r="T647" s="149"/>
      <c r="U647" s="149"/>
      <c r="V647" s="149"/>
      <c r="W647" s="149"/>
      <c r="X647" s="149"/>
      <c r="Y647" s="149"/>
      <c r="Z647" s="149"/>
      <c r="AA647" s="149"/>
      <c r="AB647" s="149"/>
      <c r="AC647" s="149"/>
      <c r="AD647" s="148"/>
      <c r="AE647" s="148"/>
      <c r="AF647" s="148"/>
      <c r="DB647" s="149"/>
    </row>
    <row r="648" spans="2:106">
      <c r="B648" s="149"/>
      <c r="C648" s="149"/>
      <c r="D648" s="149"/>
      <c r="E648" s="149"/>
      <c r="F648" s="149"/>
      <c r="G648" s="149"/>
      <c r="H648" s="149"/>
      <c r="I648" s="149"/>
      <c r="J648" s="149"/>
      <c r="K648" s="149"/>
      <c r="L648" s="149"/>
      <c r="M648" s="149"/>
      <c r="N648" s="149"/>
      <c r="O648" s="149"/>
      <c r="P648" s="149"/>
      <c r="Q648" s="149"/>
      <c r="R648" s="149"/>
      <c r="S648" s="149"/>
      <c r="T648" s="149"/>
      <c r="U648" s="149"/>
      <c r="V648" s="149"/>
      <c r="W648" s="149"/>
      <c r="X648" s="149"/>
      <c r="Y648" s="149"/>
      <c r="Z648" s="149"/>
      <c r="AA648" s="149"/>
      <c r="AB648" s="149"/>
      <c r="AC648" s="149"/>
      <c r="AD648" s="148"/>
      <c r="AE648" s="148"/>
      <c r="AF648" s="148"/>
      <c r="DB648" s="149"/>
    </row>
    <row r="649" spans="2:106">
      <c r="B649" s="149"/>
      <c r="C649" s="149"/>
      <c r="D649" s="149"/>
      <c r="E649" s="149"/>
      <c r="F649" s="149"/>
      <c r="G649" s="149"/>
      <c r="H649" s="149"/>
      <c r="I649" s="149"/>
      <c r="J649" s="149"/>
      <c r="K649" s="149"/>
      <c r="L649" s="149"/>
      <c r="M649" s="149"/>
      <c r="N649" s="149"/>
      <c r="O649" s="149"/>
      <c r="P649" s="149"/>
      <c r="Q649" s="149"/>
      <c r="R649" s="149"/>
      <c r="S649" s="149"/>
      <c r="T649" s="149"/>
      <c r="U649" s="149"/>
      <c r="V649" s="149"/>
      <c r="W649" s="149"/>
      <c r="X649" s="149"/>
      <c r="Y649" s="149"/>
      <c r="Z649" s="149"/>
      <c r="AA649" s="149"/>
      <c r="AB649" s="149"/>
      <c r="AC649" s="149"/>
      <c r="AD649" s="148"/>
      <c r="AE649" s="148"/>
      <c r="AF649" s="148"/>
      <c r="DB649" s="149"/>
    </row>
    <row r="650" spans="2:106">
      <c r="B650" s="149"/>
      <c r="C650" s="149"/>
      <c r="D650" s="149"/>
      <c r="E650" s="149"/>
      <c r="F650" s="149"/>
      <c r="G650" s="149"/>
      <c r="H650" s="149"/>
      <c r="I650" s="149"/>
      <c r="J650" s="149"/>
      <c r="K650" s="149"/>
      <c r="L650" s="149"/>
      <c r="M650" s="149"/>
      <c r="N650" s="149"/>
      <c r="O650" s="149"/>
      <c r="P650" s="149"/>
      <c r="Q650" s="149"/>
      <c r="R650" s="149"/>
      <c r="S650" s="149"/>
      <c r="T650" s="149"/>
      <c r="U650" s="149"/>
      <c r="V650" s="149"/>
      <c r="W650" s="149"/>
      <c r="X650" s="149"/>
      <c r="Y650" s="149"/>
      <c r="Z650" s="149"/>
      <c r="AA650" s="149"/>
      <c r="AB650" s="149"/>
      <c r="AC650" s="149"/>
      <c r="AD650" s="148"/>
      <c r="AE650" s="148"/>
      <c r="AF650" s="148"/>
      <c r="DB650" s="149"/>
    </row>
    <row r="651" spans="2:106">
      <c r="B651" s="149"/>
      <c r="C651" s="149"/>
      <c r="D651" s="149"/>
      <c r="E651" s="149"/>
      <c r="F651" s="149"/>
      <c r="G651" s="149"/>
      <c r="H651" s="149"/>
      <c r="I651" s="149"/>
      <c r="J651" s="149"/>
      <c r="K651" s="149"/>
      <c r="L651" s="149"/>
      <c r="M651" s="149"/>
      <c r="N651" s="149"/>
      <c r="O651" s="149"/>
      <c r="P651" s="149"/>
      <c r="Q651" s="149"/>
      <c r="R651" s="149"/>
      <c r="S651" s="149"/>
      <c r="T651" s="149"/>
      <c r="U651" s="149"/>
      <c r="V651" s="149"/>
      <c r="W651" s="149"/>
      <c r="X651" s="149"/>
      <c r="Y651" s="149"/>
      <c r="Z651" s="149"/>
      <c r="AA651" s="149"/>
      <c r="AB651" s="149"/>
      <c r="AC651" s="149"/>
      <c r="AD651" s="148"/>
      <c r="AE651" s="148"/>
      <c r="AF651" s="148"/>
      <c r="DB651" s="149"/>
    </row>
    <row r="652" spans="2:106">
      <c r="B652" s="149"/>
      <c r="C652" s="149"/>
      <c r="D652" s="149"/>
      <c r="E652" s="149"/>
      <c r="F652" s="149"/>
      <c r="G652" s="149"/>
      <c r="H652" s="149"/>
      <c r="I652" s="149"/>
      <c r="J652" s="149"/>
      <c r="K652" s="149"/>
      <c r="L652" s="149"/>
      <c r="M652" s="149"/>
      <c r="N652" s="149"/>
      <c r="O652" s="149"/>
      <c r="P652" s="149"/>
      <c r="Q652" s="149"/>
      <c r="R652" s="149"/>
      <c r="S652" s="149"/>
      <c r="T652" s="149"/>
      <c r="U652" s="149"/>
      <c r="V652" s="149"/>
      <c r="W652" s="149"/>
      <c r="X652" s="149"/>
      <c r="Y652" s="149"/>
      <c r="Z652" s="149"/>
      <c r="AA652" s="149"/>
      <c r="AB652" s="149"/>
      <c r="AC652" s="149"/>
      <c r="AD652" s="148"/>
      <c r="AE652" s="148"/>
      <c r="AF652" s="148"/>
      <c r="DB652" s="149"/>
    </row>
    <row r="653" spans="2:106">
      <c r="B653" s="149"/>
      <c r="C653" s="149"/>
      <c r="D653" s="149"/>
      <c r="E653" s="149"/>
      <c r="F653" s="149"/>
      <c r="G653" s="149"/>
      <c r="H653" s="149"/>
      <c r="I653" s="149"/>
      <c r="J653" s="149"/>
      <c r="K653" s="149"/>
      <c r="L653" s="149"/>
      <c r="M653" s="149"/>
      <c r="N653" s="149"/>
      <c r="O653" s="149"/>
      <c r="P653" s="149"/>
      <c r="Q653" s="149"/>
      <c r="R653" s="149"/>
      <c r="S653" s="149"/>
      <c r="T653" s="149"/>
      <c r="U653" s="149"/>
      <c r="V653" s="149"/>
      <c r="W653" s="149"/>
      <c r="X653" s="149"/>
      <c r="Y653" s="149"/>
      <c r="Z653" s="149"/>
      <c r="AA653" s="149"/>
      <c r="AB653" s="149"/>
      <c r="AC653" s="149"/>
      <c r="AD653" s="148"/>
      <c r="AE653" s="148"/>
      <c r="AF653" s="148"/>
      <c r="DB653" s="149"/>
    </row>
    <row r="654" spans="2:106">
      <c r="B654" s="149"/>
      <c r="C654" s="149"/>
      <c r="D654" s="149"/>
      <c r="E654" s="149"/>
      <c r="F654" s="149"/>
      <c r="G654" s="149"/>
      <c r="H654" s="149"/>
      <c r="I654" s="149"/>
      <c r="J654" s="149"/>
      <c r="K654" s="149"/>
      <c r="L654" s="149"/>
      <c r="M654" s="149"/>
      <c r="N654" s="149"/>
      <c r="O654" s="149"/>
      <c r="P654" s="149"/>
      <c r="Q654" s="149"/>
      <c r="R654" s="149"/>
      <c r="S654" s="149"/>
      <c r="T654" s="149"/>
      <c r="U654" s="149"/>
      <c r="V654" s="149"/>
      <c r="W654" s="149"/>
      <c r="X654" s="149"/>
      <c r="Y654" s="149"/>
      <c r="Z654" s="149"/>
      <c r="AA654" s="149"/>
      <c r="AB654" s="149"/>
      <c r="AC654" s="149"/>
      <c r="AD654" s="148"/>
      <c r="AE654" s="148"/>
      <c r="AF654" s="148"/>
      <c r="DB654" s="149"/>
    </row>
    <row r="655" spans="2:106">
      <c r="B655" s="149"/>
      <c r="C655" s="149"/>
      <c r="D655" s="149"/>
      <c r="E655" s="149"/>
      <c r="F655" s="149"/>
      <c r="G655" s="149"/>
      <c r="H655" s="149"/>
      <c r="I655" s="149"/>
      <c r="J655" s="149"/>
      <c r="K655" s="149"/>
      <c r="L655" s="149"/>
      <c r="M655" s="149"/>
      <c r="N655" s="149"/>
      <c r="O655" s="149"/>
      <c r="P655" s="149"/>
      <c r="Q655" s="149"/>
      <c r="R655" s="149"/>
      <c r="S655" s="149"/>
      <c r="T655" s="149"/>
      <c r="U655" s="149"/>
      <c r="V655" s="149"/>
      <c r="W655" s="149"/>
      <c r="X655" s="149"/>
      <c r="Y655" s="149"/>
      <c r="Z655" s="149"/>
      <c r="AA655" s="149"/>
      <c r="AB655" s="149"/>
      <c r="AC655" s="149"/>
      <c r="AD655" s="148"/>
      <c r="AE655" s="148"/>
      <c r="AF655" s="148"/>
      <c r="DB655" s="149"/>
    </row>
    <row r="656" spans="2:106">
      <c r="B656" s="149"/>
      <c r="C656" s="149"/>
      <c r="D656" s="149"/>
      <c r="E656" s="149"/>
      <c r="F656" s="149"/>
      <c r="G656" s="149"/>
      <c r="H656" s="149"/>
      <c r="I656" s="149"/>
      <c r="J656" s="149"/>
      <c r="K656" s="149"/>
      <c r="L656" s="149"/>
      <c r="M656" s="149"/>
      <c r="N656" s="149"/>
      <c r="O656" s="149"/>
      <c r="P656" s="149"/>
      <c r="Q656" s="149"/>
      <c r="R656" s="149"/>
      <c r="S656" s="149"/>
      <c r="T656" s="149"/>
      <c r="U656" s="149"/>
      <c r="V656" s="149"/>
      <c r="W656" s="149"/>
      <c r="X656" s="149"/>
      <c r="Y656" s="149"/>
      <c r="Z656" s="149"/>
      <c r="AA656" s="149"/>
      <c r="AB656" s="149"/>
      <c r="AC656" s="149"/>
      <c r="AD656" s="148"/>
      <c r="AE656" s="148"/>
      <c r="AF656" s="148"/>
      <c r="DB656" s="149"/>
    </row>
    <row r="657" spans="2:106">
      <c r="B657" s="149"/>
      <c r="C657" s="149"/>
      <c r="D657" s="149"/>
      <c r="E657" s="149"/>
      <c r="F657" s="149"/>
      <c r="G657" s="149"/>
      <c r="H657" s="149"/>
      <c r="I657" s="149"/>
      <c r="J657" s="149"/>
      <c r="K657" s="149"/>
      <c r="L657" s="149"/>
      <c r="M657" s="149"/>
      <c r="N657" s="149"/>
      <c r="O657" s="149"/>
      <c r="P657" s="149"/>
      <c r="Q657" s="149"/>
      <c r="R657" s="149"/>
      <c r="S657" s="149"/>
      <c r="T657" s="149"/>
      <c r="U657" s="149"/>
      <c r="V657" s="149"/>
      <c r="W657" s="149"/>
      <c r="X657" s="149"/>
      <c r="Y657" s="149"/>
      <c r="Z657" s="149"/>
      <c r="AA657" s="149"/>
      <c r="AB657" s="149"/>
      <c r="AC657" s="149"/>
      <c r="AD657" s="148"/>
      <c r="AE657" s="148"/>
      <c r="AF657" s="148"/>
      <c r="DB657" s="149"/>
    </row>
    <row r="658" spans="2:106">
      <c r="B658" s="149"/>
      <c r="C658" s="149"/>
      <c r="D658" s="149"/>
      <c r="E658" s="149"/>
      <c r="F658" s="149"/>
      <c r="G658" s="149"/>
      <c r="H658" s="149"/>
      <c r="I658" s="149"/>
      <c r="J658" s="149"/>
      <c r="K658" s="149"/>
      <c r="L658" s="149"/>
      <c r="M658" s="149"/>
      <c r="N658" s="149"/>
      <c r="O658" s="149"/>
      <c r="P658" s="149"/>
      <c r="Q658" s="149"/>
      <c r="R658" s="149"/>
      <c r="S658" s="149"/>
      <c r="T658" s="149"/>
      <c r="U658" s="149"/>
      <c r="V658" s="149"/>
      <c r="W658" s="149"/>
      <c r="X658" s="149"/>
      <c r="Y658" s="149"/>
      <c r="Z658" s="149"/>
      <c r="AA658" s="149"/>
      <c r="AB658" s="149"/>
      <c r="AC658" s="149"/>
      <c r="AD658" s="148"/>
      <c r="AE658" s="148"/>
      <c r="AF658" s="148"/>
      <c r="DB658" s="149"/>
    </row>
    <row r="659" spans="2:106">
      <c r="B659" s="149"/>
      <c r="C659" s="149"/>
      <c r="D659" s="149"/>
      <c r="E659" s="149"/>
      <c r="F659" s="149"/>
      <c r="G659" s="149"/>
      <c r="H659" s="149"/>
      <c r="I659" s="149"/>
      <c r="J659" s="149"/>
      <c r="K659" s="149"/>
      <c r="L659" s="149"/>
      <c r="M659" s="149"/>
      <c r="N659" s="149"/>
      <c r="O659" s="149"/>
      <c r="P659" s="149"/>
      <c r="Q659" s="149"/>
      <c r="R659" s="149"/>
      <c r="S659" s="149"/>
      <c r="T659" s="149"/>
      <c r="U659" s="149"/>
      <c r="V659" s="149"/>
      <c r="W659" s="149"/>
      <c r="X659" s="149"/>
      <c r="Y659" s="149"/>
      <c r="Z659" s="149"/>
      <c r="AA659" s="149"/>
      <c r="AB659" s="149"/>
      <c r="AC659" s="149"/>
      <c r="AD659" s="148"/>
      <c r="AE659" s="148"/>
      <c r="AF659" s="148"/>
      <c r="DB659" s="149"/>
    </row>
    <row r="660" spans="2:106">
      <c r="B660" s="149"/>
      <c r="C660" s="149"/>
      <c r="D660" s="149"/>
      <c r="E660" s="149"/>
      <c r="F660" s="149"/>
      <c r="G660" s="149"/>
      <c r="H660" s="149"/>
      <c r="I660" s="149"/>
      <c r="J660" s="149"/>
      <c r="K660" s="149"/>
      <c r="L660" s="149"/>
      <c r="M660" s="149"/>
      <c r="N660" s="149"/>
      <c r="O660" s="149"/>
      <c r="P660" s="149"/>
      <c r="Q660" s="149"/>
      <c r="R660" s="149"/>
      <c r="S660" s="149"/>
      <c r="T660" s="149"/>
      <c r="U660" s="149"/>
      <c r="V660" s="149"/>
      <c r="W660" s="149"/>
      <c r="X660" s="149"/>
      <c r="Y660" s="149"/>
      <c r="Z660" s="149"/>
      <c r="AA660" s="149"/>
      <c r="AB660" s="149"/>
      <c r="AC660" s="149"/>
      <c r="AD660" s="148"/>
      <c r="AE660" s="148"/>
      <c r="AF660" s="148"/>
      <c r="DB660" s="149"/>
    </row>
    <row r="661" spans="2:106">
      <c r="B661" s="149"/>
      <c r="C661" s="149"/>
      <c r="D661" s="149"/>
      <c r="E661" s="149"/>
      <c r="F661" s="149"/>
      <c r="G661" s="149"/>
      <c r="H661" s="149"/>
      <c r="I661" s="149"/>
      <c r="J661" s="149"/>
      <c r="K661" s="149"/>
      <c r="L661" s="149"/>
      <c r="M661" s="149"/>
      <c r="N661" s="149"/>
      <c r="O661" s="149"/>
      <c r="P661" s="149"/>
      <c r="Q661" s="149"/>
      <c r="R661" s="149"/>
      <c r="S661" s="149"/>
      <c r="T661" s="149"/>
      <c r="U661" s="149"/>
      <c r="V661" s="149"/>
      <c r="W661" s="149"/>
      <c r="X661" s="149"/>
      <c r="Y661" s="149"/>
      <c r="Z661" s="149"/>
      <c r="AA661" s="149"/>
      <c r="AB661" s="149"/>
      <c r="AC661" s="149"/>
      <c r="AD661" s="148"/>
      <c r="AE661" s="148"/>
      <c r="AF661" s="148"/>
      <c r="DB661" s="149"/>
    </row>
    <row r="662" spans="2:106">
      <c r="B662" s="149"/>
      <c r="C662" s="149"/>
      <c r="D662" s="149"/>
      <c r="E662" s="149"/>
      <c r="F662" s="149"/>
      <c r="G662" s="149"/>
      <c r="H662" s="149"/>
      <c r="I662" s="149"/>
      <c r="J662" s="149"/>
      <c r="K662" s="149"/>
      <c r="L662" s="149"/>
      <c r="M662" s="149"/>
      <c r="N662" s="149"/>
      <c r="O662" s="149"/>
      <c r="P662" s="149"/>
      <c r="Q662" s="149"/>
      <c r="R662" s="149"/>
      <c r="S662" s="149"/>
      <c r="T662" s="149"/>
      <c r="U662" s="149"/>
      <c r="V662" s="149"/>
      <c r="W662" s="149"/>
      <c r="X662" s="149"/>
      <c r="Y662" s="149"/>
      <c r="Z662" s="149"/>
      <c r="AA662" s="149"/>
      <c r="AB662" s="149"/>
      <c r="AC662" s="149"/>
      <c r="AD662" s="148"/>
      <c r="AE662" s="148"/>
      <c r="AF662" s="148"/>
      <c r="DB662" s="149"/>
    </row>
    <row r="663" spans="2:106">
      <c r="B663" s="149"/>
      <c r="C663" s="149"/>
      <c r="D663" s="149"/>
      <c r="E663" s="149"/>
      <c r="F663" s="149"/>
      <c r="G663" s="149"/>
      <c r="H663" s="149"/>
      <c r="I663" s="149"/>
      <c r="J663" s="149"/>
      <c r="K663" s="149"/>
      <c r="L663" s="149"/>
      <c r="M663" s="149"/>
      <c r="N663" s="149"/>
      <c r="O663" s="149"/>
      <c r="P663" s="149"/>
      <c r="Q663" s="149"/>
      <c r="R663" s="149"/>
      <c r="S663" s="149"/>
      <c r="T663" s="149"/>
      <c r="U663" s="149"/>
      <c r="V663" s="149"/>
      <c r="W663" s="149"/>
      <c r="X663" s="149"/>
      <c r="Y663" s="149"/>
      <c r="Z663" s="149"/>
      <c r="AA663" s="149"/>
      <c r="AB663" s="149"/>
      <c r="AC663" s="149"/>
      <c r="AD663" s="148"/>
      <c r="AE663" s="148"/>
      <c r="AF663" s="148"/>
      <c r="DB663" s="149"/>
    </row>
    <row r="664" spans="2:106">
      <c r="B664" s="149"/>
      <c r="C664" s="149"/>
      <c r="D664" s="149"/>
      <c r="E664" s="149"/>
      <c r="F664" s="149"/>
      <c r="G664" s="149"/>
      <c r="H664" s="149"/>
      <c r="I664" s="149"/>
      <c r="J664" s="149"/>
      <c r="K664" s="149"/>
      <c r="L664" s="149"/>
      <c r="M664" s="149"/>
      <c r="N664" s="149"/>
      <c r="O664" s="149"/>
      <c r="P664" s="149"/>
      <c r="Q664" s="149"/>
      <c r="R664" s="149"/>
      <c r="S664" s="149"/>
      <c r="T664" s="149"/>
      <c r="U664" s="149"/>
      <c r="V664" s="149"/>
      <c r="W664" s="149"/>
      <c r="X664" s="149"/>
      <c r="Y664" s="149"/>
      <c r="Z664" s="149"/>
      <c r="AA664" s="149"/>
      <c r="AB664" s="149"/>
      <c r="AC664" s="149"/>
      <c r="AD664" s="148"/>
      <c r="AE664" s="148"/>
      <c r="AF664" s="148"/>
      <c r="DB664" s="149"/>
    </row>
    <row r="665" spans="2:106">
      <c r="B665" s="149"/>
      <c r="C665" s="149"/>
      <c r="D665" s="149"/>
      <c r="E665" s="149"/>
      <c r="F665" s="149"/>
      <c r="G665" s="149"/>
      <c r="H665" s="149"/>
      <c r="I665" s="149"/>
      <c r="J665" s="149"/>
      <c r="K665" s="149"/>
      <c r="L665" s="149"/>
      <c r="M665" s="149"/>
      <c r="N665" s="149"/>
      <c r="O665" s="149"/>
      <c r="P665" s="149"/>
      <c r="Q665" s="149"/>
      <c r="R665" s="149"/>
      <c r="S665" s="149"/>
      <c r="T665" s="149"/>
      <c r="U665" s="149"/>
      <c r="V665" s="149"/>
      <c r="W665" s="149"/>
      <c r="X665" s="149"/>
      <c r="Y665" s="149"/>
      <c r="Z665" s="149"/>
      <c r="AA665" s="149"/>
      <c r="AB665" s="149"/>
      <c r="AC665" s="149"/>
      <c r="AD665" s="148"/>
      <c r="AE665" s="148"/>
      <c r="AF665" s="148"/>
      <c r="DB665" s="149"/>
    </row>
    <row r="666" spans="2:106">
      <c r="B666" s="149"/>
      <c r="C666" s="149"/>
      <c r="D666" s="149"/>
      <c r="E666" s="149"/>
      <c r="F666" s="149"/>
      <c r="G666" s="149"/>
      <c r="H666" s="149"/>
      <c r="I666" s="149"/>
      <c r="J666" s="149"/>
      <c r="K666" s="149"/>
      <c r="L666" s="149"/>
      <c r="M666" s="149"/>
      <c r="N666" s="149"/>
      <c r="O666" s="149"/>
      <c r="P666" s="149"/>
      <c r="Q666" s="149"/>
      <c r="R666" s="149"/>
      <c r="S666" s="149"/>
      <c r="T666" s="149"/>
      <c r="U666" s="149"/>
      <c r="V666" s="149"/>
      <c r="W666" s="149"/>
      <c r="X666" s="149"/>
      <c r="Y666" s="149"/>
      <c r="Z666" s="149"/>
      <c r="AA666" s="149"/>
      <c r="AB666" s="149"/>
      <c r="AC666" s="149"/>
      <c r="AD666" s="148"/>
      <c r="AE666" s="148"/>
      <c r="AF666" s="148"/>
      <c r="DB666" s="149"/>
    </row>
    <row r="667" spans="2:106">
      <c r="B667" s="149"/>
      <c r="C667" s="149"/>
      <c r="D667" s="149"/>
      <c r="E667" s="149"/>
      <c r="F667" s="149"/>
      <c r="G667" s="149"/>
      <c r="H667" s="149"/>
      <c r="I667" s="149"/>
      <c r="J667" s="149"/>
      <c r="K667" s="149"/>
      <c r="L667" s="149"/>
      <c r="M667" s="149"/>
      <c r="N667" s="149"/>
      <c r="O667" s="149"/>
      <c r="P667" s="149"/>
      <c r="Q667" s="149"/>
      <c r="R667" s="149"/>
      <c r="S667" s="149"/>
      <c r="T667" s="149"/>
      <c r="U667" s="149"/>
      <c r="V667" s="149"/>
      <c r="W667" s="149"/>
      <c r="X667" s="149"/>
      <c r="Y667" s="149"/>
      <c r="Z667" s="149"/>
      <c r="AA667" s="149"/>
      <c r="AB667" s="149"/>
      <c r="AC667" s="149"/>
      <c r="AD667" s="148"/>
      <c r="AE667" s="148"/>
      <c r="AF667" s="148"/>
      <c r="DB667" s="149"/>
    </row>
    <row r="668" spans="2:106">
      <c r="B668" s="149"/>
      <c r="C668" s="149"/>
      <c r="D668" s="149"/>
      <c r="E668" s="149"/>
      <c r="F668" s="149"/>
      <c r="G668" s="149"/>
      <c r="H668" s="149"/>
      <c r="I668" s="149"/>
      <c r="J668" s="149"/>
      <c r="K668" s="149"/>
      <c r="L668" s="149"/>
      <c r="M668" s="149"/>
      <c r="N668" s="149"/>
      <c r="O668" s="149"/>
      <c r="P668" s="149"/>
      <c r="Q668" s="149"/>
      <c r="R668" s="149"/>
      <c r="S668" s="149"/>
      <c r="T668" s="149"/>
      <c r="U668" s="149"/>
      <c r="V668" s="149"/>
      <c r="W668" s="149"/>
      <c r="X668" s="149"/>
      <c r="Y668" s="149"/>
      <c r="Z668" s="149"/>
      <c r="AA668" s="149"/>
      <c r="AB668" s="149"/>
      <c r="AC668" s="149"/>
      <c r="AD668" s="148"/>
      <c r="AE668" s="148"/>
      <c r="AF668" s="148"/>
      <c r="DB668" s="149"/>
    </row>
    <row r="669" spans="2:106">
      <c r="B669" s="149"/>
      <c r="C669" s="149"/>
      <c r="D669" s="149"/>
      <c r="E669" s="149"/>
      <c r="F669" s="149"/>
      <c r="G669" s="149"/>
      <c r="H669" s="149"/>
      <c r="I669" s="149"/>
      <c r="J669" s="149"/>
      <c r="K669" s="149"/>
      <c r="L669" s="149"/>
      <c r="M669" s="149"/>
      <c r="N669" s="149"/>
      <c r="O669" s="149"/>
      <c r="P669" s="149"/>
      <c r="Q669" s="149"/>
      <c r="R669" s="149"/>
      <c r="S669" s="149"/>
      <c r="T669" s="149"/>
      <c r="U669" s="149"/>
      <c r="V669" s="149"/>
      <c r="W669" s="149"/>
      <c r="X669" s="149"/>
      <c r="Y669" s="149"/>
      <c r="Z669" s="149"/>
      <c r="AA669" s="149"/>
      <c r="AB669" s="149"/>
      <c r="AC669" s="149"/>
      <c r="AD669" s="148"/>
      <c r="AE669" s="148"/>
      <c r="AF669" s="148"/>
      <c r="DB669" s="149"/>
    </row>
    <row r="670" spans="2:106">
      <c r="B670" s="149"/>
      <c r="C670" s="149"/>
      <c r="D670" s="149"/>
      <c r="E670" s="149"/>
      <c r="F670" s="149"/>
      <c r="G670" s="149"/>
      <c r="H670" s="149"/>
      <c r="I670" s="149"/>
      <c r="J670" s="149"/>
      <c r="K670" s="149"/>
      <c r="L670" s="149"/>
      <c r="M670" s="149"/>
      <c r="N670" s="149"/>
      <c r="O670" s="149"/>
      <c r="P670" s="149"/>
      <c r="Q670" s="149"/>
      <c r="R670" s="149"/>
      <c r="S670" s="149"/>
      <c r="T670" s="149"/>
      <c r="U670" s="149"/>
      <c r="V670" s="149"/>
      <c r="W670" s="149"/>
      <c r="X670" s="149"/>
      <c r="Y670" s="149"/>
      <c r="Z670" s="149"/>
      <c r="AA670" s="149"/>
      <c r="AB670" s="149"/>
      <c r="AC670" s="149"/>
      <c r="AD670" s="148"/>
      <c r="AE670" s="148"/>
      <c r="AF670" s="148"/>
      <c r="DB670" s="149"/>
    </row>
    <row r="671" spans="2:106">
      <c r="B671" s="149"/>
      <c r="C671" s="149"/>
      <c r="D671" s="149"/>
      <c r="E671" s="149"/>
      <c r="F671" s="149"/>
      <c r="G671" s="149"/>
      <c r="H671" s="149"/>
      <c r="I671" s="149"/>
      <c r="J671" s="149"/>
      <c r="K671" s="149"/>
      <c r="L671" s="149"/>
      <c r="M671" s="149"/>
      <c r="N671" s="149"/>
      <c r="O671" s="149"/>
      <c r="P671" s="149"/>
      <c r="Q671" s="149"/>
      <c r="R671" s="149"/>
      <c r="S671" s="149"/>
      <c r="T671" s="149"/>
      <c r="U671" s="149"/>
      <c r="V671" s="149"/>
      <c r="W671" s="149"/>
      <c r="X671" s="149"/>
      <c r="Y671" s="149"/>
      <c r="Z671" s="149"/>
      <c r="AA671" s="149"/>
      <c r="AB671" s="149"/>
      <c r="AC671" s="149"/>
      <c r="AD671" s="148"/>
      <c r="AE671" s="148"/>
      <c r="AF671" s="148"/>
      <c r="DB671" s="149"/>
    </row>
    <row r="672" spans="2:106">
      <c r="B672" s="149"/>
      <c r="C672" s="149"/>
      <c r="D672" s="149"/>
      <c r="E672" s="149"/>
      <c r="F672" s="149"/>
      <c r="G672" s="149"/>
      <c r="H672" s="149"/>
      <c r="I672" s="149"/>
      <c r="J672" s="149"/>
      <c r="K672" s="149"/>
      <c r="L672" s="149"/>
      <c r="M672" s="149"/>
      <c r="N672" s="149"/>
      <c r="O672" s="149"/>
      <c r="P672" s="149"/>
      <c r="Q672" s="149"/>
      <c r="R672" s="149"/>
      <c r="S672" s="149"/>
      <c r="T672" s="149"/>
      <c r="U672" s="149"/>
      <c r="V672" s="149"/>
      <c r="W672" s="149"/>
      <c r="X672" s="149"/>
      <c r="Y672" s="149"/>
      <c r="Z672" s="149"/>
      <c r="AA672" s="149"/>
      <c r="AB672" s="149"/>
      <c r="AC672" s="149"/>
      <c r="AD672" s="148"/>
      <c r="AE672" s="148"/>
      <c r="AF672" s="148"/>
      <c r="DB672" s="149"/>
    </row>
    <row r="673" spans="2:106">
      <c r="B673" s="149"/>
      <c r="C673" s="149"/>
      <c r="D673" s="149"/>
      <c r="E673" s="149"/>
      <c r="F673" s="149"/>
      <c r="G673" s="149"/>
      <c r="H673" s="149"/>
      <c r="I673" s="149"/>
      <c r="J673" s="149"/>
      <c r="K673" s="149"/>
      <c r="L673" s="149"/>
      <c r="M673" s="149"/>
      <c r="N673" s="149"/>
      <c r="O673" s="149"/>
      <c r="P673" s="149"/>
      <c r="Q673" s="149"/>
      <c r="R673" s="149"/>
      <c r="S673" s="149"/>
      <c r="T673" s="149"/>
      <c r="U673" s="149"/>
      <c r="V673" s="149"/>
      <c r="W673" s="149"/>
      <c r="X673" s="149"/>
      <c r="Y673" s="149"/>
      <c r="Z673" s="149"/>
      <c r="AA673" s="149"/>
      <c r="AB673" s="149"/>
      <c r="AC673" s="149"/>
      <c r="AD673" s="148"/>
      <c r="AE673" s="148"/>
      <c r="AF673" s="148"/>
      <c r="DB673" s="149"/>
    </row>
    <row r="674" spans="2:106">
      <c r="B674" s="149"/>
      <c r="C674" s="149"/>
      <c r="D674" s="149"/>
      <c r="E674" s="149"/>
      <c r="F674" s="149"/>
      <c r="G674" s="149"/>
      <c r="H674" s="149"/>
      <c r="I674" s="149"/>
      <c r="J674" s="149"/>
      <c r="K674" s="149"/>
      <c r="L674" s="149"/>
      <c r="M674" s="149"/>
      <c r="N674" s="149"/>
      <c r="O674" s="149"/>
      <c r="P674" s="149"/>
      <c r="Q674" s="149"/>
      <c r="R674" s="149"/>
      <c r="S674" s="149"/>
      <c r="T674" s="149"/>
      <c r="U674" s="149"/>
      <c r="V674" s="149"/>
      <c r="W674" s="149"/>
      <c r="X674" s="149"/>
      <c r="Y674" s="149"/>
      <c r="Z674" s="149"/>
      <c r="AA674" s="149"/>
      <c r="AB674" s="149"/>
      <c r="AC674" s="149"/>
      <c r="AD674" s="148"/>
      <c r="AE674" s="148"/>
      <c r="AF674" s="148"/>
      <c r="DB674" s="149"/>
    </row>
    <row r="675" spans="2:106">
      <c r="B675" s="149"/>
      <c r="C675" s="149"/>
      <c r="D675" s="149"/>
      <c r="E675" s="149"/>
      <c r="F675" s="149"/>
      <c r="G675" s="149"/>
      <c r="H675" s="149"/>
      <c r="I675" s="149"/>
      <c r="J675" s="149"/>
      <c r="K675" s="149"/>
      <c r="L675" s="149"/>
      <c r="M675" s="149"/>
      <c r="N675" s="149"/>
      <c r="O675" s="149"/>
      <c r="P675" s="149"/>
      <c r="Q675" s="149"/>
      <c r="R675" s="149"/>
      <c r="S675" s="149"/>
      <c r="T675" s="149"/>
      <c r="U675" s="149"/>
      <c r="V675" s="149"/>
      <c r="W675" s="149"/>
      <c r="X675" s="149"/>
      <c r="Y675" s="149"/>
      <c r="Z675" s="149"/>
      <c r="AA675" s="149"/>
      <c r="AB675" s="149"/>
      <c r="AC675" s="149"/>
      <c r="AD675" s="148"/>
      <c r="AE675" s="148"/>
      <c r="AF675" s="148"/>
      <c r="DB675" s="149"/>
    </row>
    <row r="676" spans="2:106">
      <c r="B676" s="149"/>
      <c r="C676" s="149"/>
      <c r="D676" s="149"/>
      <c r="E676" s="149"/>
      <c r="F676" s="149"/>
      <c r="G676" s="149"/>
      <c r="H676" s="149"/>
      <c r="I676" s="149"/>
      <c r="J676" s="149"/>
      <c r="K676" s="149"/>
      <c r="L676" s="149"/>
      <c r="M676" s="149"/>
      <c r="N676" s="149"/>
      <c r="O676" s="149"/>
      <c r="P676" s="149"/>
      <c r="Q676" s="149"/>
      <c r="R676" s="149"/>
      <c r="S676" s="149"/>
      <c r="T676" s="149"/>
      <c r="U676" s="149"/>
      <c r="V676" s="149"/>
      <c r="W676" s="149"/>
      <c r="X676" s="149"/>
      <c r="Y676" s="149"/>
      <c r="Z676" s="149"/>
      <c r="AA676" s="149"/>
      <c r="AB676" s="149"/>
      <c r="AC676" s="149"/>
      <c r="AD676" s="148"/>
      <c r="AE676" s="148"/>
      <c r="AF676" s="148"/>
      <c r="DB676" s="149"/>
    </row>
    <row r="677" spans="2:106">
      <c r="B677" s="149"/>
      <c r="C677" s="149"/>
      <c r="D677" s="149"/>
      <c r="E677" s="149"/>
      <c r="F677" s="149"/>
      <c r="G677" s="149"/>
      <c r="H677" s="149"/>
      <c r="I677" s="149"/>
      <c r="J677" s="149"/>
      <c r="K677" s="149"/>
      <c r="L677" s="149"/>
      <c r="M677" s="149"/>
      <c r="N677" s="149"/>
      <c r="O677" s="149"/>
      <c r="P677" s="149"/>
      <c r="Q677" s="149"/>
      <c r="R677" s="149"/>
      <c r="S677" s="149"/>
      <c r="T677" s="149"/>
      <c r="U677" s="149"/>
      <c r="V677" s="149"/>
      <c r="W677" s="149"/>
      <c r="X677" s="149"/>
      <c r="Y677" s="149"/>
      <c r="Z677" s="149"/>
      <c r="AA677" s="149"/>
      <c r="AB677" s="149"/>
      <c r="AC677" s="149"/>
      <c r="AD677" s="148"/>
      <c r="AE677" s="148"/>
      <c r="AF677" s="148"/>
      <c r="DB677" s="149"/>
    </row>
    <row r="678" spans="2:106">
      <c r="B678" s="149"/>
      <c r="C678" s="149"/>
      <c r="D678" s="149"/>
      <c r="E678" s="149"/>
      <c r="F678" s="149"/>
      <c r="G678" s="149"/>
      <c r="H678" s="149"/>
      <c r="I678" s="149"/>
      <c r="J678" s="149"/>
      <c r="K678" s="149"/>
      <c r="L678" s="149"/>
      <c r="M678" s="149"/>
      <c r="N678" s="149"/>
      <c r="O678" s="149"/>
      <c r="P678" s="149"/>
      <c r="Q678" s="149"/>
      <c r="R678" s="149"/>
      <c r="S678" s="149"/>
      <c r="T678" s="149"/>
      <c r="U678" s="149"/>
      <c r="V678" s="149"/>
      <c r="W678" s="149"/>
      <c r="X678" s="149"/>
      <c r="Y678" s="149"/>
      <c r="Z678" s="149"/>
      <c r="AA678" s="149"/>
      <c r="AB678" s="149"/>
      <c r="AC678" s="149"/>
      <c r="AD678" s="148"/>
      <c r="AE678" s="148"/>
      <c r="AF678" s="148"/>
      <c r="DB678" s="149"/>
    </row>
    <row r="679" spans="2:106">
      <c r="B679" s="149"/>
      <c r="C679" s="149"/>
      <c r="D679" s="149"/>
      <c r="E679" s="149"/>
      <c r="F679" s="149"/>
      <c r="G679" s="149"/>
      <c r="H679" s="149"/>
      <c r="I679" s="149"/>
      <c r="J679" s="149"/>
      <c r="K679" s="149"/>
      <c r="L679" s="149"/>
      <c r="M679" s="149"/>
      <c r="N679" s="149"/>
      <c r="O679" s="149"/>
      <c r="P679" s="149"/>
      <c r="Q679" s="149"/>
      <c r="R679" s="149"/>
      <c r="S679" s="149"/>
      <c r="T679" s="149"/>
      <c r="U679" s="149"/>
      <c r="V679" s="149"/>
      <c r="W679" s="149"/>
      <c r="X679" s="149"/>
      <c r="Y679" s="149"/>
      <c r="Z679" s="149"/>
      <c r="AA679" s="149"/>
      <c r="AB679" s="149"/>
      <c r="AC679" s="149"/>
      <c r="AD679" s="148"/>
      <c r="AE679" s="148"/>
      <c r="AF679" s="148"/>
      <c r="DB679" s="149"/>
    </row>
    <row r="680" spans="2:106">
      <c r="B680" s="149"/>
      <c r="C680" s="149"/>
      <c r="D680" s="149"/>
      <c r="E680" s="149"/>
      <c r="F680" s="149"/>
      <c r="G680" s="149"/>
      <c r="H680" s="149"/>
      <c r="I680" s="149"/>
      <c r="J680" s="149"/>
      <c r="K680" s="149"/>
      <c r="L680" s="149"/>
      <c r="M680" s="149"/>
      <c r="N680" s="149"/>
      <c r="O680" s="149"/>
      <c r="P680" s="149"/>
      <c r="Q680" s="149"/>
      <c r="R680" s="149"/>
      <c r="S680" s="149"/>
      <c r="T680" s="149"/>
      <c r="U680" s="149"/>
      <c r="V680" s="149"/>
      <c r="W680" s="149"/>
      <c r="X680" s="149"/>
      <c r="Y680" s="149"/>
      <c r="Z680" s="149"/>
      <c r="AA680" s="149"/>
      <c r="AB680" s="149"/>
      <c r="AC680" s="149"/>
      <c r="AD680" s="148"/>
      <c r="AE680" s="148"/>
      <c r="AF680" s="148"/>
      <c r="DB680" s="149"/>
    </row>
    <row r="681" spans="2:106">
      <c r="B681" s="149"/>
      <c r="C681" s="149"/>
      <c r="D681" s="149"/>
      <c r="E681" s="149"/>
      <c r="F681" s="149"/>
      <c r="G681" s="149"/>
      <c r="H681" s="149"/>
      <c r="I681" s="149"/>
      <c r="J681" s="149"/>
      <c r="K681" s="149"/>
      <c r="L681" s="149"/>
      <c r="M681" s="149"/>
      <c r="N681" s="149"/>
      <c r="O681" s="149"/>
      <c r="P681" s="149"/>
      <c r="Q681" s="149"/>
      <c r="R681" s="149"/>
      <c r="S681" s="149"/>
      <c r="T681" s="149"/>
      <c r="U681" s="149"/>
      <c r="V681" s="149"/>
      <c r="W681" s="149"/>
      <c r="X681" s="149"/>
      <c r="Y681" s="149"/>
      <c r="Z681" s="149"/>
      <c r="AA681" s="149"/>
      <c r="AB681" s="149"/>
      <c r="AC681" s="149"/>
      <c r="AD681" s="148"/>
      <c r="AE681" s="148"/>
      <c r="AF681" s="148"/>
      <c r="DB681" s="149"/>
    </row>
    <row r="682" spans="2:106">
      <c r="B682" s="149"/>
      <c r="C682" s="149"/>
      <c r="D682" s="149"/>
      <c r="E682" s="149"/>
      <c r="F682" s="149"/>
      <c r="G682" s="149"/>
      <c r="H682" s="149"/>
      <c r="I682" s="149"/>
      <c r="J682" s="149"/>
      <c r="K682" s="149"/>
      <c r="L682" s="149"/>
      <c r="M682" s="149"/>
      <c r="N682" s="149"/>
      <c r="O682" s="149"/>
      <c r="P682" s="149"/>
      <c r="Q682" s="149"/>
      <c r="R682" s="149"/>
      <c r="S682" s="149"/>
      <c r="T682" s="149"/>
      <c r="U682" s="149"/>
      <c r="V682" s="149"/>
      <c r="W682" s="149"/>
      <c r="X682" s="149"/>
      <c r="Y682" s="149"/>
      <c r="Z682" s="149"/>
      <c r="AA682" s="149"/>
      <c r="AB682" s="149"/>
      <c r="AC682" s="149"/>
      <c r="AD682" s="148"/>
      <c r="AE682" s="148"/>
      <c r="AF682" s="148"/>
      <c r="DB682" s="149"/>
    </row>
    <row r="683" spans="2:106">
      <c r="B683" s="149"/>
      <c r="C683" s="149"/>
      <c r="D683" s="149"/>
      <c r="E683" s="149"/>
      <c r="F683" s="149"/>
      <c r="G683" s="149"/>
      <c r="H683" s="149"/>
      <c r="I683" s="149"/>
      <c r="J683" s="149"/>
      <c r="K683" s="149"/>
      <c r="L683" s="149"/>
      <c r="M683" s="149"/>
      <c r="N683" s="149"/>
      <c r="O683" s="149"/>
      <c r="P683" s="149"/>
      <c r="Q683" s="149"/>
      <c r="R683" s="149"/>
      <c r="S683" s="149"/>
      <c r="T683" s="149"/>
      <c r="U683" s="149"/>
      <c r="V683" s="149"/>
      <c r="W683" s="149"/>
      <c r="X683" s="149"/>
      <c r="Y683" s="149"/>
      <c r="Z683" s="149"/>
      <c r="AA683" s="149"/>
      <c r="AB683" s="149"/>
      <c r="AC683" s="149"/>
      <c r="AD683" s="148"/>
      <c r="AE683" s="148"/>
      <c r="AF683" s="148"/>
      <c r="DB683" s="149"/>
    </row>
    <row r="684" spans="2:106">
      <c r="B684" s="149"/>
      <c r="C684" s="149"/>
      <c r="D684" s="149"/>
      <c r="E684" s="149"/>
      <c r="F684" s="149"/>
      <c r="G684" s="149"/>
      <c r="H684" s="149"/>
      <c r="I684" s="149"/>
      <c r="J684" s="149"/>
      <c r="K684" s="149"/>
      <c r="L684" s="149"/>
      <c r="M684" s="149"/>
      <c r="N684" s="149"/>
      <c r="O684" s="149"/>
      <c r="P684" s="149"/>
      <c r="Q684" s="149"/>
      <c r="R684" s="149"/>
      <c r="S684" s="149"/>
      <c r="T684" s="149"/>
      <c r="U684" s="149"/>
      <c r="V684" s="149"/>
      <c r="W684" s="149"/>
      <c r="X684" s="149"/>
      <c r="Y684" s="149"/>
      <c r="Z684" s="149"/>
      <c r="AA684" s="149"/>
      <c r="AB684" s="149"/>
      <c r="AC684" s="149"/>
      <c r="AD684" s="148"/>
      <c r="AE684" s="148"/>
      <c r="AF684" s="148"/>
      <c r="DB684" s="149"/>
    </row>
    <row r="685" spans="2:106">
      <c r="B685" s="149"/>
      <c r="C685" s="149"/>
      <c r="D685" s="149"/>
      <c r="E685" s="149"/>
      <c r="F685" s="149"/>
      <c r="G685" s="149"/>
      <c r="H685" s="149"/>
      <c r="I685" s="149"/>
      <c r="J685" s="149"/>
      <c r="K685" s="149"/>
      <c r="L685" s="149"/>
      <c r="M685" s="149"/>
      <c r="N685" s="149"/>
      <c r="O685" s="149"/>
      <c r="P685" s="149"/>
      <c r="Q685" s="149"/>
      <c r="R685" s="149"/>
      <c r="S685" s="149"/>
      <c r="T685" s="149"/>
      <c r="U685" s="149"/>
      <c r="V685" s="149"/>
      <c r="W685" s="149"/>
      <c r="X685" s="149"/>
      <c r="Y685" s="149"/>
      <c r="Z685" s="149"/>
      <c r="AA685" s="149"/>
      <c r="AB685" s="149"/>
      <c r="AC685" s="149"/>
      <c r="AD685" s="148"/>
      <c r="AE685" s="148"/>
      <c r="AF685" s="148"/>
      <c r="DB685" s="149"/>
    </row>
    <row r="686" spans="2:106">
      <c r="B686" s="149"/>
      <c r="C686" s="149"/>
      <c r="D686" s="149"/>
      <c r="E686" s="149"/>
      <c r="F686" s="149"/>
      <c r="G686" s="149"/>
      <c r="H686" s="149"/>
      <c r="I686" s="149"/>
      <c r="J686" s="149"/>
      <c r="K686" s="149"/>
      <c r="L686" s="149"/>
      <c r="M686" s="149"/>
      <c r="N686" s="149"/>
      <c r="O686" s="149"/>
      <c r="P686" s="149"/>
      <c r="Q686" s="149"/>
      <c r="R686" s="149"/>
      <c r="S686" s="149"/>
      <c r="T686" s="149"/>
      <c r="U686" s="149"/>
      <c r="V686" s="149"/>
      <c r="W686" s="149"/>
      <c r="X686" s="149"/>
      <c r="Y686" s="149"/>
      <c r="Z686" s="149"/>
      <c r="AA686" s="149"/>
      <c r="AB686" s="149"/>
      <c r="AC686" s="149"/>
      <c r="AD686" s="148"/>
      <c r="AE686" s="148"/>
      <c r="AF686" s="148"/>
      <c r="DB686" s="149"/>
    </row>
    <row r="687" spans="2:106">
      <c r="B687" s="149"/>
      <c r="C687" s="149"/>
      <c r="D687" s="149"/>
      <c r="E687" s="149"/>
      <c r="F687" s="149"/>
      <c r="G687" s="149"/>
      <c r="H687" s="149"/>
      <c r="I687" s="149"/>
      <c r="J687" s="149"/>
      <c r="K687" s="149"/>
      <c r="L687" s="149"/>
      <c r="M687" s="149"/>
      <c r="N687" s="149"/>
      <c r="O687" s="149"/>
      <c r="P687" s="149"/>
      <c r="Q687" s="149"/>
      <c r="R687" s="149"/>
      <c r="S687" s="149"/>
      <c r="T687" s="149"/>
      <c r="U687" s="149"/>
      <c r="V687" s="149"/>
      <c r="W687" s="149"/>
      <c r="X687" s="149"/>
      <c r="Y687" s="149"/>
      <c r="Z687" s="149"/>
      <c r="AA687" s="149"/>
      <c r="AB687" s="149"/>
      <c r="AC687" s="149"/>
      <c r="AD687" s="148"/>
      <c r="AE687" s="148"/>
      <c r="AF687" s="148"/>
      <c r="DB687" s="149"/>
    </row>
    <row r="688" spans="2:106">
      <c r="B688" s="149"/>
      <c r="C688" s="149"/>
      <c r="D688" s="149"/>
      <c r="E688" s="149"/>
      <c r="F688" s="149"/>
      <c r="G688" s="149"/>
      <c r="H688" s="149"/>
      <c r="I688" s="149"/>
      <c r="J688" s="149"/>
      <c r="K688" s="149"/>
      <c r="L688" s="149"/>
      <c r="M688" s="149"/>
      <c r="N688" s="149"/>
      <c r="O688" s="149"/>
      <c r="P688" s="149"/>
      <c r="Q688" s="149"/>
      <c r="R688" s="149"/>
      <c r="S688" s="149"/>
      <c r="T688" s="149"/>
      <c r="U688" s="149"/>
      <c r="V688" s="149"/>
      <c r="W688" s="149"/>
      <c r="X688" s="149"/>
      <c r="Y688" s="149"/>
      <c r="Z688" s="149"/>
      <c r="AA688" s="149"/>
      <c r="AB688" s="149"/>
      <c r="AC688" s="149"/>
      <c r="AD688" s="148"/>
      <c r="AE688" s="148"/>
      <c r="AF688" s="148"/>
      <c r="DB688" s="149"/>
    </row>
    <row r="689" spans="2:106">
      <c r="B689" s="149"/>
      <c r="C689" s="149"/>
      <c r="D689" s="149"/>
      <c r="E689" s="149"/>
      <c r="F689" s="149"/>
      <c r="G689" s="149"/>
      <c r="H689" s="149"/>
      <c r="I689" s="149"/>
      <c r="J689" s="149"/>
      <c r="K689" s="149"/>
      <c r="L689" s="149"/>
      <c r="M689" s="149"/>
      <c r="N689" s="149"/>
      <c r="O689" s="149"/>
      <c r="P689" s="149"/>
      <c r="Q689" s="149"/>
      <c r="R689" s="149"/>
      <c r="S689" s="149"/>
      <c r="T689" s="149"/>
      <c r="U689" s="149"/>
      <c r="V689" s="149"/>
      <c r="W689" s="149"/>
      <c r="X689" s="149"/>
      <c r="Y689" s="149"/>
      <c r="Z689" s="149"/>
      <c r="AA689" s="149"/>
      <c r="AB689" s="149"/>
      <c r="AC689" s="149"/>
      <c r="AD689" s="148"/>
      <c r="AE689" s="148"/>
      <c r="AF689" s="148"/>
      <c r="DB689" s="149"/>
    </row>
    <row r="690" spans="2:106">
      <c r="B690" s="149"/>
      <c r="C690" s="149"/>
      <c r="D690" s="149"/>
      <c r="E690" s="149"/>
      <c r="F690" s="149"/>
      <c r="G690" s="149"/>
      <c r="H690" s="149"/>
      <c r="I690" s="149"/>
      <c r="J690" s="149"/>
      <c r="K690" s="149"/>
      <c r="L690" s="149"/>
      <c r="M690" s="149"/>
      <c r="N690" s="149"/>
      <c r="O690" s="149"/>
      <c r="P690" s="149"/>
      <c r="Q690" s="149"/>
      <c r="R690" s="149"/>
      <c r="S690" s="149"/>
      <c r="T690" s="149"/>
      <c r="U690" s="149"/>
      <c r="V690" s="149"/>
      <c r="W690" s="149"/>
      <c r="X690" s="149"/>
      <c r="Y690" s="149"/>
      <c r="Z690" s="149"/>
      <c r="AA690" s="149"/>
      <c r="AB690" s="149"/>
      <c r="AC690" s="149"/>
      <c r="AD690" s="148"/>
      <c r="AE690" s="148"/>
      <c r="AF690" s="148"/>
      <c r="DB690" s="149"/>
    </row>
    <row r="691" spans="2:106">
      <c r="B691" s="149"/>
      <c r="C691" s="149"/>
      <c r="D691" s="149"/>
      <c r="E691" s="149"/>
      <c r="F691" s="149"/>
      <c r="G691" s="149"/>
      <c r="H691" s="149"/>
      <c r="I691" s="149"/>
      <c r="J691" s="149"/>
      <c r="K691" s="149"/>
      <c r="L691" s="149"/>
      <c r="M691" s="149"/>
      <c r="N691" s="149"/>
      <c r="O691" s="149"/>
      <c r="P691" s="149"/>
      <c r="Q691" s="149"/>
      <c r="R691" s="149"/>
      <c r="S691" s="149"/>
      <c r="T691" s="149"/>
      <c r="U691" s="149"/>
      <c r="V691" s="149"/>
      <c r="W691" s="149"/>
      <c r="X691" s="149"/>
      <c r="Y691" s="149"/>
      <c r="Z691" s="149"/>
      <c r="AA691" s="149"/>
      <c r="AB691" s="149"/>
      <c r="AC691" s="149"/>
      <c r="AD691" s="148"/>
      <c r="AE691" s="148"/>
      <c r="AF691" s="148"/>
      <c r="DB691" s="149"/>
    </row>
    <row r="692" spans="2:106">
      <c r="B692" s="149"/>
      <c r="C692" s="149"/>
      <c r="D692" s="149"/>
      <c r="E692" s="149"/>
      <c r="F692" s="149"/>
      <c r="G692" s="149"/>
      <c r="H692" s="149"/>
      <c r="I692" s="149"/>
      <c r="J692" s="149"/>
      <c r="K692" s="149"/>
      <c r="L692" s="149"/>
      <c r="M692" s="149"/>
      <c r="N692" s="149"/>
      <c r="O692" s="149"/>
      <c r="P692" s="149"/>
      <c r="Q692" s="149"/>
      <c r="R692" s="149"/>
      <c r="S692" s="149"/>
      <c r="T692" s="149"/>
      <c r="U692" s="149"/>
      <c r="V692" s="149"/>
      <c r="W692" s="149"/>
      <c r="X692" s="149"/>
      <c r="Y692" s="149"/>
      <c r="Z692" s="149"/>
      <c r="AA692" s="149"/>
      <c r="AB692" s="149"/>
      <c r="AC692" s="149"/>
      <c r="AD692" s="148"/>
      <c r="AE692" s="148"/>
      <c r="AF692" s="148"/>
      <c r="DB692" s="149"/>
    </row>
    <row r="693" spans="2:106">
      <c r="B693" s="149"/>
      <c r="C693" s="149"/>
      <c r="D693" s="149"/>
      <c r="E693" s="149"/>
      <c r="F693" s="149"/>
      <c r="G693" s="149"/>
      <c r="H693" s="149"/>
      <c r="I693" s="149"/>
      <c r="J693" s="149"/>
      <c r="K693" s="149"/>
      <c r="L693" s="149"/>
      <c r="M693" s="149"/>
      <c r="N693" s="149"/>
      <c r="O693" s="149"/>
      <c r="P693" s="149"/>
      <c r="Q693" s="149"/>
      <c r="R693" s="149"/>
      <c r="S693" s="149"/>
      <c r="T693" s="149"/>
      <c r="U693" s="149"/>
      <c r="V693" s="149"/>
      <c r="W693" s="149"/>
      <c r="X693" s="149"/>
      <c r="Y693" s="149"/>
      <c r="Z693" s="149"/>
      <c r="AA693" s="149"/>
      <c r="AB693" s="149"/>
      <c r="AC693" s="149"/>
      <c r="AD693" s="148"/>
      <c r="AE693" s="148"/>
      <c r="AF693" s="148"/>
      <c r="DB693" s="149"/>
    </row>
    <row r="694" spans="2:106">
      <c r="B694" s="149"/>
      <c r="C694" s="149"/>
      <c r="D694" s="149"/>
      <c r="E694" s="149"/>
      <c r="F694" s="149"/>
      <c r="G694" s="149"/>
      <c r="H694" s="149"/>
      <c r="I694" s="149"/>
      <c r="J694" s="149"/>
      <c r="K694" s="149"/>
      <c r="L694" s="149"/>
      <c r="M694" s="149"/>
      <c r="N694" s="149"/>
      <c r="O694" s="149"/>
      <c r="P694" s="149"/>
      <c r="Q694" s="149"/>
      <c r="R694" s="149"/>
      <c r="S694" s="149"/>
      <c r="T694" s="149"/>
      <c r="U694" s="149"/>
      <c r="V694" s="149"/>
      <c r="W694" s="149"/>
      <c r="X694" s="149"/>
      <c r="Y694" s="149"/>
      <c r="Z694" s="149"/>
      <c r="AA694" s="149"/>
      <c r="AB694" s="149"/>
      <c r="AC694" s="149"/>
      <c r="AD694" s="148"/>
      <c r="AE694" s="148"/>
      <c r="AF694" s="148"/>
      <c r="DB694" s="149"/>
    </row>
    <row r="695" spans="2:106">
      <c r="B695" s="149"/>
      <c r="C695" s="149"/>
      <c r="D695" s="149"/>
      <c r="E695" s="149"/>
      <c r="F695" s="149"/>
      <c r="G695" s="149"/>
      <c r="H695" s="149"/>
      <c r="I695" s="149"/>
      <c r="J695" s="149"/>
      <c r="K695" s="149"/>
      <c r="L695" s="149"/>
      <c r="M695" s="149"/>
      <c r="N695" s="149"/>
      <c r="O695" s="149"/>
      <c r="P695" s="149"/>
      <c r="Q695" s="149"/>
      <c r="R695" s="149"/>
      <c r="S695" s="149"/>
      <c r="T695" s="149"/>
      <c r="U695" s="149"/>
      <c r="V695" s="149"/>
      <c r="W695" s="149"/>
      <c r="X695" s="149"/>
      <c r="Y695" s="149"/>
      <c r="Z695" s="149"/>
      <c r="AA695" s="149"/>
      <c r="AB695" s="149"/>
      <c r="AC695" s="149"/>
      <c r="AD695" s="148"/>
      <c r="AE695" s="148"/>
      <c r="AF695" s="148"/>
      <c r="DB695" s="149"/>
    </row>
    <row r="696" spans="2:106">
      <c r="B696" s="149"/>
      <c r="C696" s="149"/>
      <c r="D696" s="149"/>
      <c r="E696" s="149"/>
      <c r="F696" s="149"/>
      <c r="G696" s="149"/>
      <c r="H696" s="149"/>
      <c r="I696" s="149"/>
      <c r="J696" s="149"/>
      <c r="K696" s="149"/>
      <c r="L696" s="149"/>
      <c r="M696" s="149"/>
      <c r="N696" s="149"/>
      <c r="O696" s="149"/>
      <c r="P696" s="149"/>
      <c r="Q696" s="149"/>
      <c r="R696" s="149"/>
      <c r="S696" s="149"/>
      <c r="T696" s="149"/>
      <c r="U696" s="149"/>
      <c r="V696" s="149"/>
      <c r="W696" s="149"/>
      <c r="X696" s="149"/>
      <c r="Y696" s="149"/>
      <c r="Z696" s="149"/>
      <c r="AA696" s="149"/>
      <c r="AB696" s="149"/>
      <c r="AC696" s="149"/>
      <c r="AD696" s="148"/>
      <c r="AE696" s="148"/>
      <c r="AF696" s="148"/>
      <c r="DB696" s="149"/>
    </row>
    <row r="697" spans="2:106">
      <c r="B697" s="149"/>
      <c r="C697" s="149"/>
      <c r="D697" s="149"/>
      <c r="E697" s="149"/>
      <c r="F697" s="149"/>
      <c r="G697" s="149"/>
      <c r="H697" s="149"/>
      <c r="I697" s="149"/>
      <c r="J697" s="149"/>
      <c r="K697" s="149"/>
      <c r="L697" s="149"/>
      <c r="M697" s="149"/>
      <c r="N697" s="149"/>
      <c r="O697" s="149"/>
      <c r="P697" s="149"/>
      <c r="Q697" s="149"/>
      <c r="R697" s="149"/>
      <c r="S697" s="149"/>
      <c r="T697" s="149"/>
      <c r="U697" s="149"/>
      <c r="V697" s="149"/>
      <c r="W697" s="149"/>
      <c r="X697" s="149"/>
      <c r="Y697" s="149"/>
      <c r="Z697" s="149"/>
      <c r="AA697" s="149"/>
      <c r="AB697" s="149"/>
      <c r="AC697" s="149"/>
      <c r="AD697" s="148"/>
      <c r="AE697" s="148"/>
      <c r="AF697" s="148"/>
      <c r="DB697" s="149"/>
    </row>
    <row r="698" spans="2:106">
      <c r="B698" s="149"/>
      <c r="C698" s="149"/>
      <c r="D698" s="149"/>
      <c r="E698" s="149"/>
      <c r="F698" s="149"/>
      <c r="G698" s="149"/>
      <c r="H698" s="149"/>
      <c r="I698" s="149"/>
      <c r="J698" s="149"/>
      <c r="K698" s="149"/>
      <c r="L698" s="149"/>
      <c r="M698" s="149"/>
      <c r="N698" s="149"/>
      <c r="O698" s="149"/>
      <c r="P698" s="149"/>
      <c r="Q698" s="149"/>
      <c r="R698" s="149"/>
      <c r="S698" s="149"/>
      <c r="T698" s="149"/>
      <c r="U698" s="149"/>
      <c r="V698" s="149"/>
      <c r="W698" s="149"/>
      <c r="X698" s="149"/>
      <c r="Y698" s="149"/>
      <c r="Z698" s="149"/>
      <c r="AA698" s="149"/>
      <c r="AB698" s="149"/>
      <c r="AC698" s="149"/>
      <c r="AD698" s="148"/>
      <c r="AE698" s="148"/>
      <c r="AF698" s="148"/>
      <c r="DB698" s="149"/>
    </row>
    <row r="699" spans="2:106">
      <c r="B699" s="149"/>
      <c r="C699" s="149"/>
      <c r="D699" s="149"/>
      <c r="E699" s="149"/>
      <c r="F699" s="149"/>
      <c r="G699" s="149"/>
      <c r="H699" s="149"/>
      <c r="I699" s="149"/>
      <c r="J699" s="149"/>
      <c r="K699" s="149"/>
      <c r="L699" s="149"/>
      <c r="M699" s="149"/>
      <c r="N699" s="149"/>
      <c r="O699" s="149"/>
      <c r="P699" s="149"/>
      <c r="Q699" s="149"/>
      <c r="R699" s="149"/>
      <c r="S699" s="149"/>
      <c r="T699" s="149"/>
      <c r="U699" s="149"/>
      <c r="V699" s="149"/>
      <c r="W699" s="149"/>
      <c r="X699" s="149"/>
      <c r="Y699" s="149"/>
      <c r="Z699" s="149"/>
      <c r="AA699" s="149"/>
      <c r="AB699" s="149"/>
      <c r="AC699" s="149"/>
      <c r="AD699" s="148"/>
      <c r="AE699" s="148"/>
      <c r="AF699" s="148"/>
      <c r="DB699" s="149"/>
    </row>
    <row r="700" spans="2:106">
      <c r="B700" s="149"/>
      <c r="C700" s="149"/>
      <c r="D700" s="149"/>
      <c r="E700" s="149"/>
      <c r="F700" s="149"/>
      <c r="G700" s="149"/>
      <c r="H700" s="149"/>
      <c r="I700" s="149"/>
      <c r="J700" s="149"/>
      <c r="K700" s="149"/>
      <c r="L700" s="149"/>
      <c r="M700" s="149"/>
      <c r="N700" s="149"/>
      <c r="O700" s="149"/>
      <c r="P700" s="149"/>
      <c r="Q700" s="149"/>
      <c r="R700" s="149"/>
      <c r="S700" s="149"/>
      <c r="T700" s="149"/>
      <c r="U700" s="149"/>
      <c r="V700" s="149"/>
      <c r="W700" s="149"/>
      <c r="X700" s="149"/>
      <c r="Y700" s="149"/>
      <c r="Z700" s="149"/>
      <c r="AA700" s="149"/>
      <c r="AB700" s="149"/>
      <c r="AC700" s="149"/>
      <c r="AD700" s="148"/>
      <c r="AE700" s="148"/>
      <c r="AF700" s="148"/>
      <c r="DB700" s="149"/>
    </row>
    <row r="701" spans="2:106">
      <c r="B701" s="149"/>
      <c r="C701" s="149"/>
      <c r="D701" s="149"/>
      <c r="E701" s="149"/>
      <c r="F701" s="149"/>
      <c r="G701" s="149"/>
      <c r="H701" s="149"/>
      <c r="I701" s="149"/>
      <c r="J701" s="149"/>
      <c r="K701" s="149"/>
      <c r="L701" s="149"/>
      <c r="M701" s="149"/>
      <c r="N701" s="149"/>
      <c r="O701" s="149"/>
      <c r="P701" s="149"/>
      <c r="Q701" s="149"/>
      <c r="R701" s="149"/>
      <c r="S701" s="149"/>
      <c r="T701" s="149"/>
      <c r="U701" s="149"/>
      <c r="V701" s="149"/>
      <c r="W701" s="149"/>
      <c r="X701" s="149"/>
      <c r="Y701" s="149"/>
      <c r="Z701" s="149"/>
      <c r="AA701" s="149"/>
      <c r="AB701" s="149"/>
      <c r="AC701" s="149"/>
      <c r="AD701" s="148"/>
      <c r="AE701" s="148"/>
      <c r="AF701" s="148"/>
      <c r="DB701" s="149"/>
    </row>
    <row r="702" spans="2:106">
      <c r="B702" s="149"/>
      <c r="C702" s="149"/>
      <c r="D702" s="149"/>
      <c r="E702" s="149"/>
      <c r="F702" s="149"/>
      <c r="G702" s="149"/>
      <c r="H702" s="149"/>
      <c r="I702" s="149"/>
      <c r="J702" s="149"/>
      <c r="K702" s="149"/>
      <c r="L702" s="149"/>
      <c r="M702" s="149"/>
      <c r="N702" s="149"/>
      <c r="O702" s="149"/>
      <c r="P702" s="149"/>
      <c r="Q702" s="149"/>
      <c r="R702" s="149"/>
      <c r="S702" s="149"/>
      <c r="T702" s="149"/>
      <c r="U702" s="149"/>
      <c r="V702" s="149"/>
      <c r="W702" s="149"/>
      <c r="X702" s="149"/>
      <c r="Y702" s="149"/>
      <c r="Z702" s="149"/>
      <c r="AA702" s="149"/>
      <c r="AB702" s="149"/>
      <c r="AC702" s="149"/>
      <c r="AD702" s="148"/>
      <c r="AE702" s="148"/>
      <c r="AF702" s="148"/>
      <c r="DB702" s="149"/>
    </row>
    <row r="703" spans="2:106">
      <c r="B703" s="149"/>
      <c r="C703" s="149"/>
      <c r="D703" s="149"/>
      <c r="E703" s="149"/>
      <c r="F703" s="149"/>
      <c r="G703" s="149"/>
      <c r="H703" s="149"/>
      <c r="I703" s="149"/>
      <c r="J703" s="149"/>
      <c r="K703" s="149"/>
      <c r="L703" s="149"/>
      <c r="M703" s="149"/>
      <c r="N703" s="149"/>
      <c r="O703" s="149"/>
      <c r="P703" s="149"/>
      <c r="Q703" s="149"/>
      <c r="R703" s="149"/>
      <c r="S703" s="149"/>
      <c r="T703" s="149"/>
      <c r="U703" s="149"/>
      <c r="V703" s="149"/>
      <c r="W703" s="149"/>
      <c r="X703" s="149"/>
      <c r="Y703" s="149"/>
      <c r="Z703" s="149"/>
      <c r="AA703" s="149"/>
      <c r="AB703" s="149"/>
      <c r="AC703" s="149"/>
      <c r="AD703" s="148"/>
      <c r="AE703" s="148"/>
      <c r="AF703" s="148"/>
      <c r="DB703" s="149"/>
    </row>
    <row r="704" spans="2:106">
      <c r="B704" s="149"/>
      <c r="C704" s="149"/>
      <c r="D704" s="149"/>
      <c r="E704" s="149"/>
      <c r="F704" s="149"/>
      <c r="G704" s="149"/>
      <c r="H704" s="149"/>
      <c r="I704" s="149"/>
      <c r="J704" s="149"/>
      <c r="K704" s="149"/>
      <c r="L704" s="149"/>
      <c r="M704" s="149"/>
      <c r="N704" s="149"/>
      <c r="O704" s="149"/>
      <c r="P704" s="149"/>
      <c r="Q704" s="149"/>
      <c r="R704" s="149"/>
      <c r="S704" s="149"/>
      <c r="T704" s="149"/>
      <c r="U704" s="149"/>
      <c r="V704" s="149"/>
      <c r="W704" s="149"/>
      <c r="X704" s="149"/>
      <c r="Y704" s="149"/>
      <c r="Z704" s="149"/>
      <c r="AA704" s="149"/>
      <c r="AB704" s="149"/>
      <c r="AC704" s="149"/>
      <c r="AD704" s="148"/>
      <c r="AE704" s="148"/>
      <c r="AF704" s="148"/>
      <c r="DB704" s="149"/>
    </row>
    <row r="705" spans="2:106">
      <c r="B705" s="149"/>
      <c r="C705" s="149"/>
      <c r="D705" s="149"/>
      <c r="E705" s="149"/>
      <c r="F705" s="149"/>
      <c r="G705" s="149"/>
      <c r="H705" s="149"/>
      <c r="I705" s="149"/>
      <c r="J705" s="149"/>
      <c r="K705" s="149"/>
      <c r="L705" s="149"/>
      <c r="M705" s="149"/>
      <c r="N705" s="149"/>
      <c r="O705" s="149"/>
      <c r="P705" s="149"/>
      <c r="Q705" s="149"/>
      <c r="R705" s="149"/>
      <c r="S705" s="149"/>
      <c r="T705" s="149"/>
      <c r="U705" s="149"/>
      <c r="V705" s="149"/>
      <c r="W705" s="149"/>
      <c r="X705" s="149"/>
      <c r="Y705" s="149"/>
      <c r="Z705" s="149"/>
      <c r="AA705" s="149"/>
      <c r="AB705" s="149"/>
      <c r="AC705" s="149"/>
      <c r="AD705" s="148"/>
      <c r="AE705" s="148"/>
      <c r="AF705" s="148"/>
      <c r="DB705" s="149"/>
    </row>
    <row r="706" spans="2:106">
      <c r="B706" s="149"/>
      <c r="C706" s="149"/>
      <c r="D706" s="149"/>
      <c r="E706" s="149"/>
      <c r="F706" s="149"/>
      <c r="G706" s="149"/>
      <c r="H706" s="149"/>
      <c r="I706" s="149"/>
      <c r="J706" s="149"/>
      <c r="K706" s="149"/>
      <c r="L706" s="149"/>
      <c r="M706" s="149"/>
      <c r="N706" s="149"/>
      <c r="O706" s="149"/>
      <c r="P706" s="149"/>
      <c r="Q706" s="149"/>
      <c r="R706" s="149"/>
      <c r="S706" s="149"/>
      <c r="T706" s="149"/>
      <c r="U706" s="149"/>
      <c r="V706" s="149"/>
      <c r="W706" s="149"/>
      <c r="X706" s="149"/>
      <c r="Y706" s="149"/>
      <c r="Z706" s="149"/>
      <c r="AA706" s="149"/>
      <c r="AB706" s="149"/>
      <c r="AC706" s="149"/>
      <c r="AD706" s="148"/>
      <c r="AE706" s="148"/>
      <c r="AF706" s="148"/>
      <c r="DB706" s="149"/>
    </row>
    <row r="707" spans="2:106">
      <c r="B707" s="149"/>
      <c r="C707" s="149"/>
      <c r="D707" s="149"/>
      <c r="E707" s="149"/>
      <c r="F707" s="149"/>
      <c r="G707" s="149"/>
      <c r="H707" s="149"/>
      <c r="I707" s="149"/>
      <c r="J707" s="149"/>
      <c r="K707" s="149"/>
      <c r="L707" s="149"/>
      <c r="M707" s="149"/>
      <c r="N707" s="149"/>
      <c r="O707" s="149"/>
      <c r="P707" s="149"/>
      <c r="Q707" s="149"/>
      <c r="R707" s="149"/>
      <c r="S707" s="149"/>
      <c r="T707" s="149"/>
      <c r="U707" s="149"/>
      <c r="V707" s="149"/>
      <c r="W707" s="149"/>
      <c r="X707" s="149"/>
      <c r="Y707" s="149"/>
      <c r="Z707" s="149"/>
      <c r="AA707" s="149"/>
      <c r="AB707" s="149"/>
      <c r="AC707" s="149"/>
      <c r="AD707" s="148"/>
      <c r="AE707" s="148"/>
      <c r="AF707" s="148"/>
      <c r="DB707" s="149"/>
    </row>
    <row r="708" spans="2:106">
      <c r="B708" s="149"/>
      <c r="C708" s="149"/>
      <c r="D708" s="149"/>
      <c r="E708" s="149"/>
      <c r="F708" s="149"/>
      <c r="G708" s="149"/>
      <c r="H708" s="149"/>
      <c r="I708" s="149"/>
      <c r="J708" s="149"/>
      <c r="K708" s="149"/>
      <c r="L708" s="149"/>
      <c r="M708" s="149"/>
      <c r="N708" s="149"/>
      <c r="O708" s="149"/>
      <c r="P708" s="149"/>
      <c r="Q708" s="149"/>
      <c r="R708" s="149"/>
      <c r="S708" s="149"/>
      <c r="T708" s="149"/>
      <c r="U708" s="149"/>
      <c r="V708" s="149"/>
      <c r="W708" s="149"/>
      <c r="X708" s="149"/>
      <c r="Y708" s="149"/>
      <c r="Z708" s="149"/>
      <c r="AA708" s="149"/>
      <c r="AB708" s="149"/>
      <c r="AC708" s="149"/>
      <c r="AD708" s="148"/>
      <c r="AE708" s="148"/>
      <c r="AF708" s="148"/>
      <c r="DB708" s="149"/>
    </row>
    <row r="709" spans="2:106">
      <c r="B709" s="149"/>
      <c r="C709" s="149"/>
      <c r="D709" s="149"/>
      <c r="E709" s="149"/>
      <c r="F709" s="149"/>
      <c r="G709" s="149"/>
      <c r="H709" s="149"/>
      <c r="I709" s="149"/>
      <c r="J709" s="149"/>
      <c r="K709" s="149"/>
      <c r="L709" s="149"/>
      <c r="M709" s="149"/>
      <c r="N709" s="149"/>
      <c r="O709" s="149"/>
      <c r="P709" s="149"/>
      <c r="Q709" s="149"/>
      <c r="R709" s="149"/>
      <c r="S709" s="149"/>
      <c r="T709" s="149"/>
      <c r="U709" s="149"/>
      <c r="V709" s="149"/>
      <c r="W709" s="149"/>
      <c r="X709" s="149"/>
      <c r="Y709" s="149"/>
      <c r="Z709" s="149"/>
      <c r="AA709" s="149"/>
      <c r="AB709" s="149"/>
      <c r="AC709" s="149"/>
      <c r="AD709" s="148"/>
      <c r="AE709" s="148"/>
      <c r="AF709" s="148"/>
      <c r="DB709" s="149"/>
    </row>
    <row r="710" spans="2:106">
      <c r="B710" s="149"/>
      <c r="C710" s="149"/>
      <c r="D710" s="149"/>
      <c r="E710" s="149"/>
      <c r="F710" s="149"/>
      <c r="G710" s="149"/>
      <c r="H710" s="149"/>
      <c r="I710" s="149"/>
      <c r="J710" s="149"/>
      <c r="K710" s="149"/>
      <c r="L710" s="149"/>
      <c r="M710" s="149"/>
      <c r="N710" s="149"/>
      <c r="O710" s="149"/>
      <c r="P710" s="149"/>
      <c r="Q710" s="149"/>
      <c r="R710" s="149"/>
      <c r="S710" s="149"/>
      <c r="T710" s="149"/>
      <c r="U710" s="149"/>
      <c r="V710" s="149"/>
      <c r="W710" s="149"/>
      <c r="X710" s="149"/>
      <c r="Y710" s="149"/>
      <c r="Z710" s="149"/>
      <c r="AA710" s="149"/>
      <c r="AB710" s="149"/>
      <c r="AC710" s="149"/>
      <c r="AD710" s="148"/>
      <c r="AE710" s="148"/>
      <c r="AF710" s="148"/>
      <c r="DB710" s="149"/>
    </row>
    <row r="711" spans="2:106">
      <c r="B711" s="149"/>
      <c r="C711" s="149"/>
      <c r="D711" s="149"/>
      <c r="E711" s="149"/>
      <c r="F711" s="149"/>
      <c r="G711" s="149"/>
      <c r="H711" s="149"/>
      <c r="I711" s="149"/>
      <c r="J711" s="149"/>
      <c r="K711" s="149"/>
      <c r="L711" s="149"/>
      <c r="M711" s="149"/>
      <c r="N711" s="149"/>
      <c r="O711" s="149"/>
      <c r="P711" s="149"/>
      <c r="Q711" s="149"/>
      <c r="R711" s="149"/>
      <c r="S711" s="149"/>
      <c r="T711" s="149"/>
      <c r="U711" s="149"/>
      <c r="V711" s="149"/>
      <c r="W711" s="149"/>
      <c r="X711" s="149"/>
      <c r="Y711" s="149"/>
      <c r="Z711" s="149"/>
      <c r="AA711" s="149"/>
      <c r="AB711" s="149"/>
      <c r="AC711" s="149"/>
      <c r="AD711" s="148"/>
      <c r="AE711" s="148"/>
      <c r="AF711" s="148"/>
      <c r="DB711" s="149"/>
    </row>
    <row r="712" spans="2:106">
      <c r="B712" s="149"/>
      <c r="C712" s="149"/>
      <c r="D712" s="149"/>
      <c r="E712" s="149"/>
      <c r="F712" s="149"/>
      <c r="G712" s="149"/>
      <c r="H712" s="149"/>
      <c r="I712" s="149"/>
      <c r="J712" s="149"/>
      <c r="K712" s="149"/>
      <c r="L712" s="149"/>
      <c r="M712" s="149"/>
      <c r="N712" s="149"/>
      <c r="O712" s="149"/>
      <c r="P712" s="149"/>
      <c r="Q712" s="149"/>
      <c r="R712" s="149"/>
      <c r="S712" s="149"/>
      <c r="T712" s="149"/>
      <c r="U712" s="149"/>
      <c r="V712" s="149"/>
      <c r="W712" s="149"/>
      <c r="X712" s="149"/>
      <c r="Y712" s="149"/>
      <c r="Z712" s="149"/>
      <c r="AA712" s="149"/>
      <c r="AB712" s="149"/>
      <c r="AC712" s="149"/>
      <c r="AD712" s="148"/>
      <c r="AE712" s="148"/>
      <c r="AF712" s="148"/>
      <c r="DB712" s="149"/>
    </row>
    <row r="713" spans="2:106">
      <c r="B713" s="149"/>
      <c r="C713" s="149"/>
      <c r="D713" s="149"/>
      <c r="E713" s="149"/>
      <c r="F713" s="149"/>
      <c r="G713" s="149"/>
      <c r="H713" s="149"/>
      <c r="I713" s="149"/>
      <c r="J713" s="149"/>
      <c r="K713" s="149"/>
      <c r="L713" s="149"/>
      <c r="M713" s="149"/>
      <c r="N713" s="149"/>
      <c r="O713" s="149"/>
      <c r="P713" s="149"/>
      <c r="Q713" s="149"/>
      <c r="R713" s="149"/>
      <c r="S713" s="149"/>
      <c r="T713" s="149"/>
      <c r="U713" s="149"/>
      <c r="V713" s="149"/>
      <c r="W713" s="149"/>
      <c r="X713" s="149"/>
      <c r="Y713" s="149"/>
      <c r="Z713" s="149"/>
      <c r="AA713" s="149"/>
      <c r="AB713" s="149"/>
      <c r="AC713" s="149"/>
      <c r="AD713" s="148"/>
      <c r="AE713" s="148"/>
      <c r="AF713" s="148"/>
      <c r="DB713" s="149"/>
    </row>
    <row r="714" spans="2:106">
      <c r="B714" s="149"/>
      <c r="C714" s="149"/>
      <c r="D714" s="149"/>
      <c r="E714" s="149"/>
      <c r="F714" s="149"/>
      <c r="G714" s="149"/>
      <c r="H714" s="149"/>
      <c r="I714" s="149"/>
      <c r="J714" s="149"/>
      <c r="K714" s="149"/>
      <c r="L714" s="149"/>
      <c r="M714" s="149"/>
      <c r="N714" s="149"/>
      <c r="O714" s="149"/>
      <c r="P714" s="149"/>
      <c r="Q714" s="149"/>
      <c r="R714" s="149"/>
      <c r="S714" s="149"/>
      <c r="T714" s="149"/>
      <c r="U714" s="149"/>
      <c r="V714" s="149"/>
      <c r="W714" s="149"/>
      <c r="X714" s="149"/>
      <c r="Y714" s="149"/>
      <c r="Z714" s="149"/>
      <c r="AA714" s="149"/>
      <c r="AB714" s="149"/>
      <c r="AC714" s="149"/>
      <c r="AD714" s="148"/>
      <c r="AE714" s="148"/>
      <c r="AF714" s="148"/>
      <c r="DB714" s="149"/>
    </row>
    <row r="715" spans="2:106">
      <c r="B715" s="149"/>
      <c r="C715" s="149"/>
      <c r="D715" s="149"/>
      <c r="E715" s="149"/>
      <c r="F715" s="149"/>
      <c r="G715" s="149"/>
      <c r="H715" s="149"/>
      <c r="I715" s="149"/>
      <c r="J715" s="149"/>
      <c r="K715" s="149"/>
      <c r="L715" s="149"/>
      <c r="M715" s="149"/>
      <c r="N715" s="149"/>
      <c r="O715" s="149"/>
      <c r="P715" s="149"/>
      <c r="Q715" s="149"/>
      <c r="R715" s="149"/>
      <c r="S715" s="149"/>
      <c r="T715" s="149"/>
      <c r="U715" s="149"/>
      <c r="V715" s="149"/>
      <c r="W715" s="149"/>
      <c r="X715" s="149"/>
      <c r="Y715" s="149"/>
      <c r="Z715" s="149"/>
      <c r="AA715" s="149"/>
      <c r="AB715" s="149"/>
      <c r="AC715" s="149"/>
      <c r="AD715" s="148"/>
      <c r="AE715" s="148"/>
      <c r="AF715" s="148"/>
      <c r="DB715" s="149"/>
    </row>
    <row r="716" spans="2:106">
      <c r="B716" s="149"/>
      <c r="C716" s="149"/>
      <c r="D716" s="149"/>
      <c r="E716" s="149"/>
      <c r="F716" s="149"/>
      <c r="G716" s="149"/>
      <c r="H716" s="149"/>
      <c r="I716" s="149"/>
      <c r="J716" s="149"/>
      <c r="K716" s="149"/>
      <c r="L716" s="149"/>
      <c r="M716" s="149"/>
      <c r="N716" s="149"/>
      <c r="O716" s="149"/>
      <c r="P716" s="149"/>
      <c r="Q716" s="149"/>
      <c r="R716" s="149"/>
      <c r="S716" s="149"/>
      <c r="T716" s="149"/>
      <c r="U716" s="149"/>
      <c r="V716" s="149"/>
      <c r="W716" s="149"/>
      <c r="X716" s="149"/>
      <c r="Y716" s="149"/>
      <c r="Z716" s="149"/>
      <c r="AA716" s="149"/>
      <c r="AB716" s="149"/>
      <c r="AC716" s="149"/>
      <c r="AD716" s="148"/>
      <c r="AE716" s="148"/>
      <c r="AF716" s="148"/>
      <c r="DB716" s="149"/>
    </row>
    <row r="717" spans="2:106">
      <c r="B717" s="149"/>
      <c r="C717" s="149"/>
      <c r="D717" s="149"/>
      <c r="E717" s="149"/>
      <c r="F717" s="149"/>
      <c r="G717" s="149"/>
      <c r="H717" s="149"/>
      <c r="I717" s="149"/>
      <c r="J717" s="149"/>
      <c r="K717" s="149"/>
      <c r="L717" s="149"/>
      <c r="M717" s="149"/>
      <c r="N717" s="149"/>
      <c r="O717" s="149"/>
      <c r="P717" s="149"/>
      <c r="Q717" s="149"/>
      <c r="R717" s="149"/>
      <c r="S717" s="149"/>
      <c r="T717" s="149"/>
      <c r="U717" s="149"/>
      <c r="V717" s="149"/>
      <c r="W717" s="149"/>
      <c r="X717" s="149"/>
      <c r="Y717" s="149"/>
      <c r="Z717" s="149"/>
      <c r="AA717" s="149"/>
      <c r="AB717" s="149"/>
      <c r="AC717" s="149"/>
      <c r="AD717" s="148"/>
      <c r="AE717" s="148"/>
      <c r="AF717" s="148"/>
      <c r="DB717" s="149"/>
    </row>
    <row r="718" spans="2:106">
      <c r="B718" s="149"/>
      <c r="C718" s="149"/>
      <c r="D718" s="149"/>
      <c r="E718" s="149"/>
      <c r="F718" s="149"/>
      <c r="G718" s="149"/>
      <c r="H718" s="149"/>
      <c r="I718" s="149"/>
      <c r="J718" s="149"/>
      <c r="K718" s="149"/>
      <c r="L718" s="149"/>
      <c r="M718" s="149"/>
      <c r="N718" s="149"/>
      <c r="O718" s="149"/>
      <c r="P718" s="149"/>
      <c r="Q718" s="149"/>
      <c r="R718" s="149"/>
      <c r="S718" s="149"/>
      <c r="T718" s="149"/>
      <c r="U718" s="149"/>
      <c r="V718" s="149"/>
      <c r="W718" s="149"/>
      <c r="X718" s="149"/>
      <c r="Y718" s="149"/>
      <c r="Z718" s="149"/>
      <c r="AA718" s="149"/>
      <c r="AB718" s="149"/>
      <c r="AC718" s="149"/>
      <c r="AD718" s="148"/>
      <c r="AE718" s="148"/>
      <c r="AF718" s="148"/>
      <c r="DB718" s="149"/>
    </row>
    <row r="719" spans="2:106">
      <c r="B719" s="149"/>
      <c r="C719" s="149"/>
      <c r="D719" s="149"/>
      <c r="E719" s="149"/>
      <c r="F719" s="149"/>
      <c r="G719" s="149"/>
      <c r="H719" s="149"/>
      <c r="I719" s="149"/>
      <c r="J719" s="149"/>
      <c r="K719" s="149"/>
      <c r="L719" s="149"/>
      <c r="M719" s="149"/>
      <c r="N719" s="149"/>
      <c r="O719" s="149"/>
      <c r="P719" s="149"/>
      <c r="Q719" s="149"/>
      <c r="R719" s="149"/>
      <c r="S719" s="149"/>
      <c r="T719" s="149"/>
      <c r="U719" s="149"/>
      <c r="V719" s="149"/>
      <c r="W719" s="149"/>
      <c r="X719" s="149"/>
      <c r="Y719" s="149"/>
      <c r="Z719" s="149"/>
      <c r="AA719" s="149"/>
      <c r="AB719" s="149"/>
      <c r="AC719" s="149"/>
      <c r="AD719" s="148"/>
      <c r="AE719" s="148"/>
      <c r="AF719" s="148"/>
      <c r="DB719" s="149"/>
    </row>
    <row r="720" spans="2:106">
      <c r="B720" s="149"/>
      <c r="C720" s="149"/>
      <c r="D720" s="149"/>
      <c r="E720" s="149"/>
      <c r="F720" s="149"/>
      <c r="G720" s="149"/>
      <c r="H720" s="149"/>
      <c r="I720" s="149"/>
      <c r="J720" s="149"/>
      <c r="K720" s="149"/>
      <c r="L720" s="149"/>
      <c r="M720" s="149"/>
      <c r="N720" s="149"/>
      <c r="O720" s="149"/>
      <c r="P720" s="149"/>
      <c r="Q720" s="149"/>
      <c r="R720" s="149"/>
      <c r="S720" s="149"/>
      <c r="T720" s="149"/>
      <c r="U720" s="149"/>
      <c r="V720" s="149"/>
      <c r="W720" s="149"/>
      <c r="X720" s="149"/>
      <c r="Y720" s="149"/>
      <c r="Z720" s="149"/>
      <c r="AA720" s="149"/>
      <c r="AB720" s="149"/>
      <c r="AC720" s="149"/>
      <c r="AD720" s="148"/>
      <c r="AE720" s="148"/>
      <c r="AF720" s="148"/>
      <c r="DB720" s="149"/>
    </row>
    <row r="721" spans="2:106">
      <c r="B721" s="149"/>
      <c r="C721" s="149"/>
      <c r="D721" s="149"/>
      <c r="E721" s="149"/>
      <c r="F721" s="149"/>
      <c r="G721" s="149"/>
      <c r="H721" s="149"/>
      <c r="I721" s="149"/>
      <c r="J721" s="149"/>
      <c r="K721" s="149"/>
      <c r="L721" s="149"/>
      <c r="M721" s="149"/>
      <c r="N721" s="149"/>
      <c r="O721" s="149"/>
      <c r="P721" s="149"/>
      <c r="Q721" s="149"/>
      <c r="R721" s="149"/>
      <c r="S721" s="149"/>
      <c r="T721" s="149"/>
      <c r="U721" s="149"/>
      <c r="V721" s="149"/>
      <c r="W721" s="149"/>
      <c r="X721" s="149"/>
      <c r="Y721" s="149"/>
      <c r="Z721" s="149"/>
      <c r="AA721" s="149"/>
      <c r="AB721" s="149"/>
      <c r="AC721" s="149"/>
      <c r="AD721" s="148"/>
      <c r="AE721" s="148"/>
      <c r="AF721" s="148"/>
      <c r="DB721" s="149"/>
    </row>
    <row r="722" spans="2:106">
      <c r="B722" s="149"/>
      <c r="C722" s="149"/>
      <c r="D722" s="149"/>
      <c r="E722" s="149"/>
      <c r="F722" s="149"/>
      <c r="G722" s="149"/>
      <c r="H722" s="149"/>
      <c r="I722" s="149"/>
      <c r="J722" s="149"/>
      <c r="K722" s="149"/>
      <c r="L722" s="149"/>
      <c r="M722" s="149"/>
      <c r="N722" s="149"/>
      <c r="O722" s="149"/>
      <c r="P722" s="149"/>
      <c r="Q722" s="149"/>
      <c r="R722" s="149"/>
      <c r="S722" s="149"/>
      <c r="T722" s="149"/>
      <c r="U722" s="149"/>
      <c r="V722" s="149"/>
      <c r="W722" s="149"/>
      <c r="X722" s="149"/>
      <c r="Y722" s="149"/>
      <c r="Z722" s="149"/>
      <c r="AA722" s="149"/>
      <c r="AB722" s="149"/>
      <c r="AC722" s="149"/>
      <c r="AD722" s="148"/>
      <c r="AE722" s="148"/>
      <c r="AF722" s="148"/>
      <c r="DB722" s="149"/>
    </row>
    <row r="723" spans="2:106">
      <c r="B723" s="149"/>
      <c r="C723" s="149"/>
      <c r="D723" s="149"/>
      <c r="E723" s="149"/>
      <c r="F723" s="149"/>
      <c r="G723" s="149"/>
      <c r="H723" s="149"/>
      <c r="I723" s="149"/>
      <c r="J723" s="149"/>
      <c r="K723" s="149"/>
      <c r="L723" s="149"/>
      <c r="M723" s="149"/>
      <c r="N723" s="149"/>
      <c r="O723" s="149"/>
      <c r="P723" s="149"/>
      <c r="Q723" s="149"/>
      <c r="R723" s="149"/>
      <c r="S723" s="149"/>
      <c r="T723" s="149"/>
      <c r="U723" s="149"/>
      <c r="V723" s="149"/>
      <c r="W723" s="149"/>
      <c r="X723" s="149"/>
      <c r="Y723" s="149"/>
      <c r="Z723" s="149"/>
      <c r="AA723" s="149"/>
      <c r="AB723" s="149"/>
      <c r="AC723" s="149"/>
      <c r="AD723" s="148"/>
      <c r="AE723" s="148"/>
      <c r="AF723" s="148"/>
      <c r="DB723" s="149"/>
    </row>
    <row r="724" spans="2:106">
      <c r="B724" s="149"/>
      <c r="C724" s="149"/>
      <c r="D724" s="149"/>
      <c r="E724" s="149"/>
      <c r="F724" s="149"/>
      <c r="G724" s="149"/>
      <c r="H724" s="149"/>
      <c r="I724" s="149"/>
      <c r="J724" s="149"/>
      <c r="K724" s="149"/>
      <c r="L724" s="149"/>
      <c r="M724" s="149"/>
      <c r="N724" s="149"/>
      <c r="O724" s="149"/>
      <c r="P724" s="149"/>
      <c r="Q724" s="149"/>
      <c r="R724" s="149"/>
      <c r="S724" s="149"/>
      <c r="T724" s="149"/>
      <c r="U724" s="149"/>
      <c r="V724" s="149"/>
      <c r="W724" s="149"/>
      <c r="X724" s="149"/>
      <c r="Y724" s="149"/>
      <c r="Z724" s="149"/>
      <c r="AA724" s="149"/>
      <c r="AB724" s="149"/>
      <c r="AC724" s="149"/>
      <c r="AD724" s="148"/>
      <c r="AE724" s="148"/>
      <c r="AF724" s="148"/>
      <c r="DB724" s="149"/>
    </row>
    <row r="725" spans="2:106">
      <c r="B725" s="149"/>
      <c r="C725" s="149"/>
      <c r="D725" s="149"/>
      <c r="E725" s="149"/>
      <c r="F725" s="149"/>
      <c r="G725" s="149"/>
      <c r="H725" s="149"/>
      <c r="I725" s="149"/>
      <c r="J725" s="149"/>
      <c r="K725" s="149"/>
      <c r="L725" s="149"/>
      <c r="M725" s="149"/>
      <c r="N725" s="149"/>
      <c r="O725" s="149"/>
      <c r="P725" s="149"/>
      <c r="Q725" s="149"/>
      <c r="R725" s="149"/>
      <c r="S725" s="149"/>
      <c r="T725" s="149"/>
      <c r="U725" s="149"/>
      <c r="V725" s="149"/>
      <c r="W725" s="149"/>
      <c r="X725" s="149"/>
      <c r="Y725" s="149"/>
      <c r="Z725" s="149"/>
      <c r="AA725" s="149"/>
      <c r="AB725" s="149"/>
      <c r="AC725" s="149"/>
      <c r="AD725" s="148"/>
      <c r="AE725" s="148"/>
      <c r="AF725" s="148"/>
      <c r="DB725" s="149"/>
    </row>
    <row r="726" spans="2:106">
      <c r="B726" s="149"/>
      <c r="C726" s="149"/>
      <c r="D726" s="149"/>
      <c r="E726" s="149"/>
      <c r="F726" s="149"/>
      <c r="G726" s="149"/>
      <c r="H726" s="149"/>
      <c r="I726" s="149"/>
      <c r="J726" s="149"/>
      <c r="K726" s="149"/>
      <c r="L726" s="149"/>
      <c r="M726" s="149"/>
      <c r="N726" s="149"/>
      <c r="O726" s="149"/>
      <c r="P726" s="149"/>
      <c r="Q726" s="149"/>
      <c r="R726" s="149"/>
      <c r="S726" s="149"/>
      <c r="T726" s="149"/>
      <c r="U726" s="149"/>
      <c r="V726" s="149"/>
      <c r="W726" s="149"/>
      <c r="X726" s="149"/>
      <c r="Y726" s="149"/>
      <c r="Z726" s="149"/>
      <c r="AA726" s="149"/>
      <c r="AB726" s="149"/>
      <c r="AC726" s="149"/>
      <c r="AD726" s="148"/>
      <c r="AE726" s="148"/>
      <c r="AF726" s="148"/>
      <c r="DB726" s="149"/>
    </row>
    <row r="727" spans="2:106">
      <c r="B727" s="149"/>
      <c r="C727" s="149"/>
      <c r="D727" s="149"/>
      <c r="E727" s="149"/>
      <c r="F727" s="149"/>
      <c r="G727" s="149"/>
      <c r="H727" s="149"/>
      <c r="I727" s="149"/>
      <c r="J727" s="149"/>
      <c r="K727" s="149"/>
      <c r="L727" s="149"/>
      <c r="M727" s="149"/>
      <c r="N727" s="149"/>
      <c r="O727" s="149"/>
      <c r="P727" s="149"/>
      <c r="Q727" s="149"/>
      <c r="R727" s="149"/>
      <c r="S727" s="149"/>
      <c r="T727" s="149"/>
      <c r="U727" s="149"/>
      <c r="V727" s="149"/>
      <c r="W727" s="149"/>
      <c r="X727" s="149"/>
      <c r="Y727" s="149"/>
      <c r="Z727" s="149"/>
      <c r="AA727" s="149"/>
      <c r="AB727" s="149"/>
      <c r="AC727" s="149"/>
      <c r="AD727" s="148"/>
      <c r="AE727" s="148"/>
      <c r="AF727" s="148"/>
      <c r="DB727" s="149"/>
    </row>
    <row r="728" spans="2:106">
      <c r="B728" s="149"/>
      <c r="C728" s="149"/>
      <c r="D728" s="149"/>
      <c r="E728" s="149"/>
      <c r="F728" s="149"/>
      <c r="G728" s="149"/>
      <c r="H728" s="149"/>
      <c r="I728" s="149"/>
      <c r="J728" s="149"/>
      <c r="K728" s="149"/>
      <c r="L728" s="149"/>
      <c r="M728" s="149"/>
      <c r="N728" s="149"/>
      <c r="O728" s="149"/>
      <c r="P728" s="149"/>
      <c r="Q728" s="149"/>
      <c r="R728" s="149"/>
      <c r="S728" s="149"/>
      <c r="T728" s="149"/>
      <c r="U728" s="149"/>
      <c r="V728" s="149"/>
      <c r="W728" s="149"/>
      <c r="X728" s="149"/>
      <c r="Y728" s="149"/>
      <c r="Z728" s="149"/>
      <c r="AA728" s="149"/>
      <c r="AB728" s="149"/>
      <c r="AC728" s="149"/>
      <c r="AD728" s="148"/>
      <c r="AE728" s="148"/>
      <c r="AF728" s="148"/>
      <c r="DB728" s="149"/>
    </row>
    <row r="729" spans="2:106">
      <c r="B729" s="149"/>
      <c r="C729" s="149"/>
      <c r="D729" s="149"/>
      <c r="E729" s="149"/>
      <c r="F729" s="149"/>
      <c r="G729" s="149"/>
      <c r="H729" s="149"/>
      <c r="I729" s="149"/>
      <c r="J729" s="149"/>
      <c r="K729" s="149"/>
      <c r="L729" s="149"/>
      <c r="M729" s="149"/>
      <c r="N729" s="149"/>
      <c r="O729" s="149"/>
      <c r="P729" s="149"/>
      <c r="Q729" s="149"/>
      <c r="R729" s="149"/>
      <c r="S729" s="149"/>
      <c r="T729" s="149"/>
      <c r="U729" s="149"/>
      <c r="V729" s="149"/>
      <c r="W729" s="149"/>
      <c r="X729" s="149"/>
      <c r="Y729" s="149"/>
      <c r="Z729" s="149"/>
      <c r="AA729" s="149"/>
      <c r="AB729" s="149"/>
      <c r="AC729" s="149"/>
      <c r="AD729" s="148"/>
      <c r="AE729" s="148"/>
      <c r="AF729" s="148"/>
      <c r="DB729" s="149"/>
    </row>
    <row r="730" spans="2:106">
      <c r="B730" s="149"/>
      <c r="C730" s="149"/>
      <c r="D730" s="149"/>
      <c r="E730" s="149"/>
      <c r="F730" s="149"/>
      <c r="G730" s="149"/>
      <c r="H730" s="149"/>
      <c r="I730" s="149"/>
      <c r="J730" s="149"/>
      <c r="K730" s="149"/>
      <c r="L730" s="149"/>
      <c r="M730" s="149"/>
      <c r="N730" s="149"/>
      <c r="O730" s="149"/>
      <c r="P730" s="149"/>
      <c r="Q730" s="149"/>
      <c r="R730" s="149"/>
      <c r="S730" s="149"/>
      <c r="T730" s="149"/>
      <c r="U730" s="149"/>
      <c r="V730" s="149"/>
      <c r="W730" s="149"/>
      <c r="X730" s="149"/>
      <c r="Y730" s="149"/>
      <c r="Z730" s="149"/>
      <c r="AA730" s="149"/>
      <c r="AB730" s="149"/>
      <c r="AC730" s="149"/>
      <c r="AD730" s="148"/>
      <c r="AE730" s="148"/>
      <c r="AF730" s="148"/>
      <c r="DB730" s="149"/>
    </row>
    <row r="731" spans="2:106">
      <c r="B731" s="149"/>
      <c r="C731" s="149"/>
      <c r="D731" s="149"/>
      <c r="E731" s="149"/>
      <c r="F731" s="149"/>
      <c r="G731" s="149"/>
      <c r="H731" s="149"/>
      <c r="I731" s="149"/>
      <c r="J731" s="149"/>
      <c r="K731" s="149"/>
      <c r="L731" s="149"/>
      <c r="M731" s="149"/>
      <c r="N731" s="149"/>
      <c r="O731" s="149"/>
      <c r="P731" s="149"/>
      <c r="Q731" s="149"/>
      <c r="R731" s="149"/>
      <c r="S731" s="149"/>
      <c r="T731" s="149"/>
      <c r="U731" s="149"/>
      <c r="V731" s="149"/>
      <c r="W731" s="149"/>
      <c r="X731" s="149"/>
      <c r="Y731" s="149"/>
      <c r="Z731" s="149"/>
      <c r="AA731" s="149"/>
      <c r="AB731" s="149"/>
      <c r="AC731" s="149"/>
      <c r="AD731" s="148"/>
      <c r="AE731" s="148"/>
      <c r="AF731" s="148"/>
      <c r="DB731" s="149"/>
    </row>
    <row r="732" spans="2:106">
      <c r="B732" s="149"/>
      <c r="C732" s="149"/>
      <c r="D732" s="149"/>
      <c r="E732" s="149"/>
      <c r="F732" s="149"/>
      <c r="G732" s="149"/>
      <c r="H732" s="149"/>
      <c r="I732" s="149"/>
      <c r="J732" s="149"/>
      <c r="K732" s="149"/>
      <c r="L732" s="149"/>
      <c r="M732" s="149"/>
      <c r="N732" s="149"/>
      <c r="O732" s="149"/>
      <c r="P732" s="149"/>
      <c r="Q732" s="149"/>
      <c r="R732" s="149"/>
      <c r="S732" s="149"/>
      <c r="T732" s="149"/>
      <c r="U732" s="149"/>
      <c r="V732" s="149"/>
      <c r="W732" s="149"/>
      <c r="X732" s="149"/>
      <c r="Y732" s="149"/>
      <c r="Z732" s="149"/>
      <c r="AA732" s="149"/>
      <c r="AB732" s="149"/>
      <c r="AC732" s="149"/>
      <c r="AD732" s="148"/>
      <c r="AE732" s="148"/>
      <c r="AF732" s="148"/>
      <c r="DB732" s="149"/>
    </row>
    <row r="733" spans="2:106">
      <c r="B733" s="149"/>
      <c r="C733" s="149"/>
      <c r="D733" s="149"/>
      <c r="E733" s="149"/>
      <c r="F733" s="149"/>
      <c r="G733" s="149"/>
      <c r="H733" s="149"/>
      <c r="I733" s="149"/>
      <c r="J733" s="149"/>
      <c r="K733" s="149"/>
      <c r="L733" s="149"/>
      <c r="M733" s="149"/>
      <c r="N733" s="149"/>
      <c r="O733" s="149"/>
      <c r="P733" s="149"/>
      <c r="Q733" s="149"/>
      <c r="R733" s="149"/>
      <c r="S733" s="149"/>
      <c r="T733" s="149"/>
      <c r="U733" s="149"/>
      <c r="V733" s="149"/>
      <c r="W733" s="149"/>
      <c r="X733" s="149"/>
      <c r="Y733" s="149"/>
      <c r="Z733" s="149"/>
      <c r="AA733" s="149"/>
      <c r="AB733" s="149"/>
      <c r="AC733" s="149"/>
      <c r="AD733" s="148"/>
      <c r="AE733" s="148"/>
      <c r="AF733" s="148"/>
      <c r="DB733" s="149"/>
    </row>
    <row r="734" spans="2:106">
      <c r="B734" s="149"/>
      <c r="C734" s="149"/>
      <c r="D734" s="149"/>
      <c r="E734" s="149"/>
      <c r="F734" s="149"/>
      <c r="G734" s="149"/>
      <c r="H734" s="149"/>
      <c r="I734" s="149"/>
      <c r="J734" s="149"/>
      <c r="K734" s="149"/>
      <c r="L734" s="149"/>
      <c r="M734" s="149"/>
      <c r="N734" s="149"/>
      <c r="O734" s="149"/>
      <c r="P734" s="149"/>
      <c r="Q734" s="149"/>
      <c r="R734" s="149"/>
      <c r="S734" s="149"/>
      <c r="T734" s="149"/>
      <c r="U734" s="149"/>
      <c r="V734" s="149"/>
      <c r="W734" s="149"/>
      <c r="X734" s="149"/>
      <c r="Y734" s="149"/>
      <c r="Z734" s="149"/>
      <c r="AA734" s="149"/>
      <c r="AB734" s="149"/>
      <c r="AC734" s="149"/>
      <c r="AD734" s="148"/>
      <c r="AE734" s="148"/>
      <c r="AF734" s="148"/>
      <c r="DB734" s="149"/>
    </row>
    <row r="735" spans="2:106">
      <c r="B735" s="149"/>
      <c r="C735" s="149"/>
      <c r="D735" s="149"/>
      <c r="E735" s="149"/>
      <c r="F735" s="149"/>
      <c r="G735" s="149"/>
      <c r="H735" s="149"/>
      <c r="I735" s="149"/>
      <c r="J735" s="149"/>
      <c r="K735" s="149"/>
      <c r="L735" s="149"/>
      <c r="M735" s="149"/>
      <c r="N735" s="149"/>
      <c r="O735" s="149"/>
      <c r="P735" s="149"/>
      <c r="Q735" s="149"/>
      <c r="R735" s="149"/>
      <c r="S735" s="149"/>
      <c r="T735" s="149"/>
      <c r="U735" s="149"/>
      <c r="V735" s="149"/>
      <c r="W735" s="149"/>
      <c r="X735" s="149"/>
      <c r="Y735" s="149"/>
      <c r="Z735" s="149"/>
      <c r="AA735" s="149"/>
      <c r="AB735" s="149"/>
      <c r="AC735" s="149"/>
      <c r="AD735" s="148"/>
      <c r="AE735" s="148"/>
      <c r="AF735" s="148"/>
      <c r="DB735" s="149"/>
    </row>
    <row r="736" spans="2:106">
      <c r="B736" s="149"/>
      <c r="C736" s="149"/>
      <c r="D736" s="149"/>
      <c r="E736" s="149"/>
      <c r="F736" s="149"/>
      <c r="G736" s="149"/>
      <c r="H736" s="149"/>
      <c r="I736" s="149"/>
      <c r="J736" s="149"/>
      <c r="K736" s="149"/>
      <c r="L736" s="149"/>
      <c r="M736" s="149"/>
      <c r="N736" s="149"/>
      <c r="O736" s="149"/>
      <c r="P736" s="149"/>
      <c r="Q736" s="149"/>
      <c r="R736" s="149"/>
      <c r="S736" s="149"/>
      <c r="T736" s="149"/>
      <c r="U736" s="149"/>
      <c r="V736" s="149"/>
      <c r="W736" s="149"/>
      <c r="X736" s="149"/>
      <c r="Y736" s="149"/>
      <c r="Z736" s="149"/>
      <c r="AA736" s="149"/>
      <c r="AB736" s="149"/>
      <c r="AC736" s="149"/>
      <c r="AD736" s="148"/>
      <c r="AE736" s="148"/>
      <c r="AF736" s="148"/>
      <c r="DB736" s="149"/>
    </row>
    <row r="737" spans="2:106">
      <c r="B737" s="149"/>
      <c r="C737" s="149"/>
      <c r="D737" s="149"/>
      <c r="E737" s="149"/>
      <c r="F737" s="149"/>
      <c r="G737" s="149"/>
      <c r="H737" s="149"/>
      <c r="I737" s="149"/>
      <c r="J737" s="149"/>
      <c r="K737" s="149"/>
      <c r="L737" s="149"/>
      <c r="M737" s="149"/>
      <c r="N737" s="149"/>
      <c r="O737" s="149"/>
      <c r="P737" s="149"/>
      <c r="Q737" s="149"/>
      <c r="R737" s="149"/>
      <c r="S737" s="149"/>
      <c r="T737" s="149"/>
      <c r="U737" s="149"/>
      <c r="V737" s="149"/>
      <c r="W737" s="149"/>
      <c r="X737" s="149"/>
      <c r="Y737" s="149"/>
      <c r="Z737" s="149"/>
      <c r="AA737" s="149"/>
      <c r="AB737" s="149"/>
      <c r="AC737" s="149"/>
      <c r="AD737" s="148"/>
      <c r="AE737" s="148"/>
      <c r="AF737" s="148"/>
      <c r="DB737" s="149"/>
    </row>
    <row r="738" spans="2:106">
      <c r="B738" s="149"/>
      <c r="C738" s="149"/>
      <c r="D738" s="149"/>
      <c r="E738" s="149"/>
      <c r="F738" s="149"/>
      <c r="G738" s="149"/>
      <c r="H738" s="149"/>
      <c r="I738" s="149"/>
      <c r="J738" s="149"/>
      <c r="K738" s="149"/>
      <c r="L738" s="149"/>
      <c r="M738" s="149"/>
      <c r="N738" s="149"/>
      <c r="O738" s="149"/>
      <c r="P738" s="149"/>
      <c r="Q738" s="149"/>
      <c r="R738" s="149"/>
      <c r="S738" s="149"/>
      <c r="T738" s="149"/>
      <c r="U738" s="149"/>
      <c r="V738" s="149"/>
      <c r="W738" s="149"/>
      <c r="X738" s="149"/>
      <c r="Y738" s="149"/>
      <c r="Z738" s="149"/>
      <c r="AA738" s="149"/>
      <c r="AB738" s="149"/>
      <c r="AC738" s="149"/>
      <c r="AD738" s="148"/>
      <c r="AE738" s="148"/>
      <c r="AF738" s="148"/>
      <c r="DB738" s="149"/>
    </row>
    <row r="739" spans="2:106">
      <c r="B739" s="149"/>
      <c r="C739" s="149"/>
      <c r="D739" s="149"/>
      <c r="E739" s="149"/>
      <c r="F739" s="149"/>
      <c r="G739" s="149"/>
      <c r="H739" s="149"/>
      <c r="I739" s="149"/>
      <c r="J739" s="149"/>
      <c r="K739" s="149"/>
      <c r="L739" s="149"/>
      <c r="M739" s="149"/>
      <c r="N739" s="149"/>
      <c r="O739" s="149"/>
      <c r="P739" s="149"/>
      <c r="Q739" s="149"/>
      <c r="R739" s="149"/>
      <c r="S739" s="149"/>
      <c r="T739" s="149"/>
      <c r="U739" s="149"/>
      <c r="V739" s="149"/>
      <c r="W739" s="149"/>
      <c r="X739" s="149"/>
      <c r="Y739" s="149"/>
      <c r="Z739" s="149"/>
      <c r="AA739" s="149"/>
      <c r="AB739" s="149"/>
      <c r="AC739" s="149"/>
      <c r="AD739" s="148"/>
      <c r="AE739" s="148"/>
      <c r="AF739" s="148"/>
      <c r="DB739" s="149"/>
    </row>
    <row r="740" spans="2:106">
      <c r="B740" s="149"/>
      <c r="C740" s="149"/>
      <c r="D740" s="149"/>
      <c r="E740" s="149"/>
      <c r="F740" s="149"/>
      <c r="G740" s="149"/>
      <c r="H740" s="149"/>
      <c r="I740" s="149"/>
      <c r="J740" s="149"/>
      <c r="K740" s="149"/>
      <c r="L740" s="149"/>
      <c r="M740" s="149"/>
      <c r="N740" s="149"/>
      <c r="O740" s="149"/>
      <c r="P740" s="149"/>
      <c r="Q740" s="149"/>
      <c r="R740" s="149"/>
      <c r="S740" s="149"/>
      <c r="T740" s="149"/>
      <c r="U740" s="149"/>
      <c r="V740" s="149"/>
      <c r="W740" s="149"/>
      <c r="X740" s="149"/>
      <c r="Y740" s="149"/>
      <c r="Z740" s="149"/>
      <c r="AA740" s="149"/>
      <c r="AB740" s="149"/>
      <c r="AC740" s="149"/>
      <c r="AD740" s="148"/>
      <c r="AE740" s="148"/>
      <c r="AF740" s="148"/>
      <c r="DB740" s="149"/>
    </row>
    <row r="741" spans="2:106">
      <c r="B741" s="149"/>
      <c r="C741" s="149"/>
      <c r="D741" s="149"/>
      <c r="E741" s="149"/>
      <c r="F741" s="149"/>
      <c r="G741" s="149"/>
      <c r="H741" s="149"/>
      <c r="I741" s="149"/>
      <c r="J741" s="149"/>
      <c r="K741" s="149"/>
      <c r="L741" s="149"/>
      <c r="M741" s="149"/>
      <c r="N741" s="149"/>
      <c r="O741" s="149"/>
      <c r="P741" s="149"/>
      <c r="Q741" s="149"/>
      <c r="R741" s="149"/>
      <c r="S741" s="149"/>
      <c r="T741" s="149"/>
      <c r="U741" s="149"/>
      <c r="V741" s="149"/>
      <c r="W741" s="149"/>
      <c r="X741" s="149"/>
      <c r="Y741" s="149"/>
      <c r="Z741" s="149"/>
      <c r="AA741" s="149"/>
      <c r="AB741" s="149"/>
      <c r="AC741" s="149"/>
      <c r="AD741" s="148"/>
      <c r="AE741" s="148"/>
      <c r="AF741" s="148"/>
      <c r="DB741" s="149"/>
    </row>
    <row r="742" spans="2:106">
      <c r="B742" s="149"/>
      <c r="C742" s="149"/>
      <c r="D742" s="149"/>
      <c r="E742" s="149"/>
      <c r="F742" s="149"/>
      <c r="G742" s="149"/>
      <c r="H742" s="149"/>
      <c r="I742" s="149"/>
      <c r="J742" s="149"/>
      <c r="K742" s="149"/>
      <c r="L742" s="149"/>
      <c r="M742" s="149"/>
      <c r="N742" s="149"/>
      <c r="O742" s="149"/>
      <c r="P742" s="149"/>
      <c r="Q742" s="149"/>
      <c r="R742" s="149"/>
      <c r="S742" s="149"/>
      <c r="T742" s="149"/>
      <c r="U742" s="149"/>
      <c r="V742" s="149"/>
      <c r="W742" s="149"/>
      <c r="X742" s="149"/>
      <c r="Y742" s="149"/>
      <c r="Z742" s="149"/>
      <c r="AA742" s="149"/>
      <c r="AB742" s="149"/>
      <c r="AC742" s="149"/>
      <c r="AD742" s="148"/>
      <c r="AE742" s="148"/>
      <c r="AF742" s="148"/>
      <c r="DB742" s="149"/>
    </row>
    <row r="743" spans="2:106">
      <c r="B743" s="149"/>
      <c r="C743" s="149"/>
      <c r="D743" s="149"/>
      <c r="E743" s="149"/>
      <c r="F743" s="149"/>
      <c r="G743" s="149"/>
      <c r="H743" s="149"/>
      <c r="I743" s="149"/>
      <c r="J743" s="149"/>
      <c r="K743" s="149"/>
      <c r="L743" s="149"/>
      <c r="M743" s="149"/>
      <c r="N743" s="149"/>
      <c r="O743" s="149"/>
      <c r="P743" s="149"/>
      <c r="Q743" s="149"/>
      <c r="R743" s="149"/>
      <c r="S743" s="149"/>
      <c r="T743" s="149"/>
      <c r="U743" s="149"/>
      <c r="V743" s="149"/>
      <c r="W743" s="149"/>
      <c r="X743" s="149"/>
      <c r="Y743" s="149"/>
      <c r="Z743" s="149"/>
      <c r="AA743" s="149"/>
      <c r="AB743" s="149"/>
      <c r="AC743" s="149"/>
      <c r="AD743" s="148"/>
      <c r="AE743" s="148"/>
      <c r="AF743" s="148"/>
      <c r="DB743" s="149"/>
    </row>
    <row r="744" spans="2:106">
      <c r="B744" s="149"/>
      <c r="C744" s="149"/>
      <c r="D744" s="149"/>
      <c r="E744" s="149"/>
      <c r="F744" s="149"/>
      <c r="G744" s="149"/>
      <c r="H744" s="149"/>
      <c r="I744" s="149"/>
      <c r="J744" s="149"/>
      <c r="K744" s="149"/>
      <c r="L744" s="149"/>
      <c r="M744" s="149"/>
      <c r="N744" s="149"/>
      <c r="O744" s="149"/>
      <c r="P744" s="149"/>
      <c r="Q744" s="149"/>
      <c r="R744" s="149"/>
      <c r="S744" s="149"/>
      <c r="T744" s="149"/>
      <c r="U744" s="149"/>
      <c r="V744" s="149"/>
      <c r="W744" s="149"/>
      <c r="X744" s="149"/>
      <c r="Y744" s="149"/>
      <c r="Z744" s="149"/>
      <c r="AA744" s="149"/>
      <c r="AB744" s="149"/>
      <c r="AC744" s="149"/>
      <c r="AD744" s="148"/>
      <c r="AE744" s="148"/>
      <c r="AF744" s="148"/>
      <c r="DB744" s="149"/>
    </row>
    <row r="745" spans="2:106">
      <c r="B745" s="149"/>
      <c r="C745" s="149"/>
      <c r="D745" s="149"/>
      <c r="E745" s="149"/>
      <c r="F745" s="149"/>
      <c r="G745" s="149"/>
      <c r="H745" s="149"/>
      <c r="I745" s="149"/>
      <c r="J745" s="149"/>
      <c r="K745" s="149"/>
      <c r="L745" s="149"/>
      <c r="M745" s="149"/>
      <c r="N745" s="149"/>
      <c r="O745" s="149"/>
      <c r="P745" s="149"/>
      <c r="Q745" s="149"/>
      <c r="R745" s="149"/>
      <c r="S745" s="149"/>
      <c r="T745" s="149"/>
      <c r="U745" s="149"/>
      <c r="V745" s="149"/>
      <c r="W745" s="149"/>
      <c r="X745" s="149"/>
      <c r="Y745" s="149"/>
      <c r="Z745" s="149"/>
      <c r="AA745" s="149"/>
      <c r="AB745" s="149"/>
      <c r="AC745" s="149"/>
      <c r="AD745" s="148"/>
      <c r="AE745" s="148"/>
      <c r="AF745" s="148"/>
      <c r="DB745" s="149"/>
    </row>
    <row r="746" spans="2:106">
      <c r="B746" s="149"/>
      <c r="C746" s="149"/>
      <c r="D746" s="149"/>
      <c r="E746" s="149"/>
      <c r="F746" s="149"/>
      <c r="G746" s="149"/>
      <c r="H746" s="149"/>
      <c r="I746" s="149"/>
      <c r="J746" s="149"/>
      <c r="K746" s="149"/>
      <c r="L746" s="149"/>
      <c r="M746" s="149"/>
      <c r="N746" s="149"/>
      <c r="O746" s="149"/>
      <c r="P746" s="149"/>
      <c r="Q746" s="149"/>
      <c r="R746" s="149"/>
      <c r="S746" s="149"/>
      <c r="T746" s="149"/>
      <c r="U746" s="149"/>
      <c r="V746" s="149"/>
      <c r="W746" s="149"/>
      <c r="X746" s="149"/>
      <c r="Y746" s="149"/>
      <c r="Z746" s="149"/>
      <c r="AA746" s="149"/>
      <c r="AB746" s="149"/>
      <c r="AC746" s="149"/>
      <c r="AD746" s="148"/>
      <c r="AE746" s="148"/>
      <c r="AF746" s="148"/>
      <c r="DB746" s="149"/>
    </row>
    <row r="747" spans="2:106">
      <c r="B747" s="149"/>
      <c r="C747" s="149"/>
      <c r="D747" s="149"/>
      <c r="E747" s="149"/>
      <c r="F747" s="149"/>
      <c r="G747" s="149"/>
      <c r="H747" s="149"/>
      <c r="I747" s="149"/>
      <c r="J747" s="149"/>
      <c r="K747" s="149"/>
      <c r="L747" s="149"/>
      <c r="M747" s="149"/>
      <c r="N747" s="149"/>
      <c r="O747" s="149"/>
      <c r="P747" s="149"/>
      <c r="Q747" s="149"/>
      <c r="R747" s="149"/>
      <c r="S747" s="149"/>
      <c r="T747" s="149"/>
      <c r="U747" s="149"/>
      <c r="V747" s="149"/>
      <c r="W747" s="149"/>
      <c r="X747" s="149"/>
      <c r="Y747" s="149"/>
      <c r="Z747" s="149"/>
      <c r="AA747" s="149"/>
      <c r="AB747" s="149"/>
      <c r="AC747" s="149"/>
      <c r="AD747" s="148"/>
      <c r="AE747" s="148"/>
      <c r="AF747" s="148"/>
      <c r="DB747" s="149"/>
    </row>
    <row r="748" spans="2:106">
      <c r="B748" s="149"/>
      <c r="C748" s="149"/>
      <c r="D748" s="149"/>
      <c r="E748" s="149"/>
      <c r="F748" s="149"/>
      <c r="G748" s="149"/>
      <c r="H748" s="149"/>
      <c r="I748" s="149"/>
      <c r="J748" s="149"/>
      <c r="K748" s="149"/>
      <c r="L748" s="149"/>
      <c r="M748" s="149"/>
      <c r="N748" s="149"/>
      <c r="O748" s="149"/>
      <c r="P748" s="149"/>
      <c r="Q748" s="149"/>
      <c r="R748" s="149"/>
      <c r="S748" s="149"/>
      <c r="T748" s="149"/>
      <c r="U748" s="149"/>
      <c r="V748" s="149"/>
      <c r="W748" s="149"/>
      <c r="X748" s="149"/>
      <c r="Y748" s="149"/>
      <c r="Z748" s="149"/>
      <c r="AA748" s="149"/>
      <c r="AB748" s="149"/>
      <c r="AC748" s="149"/>
      <c r="AD748" s="148"/>
      <c r="AE748" s="148"/>
      <c r="AF748" s="148"/>
      <c r="DB748" s="149"/>
    </row>
    <row r="749" spans="2:106">
      <c r="B749" s="149"/>
      <c r="C749" s="149"/>
      <c r="D749" s="149"/>
      <c r="E749" s="149"/>
      <c r="F749" s="149"/>
      <c r="G749" s="149"/>
      <c r="H749" s="149"/>
      <c r="I749" s="149"/>
      <c r="J749" s="149"/>
      <c r="K749" s="149"/>
      <c r="L749" s="149"/>
      <c r="M749" s="149"/>
      <c r="N749" s="149"/>
      <c r="O749" s="149"/>
      <c r="P749" s="149"/>
      <c r="Q749" s="149"/>
      <c r="R749" s="149"/>
      <c r="S749" s="149"/>
      <c r="T749" s="149"/>
      <c r="U749" s="149"/>
      <c r="V749" s="149"/>
      <c r="W749" s="149"/>
      <c r="X749" s="149"/>
      <c r="Y749" s="149"/>
      <c r="Z749" s="149"/>
      <c r="AA749" s="149"/>
      <c r="AB749" s="149"/>
      <c r="AC749" s="149"/>
      <c r="AD749" s="148"/>
      <c r="AE749" s="148"/>
      <c r="AF749" s="148"/>
      <c r="DB749" s="149"/>
    </row>
    <row r="750" spans="2:106">
      <c r="B750" s="149"/>
      <c r="C750" s="149"/>
      <c r="D750" s="149"/>
      <c r="E750" s="149"/>
      <c r="F750" s="149"/>
      <c r="G750" s="149"/>
      <c r="H750" s="149"/>
      <c r="I750" s="149"/>
      <c r="J750" s="149"/>
      <c r="K750" s="149"/>
      <c r="L750" s="149"/>
      <c r="M750" s="149"/>
      <c r="N750" s="149"/>
      <c r="O750" s="149"/>
      <c r="P750" s="149"/>
      <c r="Q750" s="149"/>
      <c r="R750" s="149"/>
      <c r="S750" s="149"/>
      <c r="T750" s="149"/>
      <c r="U750" s="149"/>
      <c r="V750" s="149"/>
      <c r="W750" s="149"/>
      <c r="X750" s="149"/>
      <c r="Y750" s="149"/>
      <c r="Z750" s="149"/>
      <c r="AA750" s="149"/>
      <c r="AB750" s="149"/>
      <c r="AC750" s="149"/>
      <c r="AD750" s="148"/>
      <c r="AE750" s="148"/>
      <c r="AF750" s="148"/>
      <c r="DB750" s="149"/>
    </row>
    <row r="751" spans="2:106">
      <c r="B751" s="149"/>
      <c r="C751" s="149"/>
      <c r="D751" s="149"/>
      <c r="E751" s="149"/>
      <c r="F751" s="149"/>
      <c r="G751" s="149"/>
      <c r="H751" s="149"/>
      <c r="I751" s="149"/>
      <c r="J751" s="149"/>
      <c r="K751" s="149"/>
      <c r="L751" s="149"/>
      <c r="M751" s="149"/>
      <c r="N751" s="149"/>
      <c r="O751" s="149"/>
      <c r="P751" s="149"/>
      <c r="Q751" s="149"/>
      <c r="R751" s="149"/>
      <c r="S751" s="149"/>
      <c r="T751" s="149"/>
      <c r="U751" s="149"/>
      <c r="V751" s="149"/>
      <c r="W751" s="149"/>
      <c r="X751" s="149"/>
      <c r="Y751" s="149"/>
      <c r="Z751" s="149"/>
      <c r="AA751" s="149"/>
      <c r="AB751" s="149"/>
      <c r="AC751" s="149"/>
      <c r="AD751" s="148"/>
      <c r="AE751" s="148"/>
      <c r="AF751" s="148"/>
      <c r="DB751" s="149"/>
    </row>
    <row r="752" spans="2:106">
      <c r="B752" s="149"/>
      <c r="C752" s="149"/>
      <c r="D752" s="149"/>
      <c r="E752" s="149"/>
      <c r="F752" s="149"/>
      <c r="G752" s="149"/>
      <c r="H752" s="149"/>
      <c r="I752" s="149"/>
      <c r="J752" s="149"/>
      <c r="K752" s="149"/>
      <c r="L752" s="149"/>
      <c r="M752" s="149"/>
      <c r="N752" s="149"/>
      <c r="O752" s="149"/>
      <c r="P752" s="149"/>
      <c r="Q752" s="149"/>
      <c r="R752" s="149"/>
      <c r="S752" s="149"/>
      <c r="T752" s="149"/>
      <c r="U752" s="149"/>
      <c r="V752" s="149"/>
      <c r="W752" s="149"/>
      <c r="X752" s="149"/>
      <c r="Y752" s="149"/>
      <c r="Z752" s="149"/>
      <c r="AA752" s="149"/>
      <c r="AB752" s="149"/>
      <c r="AC752" s="149"/>
      <c r="AD752" s="148"/>
      <c r="AE752" s="148"/>
      <c r="AF752" s="148"/>
      <c r="DB752" s="149"/>
    </row>
    <row r="753" spans="2:106">
      <c r="B753" s="149"/>
      <c r="C753" s="149"/>
      <c r="D753" s="149"/>
      <c r="E753" s="149"/>
      <c r="F753" s="149"/>
      <c r="G753" s="149"/>
      <c r="H753" s="149"/>
      <c r="I753" s="149"/>
      <c r="J753" s="149"/>
      <c r="K753" s="149"/>
      <c r="L753" s="149"/>
      <c r="M753" s="149"/>
      <c r="N753" s="149"/>
      <c r="O753" s="149"/>
      <c r="P753" s="149"/>
      <c r="Q753" s="149"/>
      <c r="R753" s="149"/>
      <c r="S753" s="149"/>
      <c r="T753" s="149"/>
      <c r="U753" s="149"/>
      <c r="V753" s="149"/>
      <c r="W753" s="149"/>
      <c r="X753" s="149"/>
      <c r="Y753" s="149"/>
      <c r="Z753" s="149"/>
      <c r="AA753" s="149"/>
      <c r="AB753" s="149"/>
      <c r="AC753" s="149"/>
      <c r="AD753" s="148"/>
      <c r="AE753" s="148"/>
      <c r="AF753" s="148"/>
      <c r="DB753" s="149"/>
    </row>
    <row r="754" spans="2:106">
      <c r="B754" s="149"/>
      <c r="C754" s="149"/>
      <c r="D754" s="149"/>
      <c r="E754" s="149"/>
      <c r="F754" s="149"/>
      <c r="G754" s="149"/>
      <c r="H754" s="149"/>
      <c r="I754" s="149"/>
      <c r="J754" s="149"/>
      <c r="K754" s="149"/>
      <c r="L754" s="149"/>
      <c r="M754" s="149"/>
      <c r="N754" s="149"/>
      <c r="O754" s="149"/>
      <c r="P754" s="149"/>
      <c r="Q754" s="149"/>
      <c r="R754" s="149"/>
      <c r="S754" s="149"/>
      <c r="T754" s="149"/>
      <c r="U754" s="149"/>
      <c r="V754" s="149"/>
      <c r="W754" s="149"/>
      <c r="X754" s="149"/>
      <c r="Y754" s="149"/>
      <c r="Z754" s="149"/>
      <c r="AA754" s="149"/>
      <c r="AB754" s="149"/>
      <c r="AC754" s="149"/>
      <c r="AD754" s="148"/>
      <c r="AE754" s="148"/>
      <c r="AF754" s="148"/>
      <c r="DB754" s="149"/>
    </row>
    <row r="755" spans="2:106">
      <c r="B755" s="149"/>
      <c r="C755" s="149"/>
      <c r="D755" s="149"/>
      <c r="E755" s="149"/>
      <c r="F755" s="149"/>
      <c r="G755" s="149"/>
      <c r="H755" s="149"/>
      <c r="I755" s="149"/>
      <c r="J755" s="149"/>
      <c r="K755" s="149"/>
      <c r="L755" s="149"/>
      <c r="M755" s="149"/>
      <c r="N755" s="149"/>
      <c r="O755" s="149"/>
      <c r="P755" s="149"/>
      <c r="Q755" s="149"/>
      <c r="R755" s="149"/>
      <c r="S755" s="149"/>
      <c r="T755" s="149"/>
      <c r="U755" s="149"/>
      <c r="V755" s="149"/>
      <c r="W755" s="149"/>
      <c r="X755" s="149"/>
      <c r="Y755" s="149"/>
      <c r="Z755" s="149"/>
      <c r="AA755" s="149"/>
      <c r="AB755" s="149"/>
      <c r="AC755" s="149"/>
      <c r="AD755" s="148"/>
      <c r="AE755" s="148"/>
      <c r="AF755" s="148"/>
      <c r="DB755" s="149"/>
    </row>
    <row r="756" spans="2:106">
      <c r="B756" s="149"/>
      <c r="C756" s="149"/>
      <c r="D756" s="149"/>
      <c r="E756" s="149"/>
      <c r="F756" s="149"/>
      <c r="G756" s="149"/>
      <c r="H756" s="149"/>
      <c r="I756" s="149"/>
      <c r="J756" s="149"/>
      <c r="K756" s="149"/>
      <c r="L756" s="149"/>
      <c r="M756" s="149"/>
      <c r="N756" s="149"/>
      <c r="O756" s="149"/>
      <c r="P756" s="149"/>
      <c r="Q756" s="149"/>
      <c r="R756" s="149"/>
      <c r="S756" s="149"/>
      <c r="T756" s="149"/>
      <c r="U756" s="149"/>
      <c r="V756" s="149"/>
      <c r="W756" s="149"/>
      <c r="X756" s="149"/>
      <c r="Y756" s="149"/>
      <c r="Z756" s="149"/>
      <c r="AA756" s="149"/>
      <c r="AB756" s="149"/>
      <c r="AC756" s="149"/>
      <c r="AD756" s="148"/>
      <c r="AE756" s="148"/>
      <c r="AF756" s="148"/>
      <c r="DB756" s="149"/>
    </row>
    <row r="757" spans="2:106">
      <c r="B757" s="149"/>
      <c r="C757" s="149"/>
      <c r="D757" s="149"/>
      <c r="E757" s="149"/>
      <c r="F757" s="149"/>
      <c r="G757" s="149"/>
      <c r="H757" s="149"/>
      <c r="I757" s="149"/>
      <c r="J757" s="149"/>
      <c r="K757" s="149"/>
      <c r="L757" s="149"/>
      <c r="M757" s="149"/>
      <c r="N757" s="149"/>
      <c r="O757" s="149"/>
      <c r="P757" s="149"/>
      <c r="Q757" s="149"/>
      <c r="R757" s="149"/>
      <c r="S757" s="149"/>
      <c r="T757" s="149"/>
      <c r="U757" s="149"/>
      <c r="V757" s="149"/>
      <c r="W757" s="149"/>
      <c r="X757" s="149"/>
      <c r="Y757" s="149"/>
      <c r="Z757" s="149"/>
      <c r="AA757" s="149"/>
      <c r="AB757" s="149"/>
      <c r="AC757" s="149"/>
      <c r="AD757" s="148"/>
      <c r="AE757" s="148"/>
      <c r="AF757" s="148"/>
      <c r="DB757" s="149"/>
    </row>
    <row r="758" spans="2:106">
      <c r="B758" s="149"/>
      <c r="C758" s="149"/>
      <c r="D758" s="149"/>
      <c r="E758" s="149"/>
      <c r="F758" s="149"/>
      <c r="G758" s="149"/>
      <c r="H758" s="149"/>
      <c r="I758" s="149"/>
      <c r="J758" s="149"/>
      <c r="K758" s="149"/>
      <c r="L758" s="149"/>
      <c r="M758" s="149"/>
      <c r="N758" s="149"/>
      <c r="O758" s="149"/>
      <c r="P758" s="149"/>
      <c r="Q758" s="149"/>
      <c r="R758" s="149"/>
      <c r="S758" s="149"/>
      <c r="T758" s="149"/>
      <c r="U758" s="149"/>
      <c r="V758" s="149"/>
      <c r="W758" s="149"/>
      <c r="X758" s="149"/>
      <c r="Y758" s="149"/>
      <c r="Z758" s="149"/>
      <c r="AA758" s="149"/>
      <c r="AB758" s="149"/>
      <c r="AC758" s="149"/>
      <c r="AD758" s="148"/>
      <c r="AE758" s="148"/>
      <c r="AF758" s="148"/>
      <c r="DB758" s="149"/>
    </row>
    <row r="759" spans="2:106">
      <c r="B759" s="149"/>
      <c r="C759" s="149"/>
      <c r="D759" s="149"/>
      <c r="E759" s="149"/>
      <c r="F759" s="149"/>
      <c r="G759" s="149"/>
      <c r="H759" s="149"/>
      <c r="I759" s="149"/>
      <c r="J759" s="149"/>
      <c r="K759" s="149"/>
      <c r="L759" s="149"/>
      <c r="M759" s="149"/>
      <c r="N759" s="149"/>
      <c r="O759" s="149"/>
      <c r="P759" s="149"/>
      <c r="Q759" s="149"/>
      <c r="R759" s="149"/>
      <c r="S759" s="149"/>
      <c r="T759" s="149"/>
      <c r="U759" s="149"/>
      <c r="V759" s="149"/>
      <c r="W759" s="149"/>
      <c r="X759" s="149"/>
      <c r="Y759" s="149"/>
      <c r="Z759" s="149"/>
      <c r="AA759" s="149"/>
      <c r="AB759" s="149"/>
      <c r="AC759" s="149"/>
      <c r="AD759" s="148"/>
      <c r="AE759" s="148"/>
      <c r="AF759" s="148"/>
      <c r="DB759" s="149"/>
    </row>
    <row r="760" spans="2:106">
      <c r="B760" s="149"/>
      <c r="C760" s="149"/>
      <c r="D760" s="149"/>
      <c r="E760" s="149"/>
      <c r="F760" s="149"/>
      <c r="G760" s="149"/>
      <c r="H760" s="149"/>
      <c r="I760" s="149"/>
      <c r="J760" s="149"/>
      <c r="K760" s="149"/>
      <c r="L760" s="149"/>
      <c r="M760" s="149"/>
      <c r="N760" s="149"/>
      <c r="O760" s="149"/>
      <c r="P760" s="149"/>
      <c r="Q760" s="149"/>
      <c r="R760" s="149"/>
      <c r="S760" s="149"/>
      <c r="T760" s="149"/>
      <c r="U760" s="149"/>
      <c r="V760" s="149"/>
      <c r="W760" s="149"/>
      <c r="X760" s="149"/>
      <c r="Y760" s="149"/>
      <c r="Z760" s="149"/>
      <c r="AA760" s="149"/>
      <c r="AB760" s="149"/>
      <c r="AC760" s="149"/>
      <c r="AD760" s="148"/>
      <c r="AE760" s="148"/>
      <c r="AF760" s="148"/>
      <c r="DB760" s="149"/>
    </row>
    <row r="761" spans="2:106">
      <c r="B761" s="149"/>
      <c r="C761" s="149"/>
      <c r="D761" s="149"/>
      <c r="E761" s="149"/>
      <c r="F761" s="149"/>
      <c r="G761" s="149"/>
      <c r="H761" s="149"/>
      <c r="I761" s="149"/>
      <c r="J761" s="149"/>
      <c r="K761" s="149"/>
      <c r="L761" s="149"/>
      <c r="M761" s="149"/>
      <c r="N761" s="149"/>
      <c r="O761" s="149"/>
      <c r="P761" s="149"/>
      <c r="Q761" s="149"/>
      <c r="R761" s="149"/>
      <c r="S761" s="149"/>
      <c r="T761" s="149"/>
      <c r="U761" s="149"/>
      <c r="V761" s="149"/>
      <c r="W761" s="149"/>
      <c r="X761" s="149"/>
      <c r="Y761" s="149"/>
      <c r="Z761" s="149"/>
      <c r="AA761" s="149"/>
      <c r="AB761" s="149"/>
      <c r="AC761" s="149"/>
      <c r="AD761" s="148"/>
      <c r="AE761" s="148"/>
      <c r="AF761" s="148"/>
      <c r="DB761" s="149"/>
    </row>
    <row r="762" spans="2:106">
      <c r="B762" s="149"/>
      <c r="C762" s="149"/>
      <c r="D762" s="149"/>
      <c r="E762" s="149"/>
      <c r="F762" s="149"/>
      <c r="G762" s="149"/>
      <c r="H762" s="149"/>
      <c r="I762" s="149"/>
      <c r="J762" s="149"/>
      <c r="K762" s="149"/>
      <c r="L762" s="149"/>
      <c r="M762" s="149"/>
      <c r="N762" s="149"/>
      <c r="O762" s="149"/>
      <c r="P762" s="149"/>
      <c r="Q762" s="149"/>
      <c r="R762" s="149"/>
      <c r="S762" s="149"/>
      <c r="T762" s="149"/>
      <c r="U762" s="149"/>
      <c r="V762" s="149"/>
      <c r="W762" s="149"/>
      <c r="X762" s="149"/>
      <c r="Y762" s="149"/>
      <c r="Z762" s="149"/>
      <c r="AA762" s="149"/>
      <c r="AB762" s="149"/>
      <c r="AC762" s="149"/>
      <c r="AD762" s="148"/>
      <c r="AE762" s="148"/>
      <c r="AF762" s="148"/>
      <c r="DB762" s="149"/>
    </row>
    <row r="763" spans="2:106">
      <c r="B763" s="149"/>
      <c r="C763" s="149"/>
      <c r="D763" s="149"/>
      <c r="E763" s="149"/>
      <c r="F763" s="149"/>
      <c r="G763" s="149"/>
      <c r="H763" s="149"/>
      <c r="I763" s="149"/>
      <c r="J763" s="149"/>
      <c r="K763" s="149"/>
      <c r="L763" s="149"/>
      <c r="M763" s="149"/>
      <c r="N763" s="149"/>
      <c r="O763" s="149"/>
      <c r="P763" s="149"/>
      <c r="Q763" s="149"/>
      <c r="R763" s="149"/>
      <c r="S763" s="149"/>
      <c r="T763" s="149"/>
      <c r="U763" s="149"/>
      <c r="V763" s="149"/>
      <c r="W763" s="149"/>
      <c r="X763" s="149"/>
      <c r="Y763" s="149"/>
      <c r="Z763" s="149"/>
      <c r="AA763" s="149"/>
      <c r="AB763" s="149"/>
      <c r="AC763" s="149"/>
      <c r="AD763" s="148"/>
      <c r="AE763" s="148"/>
      <c r="AF763" s="148"/>
      <c r="DB763" s="149"/>
    </row>
    <row r="764" spans="2:106">
      <c r="B764" s="149"/>
      <c r="C764" s="149"/>
      <c r="D764" s="149"/>
      <c r="E764" s="149"/>
      <c r="F764" s="149"/>
      <c r="G764" s="149"/>
      <c r="H764" s="149"/>
      <c r="I764" s="149"/>
      <c r="J764" s="149"/>
      <c r="K764" s="149"/>
      <c r="L764" s="149"/>
      <c r="M764" s="149"/>
      <c r="N764" s="149"/>
      <c r="O764" s="149"/>
      <c r="P764" s="149"/>
      <c r="Q764" s="149"/>
      <c r="R764" s="149"/>
      <c r="S764" s="149"/>
      <c r="T764" s="149"/>
      <c r="U764" s="149"/>
      <c r="V764" s="149"/>
      <c r="W764" s="149"/>
      <c r="X764" s="149"/>
      <c r="Y764" s="149"/>
      <c r="Z764" s="149"/>
      <c r="AA764" s="149"/>
      <c r="AB764" s="149"/>
      <c r="AC764" s="149"/>
      <c r="AD764" s="148"/>
      <c r="AE764" s="148"/>
      <c r="AF764" s="148"/>
      <c r="DB764" s="149"/>
    </row>
    <row r="765" spans="2:106">
      <c r="B765" s="149"/>
      <c r="C765" s="149"/>
      <c r="D765" s="149"/>
      <c r="E765" s="149"/>
      <c r="F765" s="149"/>
      <c r="G765" s="149"/>
      <c r="H765" s="149"/>
      <c r="I765" s="149"/>
      <c r="J765" s="149"/>
      <c r="K765" s="149"/>
      <c r="L765" s="149"/>
      <c r="M765" s="149"/>
      <c r="N765" s="149"/>
      <c r="O765" s="149"/>
      <c r="P765" s="149"/>
      <c r="Q765" s="149"/>
      <c r="R765" s="149"/>
      <c r="S765" s="149"/>
      <c r="T765" s="149"/>
      <c r="U765" s="149"/>
      <c r="V765" s="149"/>
      <c r="W765" s="149"/>
      <c r="X765" s="149"/>
      <c r="Y765" s="149"/>
      <c r="Z765" s="149"/>
      <c r="AA765" s="149"/>
      <c r="AB765" s="149"/>
      <c r="AC765" s="149"/>
      <c r="AD765" s="148"/>
      <c r="AE765" s="148"/>
      <c r="AF765" s="148"/>
      <c r="DB765" s="149"/>
    </row>
    <row r="766" spans="2:106">
      <c r="B766" s="149"/>
      <c r="C766" s="149"/>
      <c r="D766" s="149"/>
      <c r="E766" s="149"/>
      <c r="F766" s="149"/>
      <c r="G766" s="149"/>
      <c r="H766" s="149"/>
      <c r="I766" s="149"/>
      <c r="J766" s="149"/>
      <c r="K766" s="149"/>
      <c r="L766" s="149"/>
      <c r="M766" s="149"/>
      <c r="N766" s="149"/>
      <c r="O766" s="149"/>
      <c r="P766" s="149"/>
      <c r="Q766" s="149"/>
      <c r="R766" s="149"/>
      <c r="S766" s="149"/>
      <c r="T766" s="149"/>
      <c r="U766" s="149"/>
      <c r="V766" s="149"/>
      <c r="W766" s="149"/>
      <c r="X766" s="149"/>
      <c r="Y766" s="149"/>
      <c r="Z766" s="149"/>
      <c r="AA766" s="149"/>
      <c r="AB766" s="149"/>
      <c r="AC766" s="149"/>
      <c r="AD766" s="148"/>
      <c r="AE766" s="148"/>
      <c r="AF766" s="148"/>
      <c r="DB766" s="149"/>
    </row>
    <row r="767" spans="2:106">
      <c r="B767" s="149"/>
      <c r="C767" s="149"/>
      <c r="D767" s="149"/>
      <c r="E767" s="149"/>
      <c r="F767" s="149"/>
      <c r="G767" s="149"/>
      <c r="H767" s="149"/>
      <c r="I767" s="149"/>
      <c r="J767" s="149"/>
      <c r="K767" s="149"/>
      <c r="L767" s="149"/>
      <c r="M767" s="149"/>
      <c r="N767" s="149"/>
      <c r="O767" s="149"/>
      <c r="P767" s="149"/>
      <c r="Q767" s="149"/>
      <c r="R767" s="149"/>
      <c r="S767" s="149"/>
      <c r="T767" s="149"/>
      <c r="U767" s="149"/>
      <c r="V767" s="149"/>
      <c r="W767" s="149"/>
      <c r="X767" s="149"/>
      <c r="Y767" s="149"/>
      <c r="Z767" s="149"/>
      <c r="AA767" s="149"/>
      <c r="AB767" s="149"/>
      <c r="AC767" s="149"/>
      <c r="AD767" s="148"/>
      <c r="AE767" s="148"/>
      <c r="AF767" s="148"/>
      <c r="DB767" s="149"/>
    </row>
    <row r="768" spans="2:106">
      <c r="B768" s="149"/>
      <c r="C768" s="149"/>
      <c r="D768" s="149"/>
      <c r="E768" s="149"/>
      <c r="F768" s="149"/>
      <c r="G768" s="149"/>
      <c r="H768" s="149"/>
      <c r="I768" s="149"/>
      <c r="J768" s="149"/>
      <c r="K768" s="149"/>
      <c r="L768" s="149"/>
      <c r="M768" s="149"/>
      <c r="N768" s="149"/>
      <c r="O768" s="149"/>
      <c r="P768" s="149"/>
      <c r="Q768" s="149"/>
      <c r="R768" s="149"/>
      <c r="S768" s="149"/>
      <c r="T768" s="149"/>
      <c r="U768" s="149"/>
      <c r="V768" s="149"/>
      <c r="W768" s="149"/>
      <c r="X768" s="149"/>
      <c r="Y768" s="149"/>
      <c r="Z768" s="149"/>
      <c r="AA768" s="149"/>
      <c r="AB768" s="149"/>
      <c r="AC768" s="149"/>
      <c r="AD768" s="148"/>
      <c r="AE768" s="148"/>
      <c r="AF768" s="148"/>
      <c r="DB768" s="149"/>
    </row>
    <row r="769" spans="2:106">
      <c r="B769" s="149"/>
      <c r="C769" s="149"/>
      <c r="D769" s="149"/>
      <c r="E769" s="149"/>
      <c r="F769" s="149"/>
      <c r="G769" s="149"/>
      <c r="H769" s="149"/>
      <c r="I769" s="149"/>
      <c r="J769" s="149"/>
      <c r="K769" s="149"/>
      <c r="L769" s="149"/>
      <c r="M769" s="149"/>
      <c r="N769" s="149"/>
      <c r="O769" s="149"/>
      <c r="P769" s="149"/>
      <c r="Q769" s="149"/>
      <c r="R769" s="149"/>
      <c r="S769" s="149"/>
      <c r="T769" s="149"/>
      <c r="U769" s="149"/>
      <c r="V769" s="149"/>
      <c r="W769" s="149"/>
      <c r="X769" s="149"/>
      <c r="Y769" s="149"/>
      <c r="Z769" s="149"/>
      <c r="AA769" s="149"/>
      <c r="AB769" s="149"/>
      <c r="AC769" s="149"/>
      <c r="AD769" s="148"/>
      <c r="AE769" s="148"/>
      <c r="AF769" s="148"/>
      <c r="DB769" s="149"/>
    </row>
    <row r="770" spans="2:106">
      <c r="B770" s="149"/>
      <c r="C770" s="149"/>
      <c r="D770" s="149"/>
      <c r="E770" s="149"/>
      <c r="F770" s="149"/>
      <c r="G770" s="149"/>
      <c r="H770" s="149"/>
      <c r="I770" s="149"/>
      <c r="J770" s="149"/>
      <c r="K770" s="149"/>
      <c r="L770" s="149"/>
      <c r="M770" s="149"/>
      <c r="N770" s="149"/>
      <c r="O770" s="149"/>
      <c r="P770" s="149"/>
      <c r="Q770" s="149"/>
      <c r="R770" s="149"/>
      <c r="S770" s="149"/>
      <c r="T770" s="149"/>
      <c r="U770" s="149"/>
      <c r="V770" s="149"/>
      <c r="W770" s="149"/>
      <c r="X770" s="149"/>
      <c r="Y770" s="149"/>
      <c r="Z770" s="149"/>
      <c r="AA770" s="149"/>
      <c r="AB770" s="149"/>
      <c r="AC770" s="149"/>
      <c r="AD770" s="148"/>
      <c r="AE770" s="148"/>
      <c r="AF770" s="148"/>
      <c r="DB770" s="149"/>
    </row>
    <row r="771" spans="2:106">
      <c r="B771" s="149"/>
      <c r="C771" s="149"/>
      <c r="D771" s="149"/>
      <c r="E771" s="149"/>
      <c r="F771" s="149"/>
      <c r="G771" s="149"/>
      <c r="H771" s="149"/>
      <c r="I771" s="149"/>
      <c r="J771" s="149"/>
      <c r="K771" s="149"/>
      <c r="L771" s="149"/>
      <c r="M771" s="149"/>
      <c r="N771" s="149"/>
      <c r="O771" s="149"/>
      <c r="P771" s="149"/>
      <c r="Q771" s="149"/>
      <c r="R771" s="149"/>
      <c r="S771" s="149"/>
      <c r="T771" s="149"/>
      <c r="U771" s="149"/>
      <c r="V771" s="149"/>
      <c r="W771" s="149"/>
      <c r="X771" s="149"/>
      <c r="Y771" s="149"/>
      <c r="Z771" s="149"/>
      <c r="AA771" s="149"/>
      <c r="AB771" s="149"/>
      <c r="AC771" s="149"/>
      <c r="AD771" s="148"/>
      <c r="AE771" s="148"/>
      <c r="AF771" s="148"/>
      <c r="DB771" s="149"/>
    </row>
    <row r="772" spans="2:106">
      <c r="B772" s="149"/>
      <c r="C772" s="149"/>
      <c r="D772" s="149"/>
      <c r="E772" s="149"/>
      <c r="F772" s="149"/>
      <c r="G772" s="149"/>
      <c r="H772" s="149"/>
      <c r="I772" s="149"/>
      <c r="J772" s="149"/>
      <c r="K772" s="149"/>
      <c r="L772" s="149"/>
      <c r="M772" s="149"/>
      <c r="N772" s="149"/>
      <c r="O772" s="149"/>
      <c r="P772" s="149"/>
      <c r="Q772" s="149"/>
      <c r="R772" s="149"/>
      <c r="S772" s="149"/>
      <c r="T772" s="149"/>
      <c r="U772" s="149"/>
      <c r="V772" s="149"/>
      <c r="W772" s="149"/>
      <c r="X772" s="149"/>
      <c r="Y772" s="149"/>
      <c r="Z772" s="149"/>
      <c r="AA772" s="149"/>
      <c r="AB772" s="149"/>
      <c r="AC772" s="149"/>
      <c r="AD772" s="148"/>
      <c r="AE772" s="148"/>
      <c r="AF772" s="148"/>
      <c r="DB772" s="149"/>
    </row>
    <row r="773" spans="2:106">
      <c r="B773" s="149"/>
      <c r="C773" s="149"/>
      <c r="D773" s="149"/>
      <c r="E773" s="149"/>
      <c r="F773" s="149"/>
      <c r="G773" s="149"/>
      <c r="H773" s="149"/>
      <c r="I773" s="149"/>
      <c r="J773" s="149"/>
      <c r="K773" s="149"/>
      <c r="L773" s="149"/>
      <c r="M773" s="149"/>
      <c r="N773" s="149"/>
      <c r="O773" s="149"/>
      <c r="P773" s="149"/>
      <c r="Q773" s="149"/>
      <c r="R773" s="149"/>
      <c r="S773" s="149"/>
      <c r="T773" s="149"/>
      <c r="U773" s="149"/>
      <c r="V773" s="149"/>
      <c r="W773" s="149"/>
      <c r="X773" s="149"/>
      <c r="Y773" s="149"/>
      <c r="Z773" s="149"/>
      <c r="AA773" s="149"/>
      <c r="AB773" s="149"/>
      <c r="AC773" s="149"/>
      <c r="AD773" s="148"/>
      <c r="AE773" s="148"/>
      <c r="AF773" s="148"/>
      <c r="DB773" s="149"/>
    </row>
    <row r="774" spans="2:106">
      <c r="B774" s="149"/>
      <c r="C774" s="149"/>
      <c r="D774" s="149"/>
      <c r="E774" s="149"/>
      <c r="F774" s="149"/>
      <c r="G774" s="149"/>
      <c r="H774" s="149"/>
      <c r="I774" s="149"/>
      <c r="J774" s="149"/>
      <c r="K774" s="149"/>
      <c r="L774" s="149"/>
      <c r="M774" s="149"/>
      <c r="N774" s="149"/>
      <c r="O774" s="149"/>
      <c r="P774" s="149"/>
      <c r="Q774" s="149"/>
      <c r="R774" s="149"/>
      <c r="S774" s="149"/>
      <c r="T774" s="149"/>
      <c r="U774" s="149"/>
      <c r="V774" s="149"/>
      <c r="W774" s="149"/>
      <c r="X774" s="149"/>
      <c r="Y774" s="149"/>
      <c r="Z774" s="149"/>
      <c r="AA774" s="149"/>
      <c r="AB774" s="149"/>
      <c r="AC774" s="149"/>
      <c r="AD774" s="148"/>
      <c r="AE774" s="148"/>
      <c r="AF774" s="148"/>
      <c r="DB774" s="149"/>
    </row>
    <row r="775" spans="2:106">
      <c r="B775" s="149"/>
      <c r="C775" s="149"/>
      <c r="D775" s="149"/>
      <c r="E775" s="149"/>
      <c r="F775" s="149"/>
      <c r="G775" s="149"/>
      <c r="H775" s="149"/>
      <c r="I775" s="149"/>
      <c r="J775" s="149"/>
      <c r="K775" s="149"/>
      <c r="L775" s="149"/>
      <c r="M775" s="149"/>
      <c r="N775" s="149"/>
      <c r="O775" s="149"/>
      <c r="P775" s="149"/>
      <c r="Q775" s="149"/>
      <c r="R775" s="149"/>
      <c r="S775" s="149"/>
      <c r="T775" s="149"/>
      <c r="U775" s="149"/>
      <c r="V775" s="149"/>
      <c r="W775" s="149"/>
      <c r="X775" s="149"/>
      <c r="Y775" s="149"/>
      <c r="Z775" s="149"/>
      <c r="AA775" s="149"/>
      <c r="AB775" s="149"/>
      <c r="AC775" s="149"/>
      <c r="AD775" s="148"/>
      <c r="AE775" s="148"/>
      <c r="AF775" s="148"/>
      <c r="DB775" s="149"/>
    </row>
    <row r="776" spans="2:106">
      <c r="B776" s="149"/>
      <c r="C776" s="149"/>
      <c r="D776" s="149"/>
      <c r="E776" s="149"/>
      <c r="F776" s="149"/>
      <c r="G776" s="149"/>
      <c r="H776" s="149"/>
      <c r="I776" s="149"/>
      <c r="J776" s="149"/>
      <c r="K776" s="149"/>
      <c r="L776" s="149"/>
      <c r="M776" s="149"/>
      <c r="N776" s="149"/>
      <c r="O776" s="149"/>
      <c r="P776" s="149"/>
      <c r="Q776" s="149"/>
      <c r="R776" s="149"/>
      <c r="S776" s="149"/>
      <c r="T776" s="149"/>
      <c r="U776" s="149"/>
      <c r="V776" s="149"/>
      <c r="W776" s="149"/>
      <c r="X776" s="149"/>
      <c r="Y776" s="149"/>
      <c r="Z776" s="149"/>
      <c r="AA776" s="149"/>
      <c r="AB776" s="149"/>
      <c r="AC776" s="149"/>
      <c r="AD776" s="148"/>
      <c r="AE776" s="148"/>
      <c r="AF776" s="148"/>
      <c r="DB776" s="149"/>
    </row>
    <row r="777" spans="2:106">
      <c r="B777" s="149"/>
      <c r="C777" s="149"/>
      <c r="D777" s="149"/>
      <c r="E777" s="149"/>
      <c r="F777" s="149"/>
      <c r="G777" s="149"/>
      <c r="H777" s="149"/>
      <c r="I777" s="149"/>
      <c r="J777" s="149"/>
      <c r="K777" s="149"/>
      <c r="L777" s="149"/>
      <c r="M777" s="149"/>
      <c r="N777" s="149"/>
      <c r="O777" s="149"/>
      <c r="P777" s="149"/>
      <c r="Q777" s="149"/>
      <c r="R777" s="149"/>
      <c r="S777" s="149"/>
      <c r="T777" s="149"/>
      <c r="U777" s="149"/>
      <c r="V777" s="149"/>
      <c r="W777" s="149"/>
      <c r="X777" s="149"/>
      <c r="Y777" s="149"/>
      <c r="Z777" s="149"/>
      <c r="AA777" s="149"/>
      <c r="AB777" s="149"/>
      <c r="AC777" s="149"/>
      <c r="AD777" s="148"/>
      <c r="AE777" s="148"/>
      <c r="AF777" s="148"/>
      <c r="DB777" s="149"/>
    </row>
    <row r="778" spans="2:106">
      <c r="B778" s="149"/>
      <c r="C778" s="149"/>
      <c r="D778" s="149"/>
      <c r="E778" s="149"/>
      <c r="F778" s="149"/>
      <c r="G778" s="149"/>
      <c r="H778" s="149"/>
      <c r="I778" s="149"/>
      <c r="J778" s="149"/>
      <c r="K778" s="149"/>
      <c r="L778" s="149"/>
      <c r="M778" s="149"/>
      <c r="N778" s="149"/>
      <c r="O778" s="149"/>
      <c r="P778" s="149"/>
      <c r="Q778" s="149"/>
      <c r="R778" s="149"/>
      <c r="S778" s="149"/>
      <c r="T778" s="149"/>
      <c r="U778" s="149"/>
      <c r="V778" s="149"/>
      <c r="W778" s="149"/>
      <c r="X778" s="149"/>
      <c r="Y778" s="149"/>
      <c r="Z778" s="149"/>
      <c r="AA778" s="149"/>
      <c r="AB778" s="149"/>
      <c r="AC778" s="149"/>
      <c r="AD778" s="148"/>
      <c r="AE778" s="148"/>
      <c r="AF778" s="148"/>
      <c r="DB778" s="149"/>
    </row>
    <row r="779" spans="2:106">
      <c r="B779" s="149"/>
      <c r="C779" s="149"/>
      <c r="D779" s="149"/>
      <c r="E779" s="149"/>
      <c r="F779" s="149"/>
      <c r="G779" s="149"/>
      <c r="H779" s="149"/>
      <c r="I779" s="149"/>
      <c r="J779" s="149"/>
      <c r="K779" s="149"/>
      <c r="L779" s="149"/>
      <c r="M779" s="149"/>
      <c r="N779" s="149"/>
      <c r="O779" s="149"/>
      <c r="P779" s="149"/>
      <c r="Q779" s="149"/>
      <c r="R779" s="149"/>
      <c r="S779" s="149"/>
      <c r="T779" s="149"/>
      <c r="U779" s="149"/>
      <c r="V779" s="149"/>
      <c r="W779" s="149"/>
      <c r="X779" s="149"/>
      <c r="Y779" s="149"/>
      <c r="Z779" s="149"/>
      <c r="AA779" s="149"/>
      <c r="AB779" s="149"/>
      <c r="AC779" s="149"/>
      <c r="AD779" s="148"/>
      <c r="AE779" s="148"/>
      <c r="AF779" s="148"/>
      <c r="DB779" s="149"/>
    </row>
    <row r="780" spans="2:106">
      <c r="B780" s="149"/>
      <c r="C780" s="149"/>
      <c r="D780" s="149"/>
      <c r="E780" s="149"/>
      <c r="F780" s="149"/>
      <c r="G780" s="149"/>
      <c r="H780" s="149"/>
      <c r="I780" s="149"/>
      <c r="J780" s="149"/>
      <c r="K780" s="149"/>
      <c r="L780" s="149"/>
      <c r="M780" s="149"/>
      <c r="N780" s="149"/>
      <c r="O780" s="149"/>
      <c r="P780" s="149"/>
      <c r="Q780" s="149"/>
      <c r="R780" s="149"/>
      <c r="S780" s="149"/>
      <c r="T780" s="149"/>
      <c r="U780" s="149"/>
      <c r="V780" s="149"/>
      <c r="W780" s="149"/>
      <c r="X780" s="149"/>
      <c r="Y780" s="149"/>
      <c r="Z780" s="149"/>
      <c r="AA780" s="149"/>
      <c r="AB780" s="149"/>
      <c r="AC780" s="149"/>
      <c r="AD780" s="148"/>
      <c r="AE780" s="148"/>
      <c r="AF780" s="148"/>
      <c r="DB780" s="149"/>
    </row>
    <row r="781" spans="2:106">
      <c r="B781" s="149"/>
      <c r="C781" s="149"/>
      <c r="D781" s="149"/>
      <c r="E781" s="149"/>
      <c r="F781" s="149"/>
      <c r="G781" s="149"/>
      <c r="H781" s="149"/>
      <c r="I781" s="149"/>
      <c r="J781" s="149"/>
      <c r="K781" s="149"/>
      <c r="L781" s="149"/>
      <c r="M781" s="149"/>
      <c r="N781" s="149"/>
      <c r="O781" s="149"/>
      <c r="P781" s="149"/>
      <c r="Q781" s="149"/>
      <c r="R781" s="149"/>
      <c r="S781" s="149"/>
      <c r="T781" s="149"/>
      <c r="U781" s="149"/>
      <c r="V781" s="149"/>
      <c r="W781" s="149"/>
      <c r="X781" s="149"/>
      <c r="Y781" s="149"/>
      <c r="Z781" s="149"/>
      <c r="AA781" s="149"/>
      <c r="AB781" s="149"/>
      <c r="AC781" s="149"/>
      <c r="AD781" s="148"/>
      <c r="AE781" s="148"/>
      <c r="AF781" s="148"/>
      <c r="DB781" s="149"/>
    </row>
    <row r="782" spans="2:106">
      <c r="B782" s="149"/>
      <c r="C782" s="149"/>
      <c r="D782" s="149"/>
      <c r="E782" s="149"/>
      <c r="F782" s="149"/>
      <c r="G782" s="149"/>
      <c r="H782" s="149"/>
      <c r="I782" s="149"/>
      <c r="J782" s="149"/>
      <c r="K782" s="149"/>
      <c r="L782" s="149"/>
      <c r="M782" s="149"/>
      <c r="N782" s="149"/>
      <c r="O782" s="149"/>
      <c r="P782" s="149"/>
      <c r="Q782" s="149"/>
      <c r="R782" s="149"/>
      <c r="S782" s="149"/>
      <c r="T782" s="149"/>
      <c r="U782" s="149"/>
      <c r="V782" s="149"/>
      <c r="W782" s="149"/>
      <c r="X782" s="149"/>
      <c r="Y782" s="149"/>
      <c r="Z782" s="149"/>
      <c r="AA782" s="149"/>
      <c r="AB782" s="149"/>
      <c r="AC782" s="149"/>
      <c r="AD782" s="148"/>
      <c r="AE782" s="148"/>
      <c r="AF782" s="148"/>
      <c r="DB782" s="149"/>
    </row>
    <row r="783" spans="2:106">
      <c r="B783" s="149"/>
      <c r="C783" s="149"/>
      <c r="D783" s="149"/>
      <c r="E783" s="149"/>
      <c r="F783" s="149"/>
      <c r="G783" s="149"/>
      <c r="H783" s="149"/>
      <c r="I783" s="149"/>
      <c r="J783" s="149"/>
      <c r="K783" s="149"/>
      <c r="L783" s="149"/>
      <c r="M783" s="149"/>
      <c r="N783" s="149"/>
      <c r="O783" s="149"/>
      <c r="P783" s="149"/>
      <c r="Q783" s="149"/>
      <c r="R783" s="149"/>
      <c r="S783" s="149"/>
      <c r="T783" s="149"/>
      <c r="U783" s="149"/>
      <c r="V783" s="149"/>
      <c r="W783" s="149"/>
      <c r="X783" s="149"/>
      <c r="Y783" s="149"/>
      <c r="Z783" s="149"/>
      <c r="AA783" s="149"/>
      <c r="AB783" s="149"/>
      <c r="AC783" s="149"/>
      <c r="AD783" s="148"/>
      <c r="AE783" s="148"/>
      <c r="AF783" s="148"/>
      <c r="DB783" s="149"/>
    </row>
    <row r="784" spans="2:106">
      <c r="B784" s="149"/>
      <c r="C784" s="149"/>
      <c r="D784" s="149"/>
      <c r="E784" s="149"/>
      <c r="F784" s="149"/>
      <c r="G784" s="149"/>
      <c r="H784" s="149"/>
      <c r="I784" s="149"/>
      <c r="J784" s="149"/>
      <c r="K784" s="149"/>
      <c r="L784" s="149"/>
      <c r="M784" s="149"/>
      <c r="N784" s="149"/>
      <c r="O784" s="149"/>
      <c r="P784" s="149"/>
      <c r="Q784" s="149"/>
      <c r="R784" s="149"/>
      <c r="S784" s="149"/>
      <c r="T784" s="149"/>
      <c r="U784" s="149"/>
      <c r="V784" s="149"/>
      <c r="W784" s="149"/>
      <c r="X784" s="149"/>
      <c r="Y784" s="149"/>
      <c r="Z784" s="149"/>
      <c r="AA784" s="149"/>
      <c r="AB784" s="149"/>
      <c r="AC784" s="149"/>
      <c r="AD784" s="148"/>
      <c r="AE784" s="148"/>
      <c r="AF784" s="148"/>
      <c r="DB784" s="149"/>
    </row>
    <row r="785" spans="2:106">
      <c r="B785" s="149"/>
      <c r="C785" s="149"/>
      <c r="D785" s="149"/>
      <c r="E785" s="149"/>
      <c r="F785" s="149"/>
      <c r="G785" s="149"/>
      <c r="H785" s="149"/>
      <c r="I785" s="149"/>
      <c r="J785" s="149"/>
      <c r="K785" s="149"/>
      <c r="L785" s="149"/>
      <c r="M785" s="149"/>
      <c r="N785" s="149"/>
      <c r="O785" s="149"/>
      <c r="P785" s="149"/>
      <c r="Q785" s="149"/>
      <c r="R785" s="149"/>
      <c r="S785" s="149"/>
      <c r="T785" s="149"/>
      <c r="U785" s="149"/>
      <c r="V785" s="149"/>
      <c r="W785" s="149"/>
      <c r="X785" s="149"/>
      <c r="Y785" s="149"/>
      <c r="Z785" s="149"/>
      <c r="AA785" s="149"/>
      <c r="AB785" s="149"/>
      <c r="AC785" s="149"/>
      <c r="AD785" s="148"/>
      <c r="AE785" s="148"/>
      <c r="AF785" s="148"/>
      <c r="DB785" s="149"/>
    </row>
    <row r="786" spans="2:106">
      <c r="B786" s="149"/>
      <c r="C786" s="149"/>
      <c r="D786" s="149"/>
      <c r="E786" s="149"/>
      <c r="F786" s="149"/>
      <c r="G786" s="149"/>
      <c r="H786" s="149"/>
      <c r="I786" s="149"/>
      <c r="J786" s="149"/>
      <c r="K786" s="149"/>
      <c r="L786" s="149"/>
      <c r="M786" s="149"/>
      <c r="N786" s="149"/>
      <c r="O786" s="149"/>
      <c r="P786" s="149"/>
      <c r="Q786" s="149"/>
      <c r="R786" s="149"/>
      <c r="S786" s="149"/>
      <c r="T786" s="149"/>
      <c r="U786" s="149"/>
      <c r="V786" s="149"/>
      <c r="W786" s="149"/>
      <c r="X786" s="149"/>
      <c r="Y786" s="149"/>
      <c r="Z786" s="149"/>
      <c r="AA786" s="149"/>
      <c r="AB786" s="149"/>
      <c r="AC786" s="149"/>
      <c r="AD786" s="148"/>
      <c r="AE786" s="148"/>
      <c r="AF786" s="148"/>
      <c r="DB786" s="149"/>
    </row>
    <row r="787" spans="2:106">
      <c r="B787" s="149"/>
      <c r="C787" s="149"/>
      <c r="D787" s="149"/>
      <c r="E787" s="149"/>
      <c r="F787" s="149"/>
      <c r="G787" s="149"/>
      <c r="H787" s="149"/>
      <c r="I787" s="149"/>
      <c r="J787" s="149"/>
      <c r="K787" s="149"/>
      <c r="L787" s="149"/>
      <c r="M787" s="149"/>
      <c r="N787" s="149"/>
      <c r="O787" s="149"/>
      <c r="P787" s="149"/>
      <c r="Q787" s="149"/>
      <c r="R787" s="149"/>
      <c r="S787" s="149"/>
      <c r="T787" s="149"/>
      <c r="U787" s="149"/>
      <c r="V787" s="149"/>
      <c r="W787" s="149"/>
      <c r="X787" s="149"/>
      <c r="Y787" s="149"/>
      <c r="Z787" s="149"/>
      <c r="AA787" s="149"/>
      <c r="AB787" s="149"/>
      <c r="AC787" s="149"/>
      <c r="AD787" s="148"/>
      <c r="AE787" s="148"/>
      <c r="AF787" s="148"/>
      <c r="DB787" s="149"/>
    </row>
    <row r="788" spans="2:106">
      <c r="B788" s="149"/>
      <c r="C788" s="149"/>
      <c r="D788" s="149"/>
      <c r="E788" s="149"/>
      <c r="F788" s="149"/>
      <c r="G788" s="149"/>
      <c r="H788" s="149"/>
      <c r="I788" s="149"/>
      <c r="J788" s="149"/>
      <c r="K788" s="149"/>
      <c r="L788" s="149"/>
      <c r="M788" s="149"/>
      <c r="N788" s="149"/>
      <c r="O788" s="149"/>
      <c r="P788" s="149"/>
      <c r="Q788" s="149"/>
      <c r="R788" s="149"/>
      <c r="S788" s="149"/>
      <c r="T788" s="149"/>
      <c r="U788" s="149"/>
      <c r="V788" s="149"/>
      <c r="W788" s="149"/>
      <c r="X788" s="149"/>
      <c r="Y788" s="149"/>
      <c r="Z788" s="149"/>
      <c r="AA788" s="149"/>
      <c r="AB788" s="149"/>
      <c r="AC788" s="149"/>
      <c r="AD788" s="148"/>
      <c r="AE788" s="148"/>
      <c r="AF788" s="148"/>
      <c r="DB788" s="149"/>
    </row>
    <row r="789" spans="2:106">
      <c r="B789" s="149"/>
      <c r="C789" s="149"/>
      <c r="D789" s="149"/>
      <c r="E789" s="149"/>
      <c r="F789" s="149"/>
      <c r="G789" s="149"/>
      <c r="H789" s="149"/>
      <c r="I789" s="149"/>
      <c r="J789" s="149"/>
      <c r="K789" s="149"/>
      <c r="L789" s="149"/>
      <c r="M789" s="149"/>
      <c r="N789" s="149"/>
      <c r="O789" s="149"/>
      <c r="P789" s="149"/>
      <c r="Q789" s="149"/>
      <c r="R789" s="149"/>
      <c r="S789" s="149"/>
      <c r="T789" s="149"/>
      <c r="U789" s="149"/>
      <c r="V789" s="149"/>
      <c r="W789" s="149"/>
      <c r="X789" s="149"/>
      <c r="Y789" s="149"/>
      <c r="Z789" s="149"/>
      <c r="AA789" s="149"/>
      <c r="AB789" s="149"/>
      <c r="AC789" s="149"/>
      <c r="AD789" s="148"/>
      <c r="AE789" s="148"/>
      <c r="AF789" s="148"/>
      <c r="DB789" s="149"/>
    </row>
    <row r="790" spans="2:106">
      <c r="B790" s="149"/>
      <c r="C790" s="149"/>
      <c r="D790" s="149"/>
      <c r="E790" s="149"/>
      <c r="F790" s="149"/>
      <c r="G790" s="149"/>
      <c r="H790" s="149"/>
      <c r="I790" s="149"/>
      <c r="J790" s="149"/>
      <c r="K790" s="149"/>
      <c r="L790" s="149"/>
      <c r="M790" s="149"/>
      <c r="N790" s="149"/>
      <c r="O790" s="149"/>
      <c r="P790" s="149"/>
      <c r="Q790" s="149"/>
      <c r="R790" s="149"/>
      <c r="S790" s="149"/>
      <c r="T790" s="149"/>
      <c r="U790" s="149"/>
      <c r="V790" s="149"/>
      <c r="W790" s="149"/>
      <c r="X790" s="149"/>
      <c r="Y790" s="149"/>
      <c r="Z790" s="149"/>
      <c r="AA790" s="149"/>
      <c r="AB790" s="149"/>
      <c r="AC790" s="149"/>
      <c r="AD790" s="148"/>
      <c r="AE790" s="148"/>
      <c r="AF790" s="148"/>
      <c r="DB790" s="149"/>
    </row>
    <row r="791" spans="2:106">
      <c r="B791" s="149"/>
      <c r="C791" s="149"/>
      <c r="D791" s="149"/>
      <c r="E791" s="149"/>
      <c r="F791" s="149"/>
      <c r="G791" s="149"/>
      <c r="H791" s="149"/>
      <c r="I791" s="149"/>
      <c r="J791" s="149"/>
      <c r="K791" s="149"/>
      <c r="L791" s="149"/>
      <c r="M791" s="149"/>
      <c r="N791" s="149"/>
      <c r="O791" s="149"/>
      <c r="P791" s="149"/>
      <c r="Q791" s="149"/>
      <c r="R791" s="149"/>
      <c r="S791" s="149"/>
      <c r="T791" s="149"/>
      <c r="U791" s="149"/>
      <c r="V791" s="149"/>
      <c r="W791" s="149"/>
      <c r="X791" s="149"/>
      <c r="Y791" s="149"/>
      <c r="Z791" s="149"/>
      <c r="AA791" s="149"/>
      <c r="AB791" s="149"/>
      <c r="AC791" s="149"/>
      <c r="AD791" s="148"/>
      <c r="AE791" s="148"/>
      <c r="AF791" s="148"/>
      <c r="DB791" s="149"/>
    </row>
    <row r="792" spans="2:106">
      <c r="B792" s="149"/>
      <c r="C792" s="149"/>
      <c r="D792" s="149"/>
      <c r="E792" s="149"/>
      <c r="F792" s="149"/>
      <c r="G792" s="149"/>
      <c r="H792" s="149"/>
      <c r="I792" s="149"/>
      <c r="J792" s="149"/>
      <c r="K792" s="149"/>
      <c r="L792" s="149"/>
      <c r="M792" s="149"/>
      <c r="N792" s="149"/>
      <c r="O792" s="149"/>
      <c r="P792" s="149"/>
      <c r="Q792" s="149"/>
      <c r="R792" s="149"/>
      <c r="S792" s="149"/>
      <c r="T792" s="149"/>
      <c r="U792" s="149"/>
      <c r="V792" s="149"/>
      <c r="W792" s="149"/>
      <c r="X792" s="149"/>
      <c r="Y792" s="149"/>
      <c r="Z792" s="149"/>
      <c r="AA792" s="149"/>
      <c r="AB792" s="149"/>
      <c r="AC792" s="149"/>
      <c r="AD792" s="148"/>
      <c r="AE792" s="148"/>
      <c r="AF792" s="148"/>
      <c r="DB792" s="149"/>
    </row>
    <row r="793" spans="2:106">
      <c r="B793" s="149"/>
      <c r="C793" s="149"/>
      <c r="D793" s="149"/>
      <c r="E793" s="149"/>
      <c r="F793" s="149"/>
      <c r="G793" s="149"/>
      <c r="H793" s="149"/>
      <c r="I793" s="149"/>
      <c r="J793" s="149"/>
      <c r="K793" s="149"/>
      <c r="L793" s="149"/>
      <c r="M793" s="149"/>
      <c r="N793" s="149"/>
      <c r="O793" s="149"/>
      <c r="P793" s="149"/>
      <c r="Q793" s="149"/>
      <c r="R793" s="149"/>
      <c r="S793" s="149"/>
      <c r="T793" s="149"/>
      <c r="U793" s="149"/>
      <c r="V793" s="149"/>
      <c r="W793" s="149"/>
      <c r="X793" s="149"/>
      <c r="Y793" s="149"/>
      <c r="Z793" s="149"/>
      <c r="AA793" s="149"/>
      <c r="AB793" s="149"/>
      <c r="AC793" s="149"/>
      <c r="AD793" s="148"/>
      <c r="AE793" s="148"/>
      <c r="AF793" s="148"/>
      <c r="DB793" s="149"/>
    </row>
    <row r="794" spans="2:106">
      <c r="B794" s="149"/>
      <c r="C794" s="149"/>
      <c r="D794" s="149"/>
      <c r="E794" s="149"/>
      <c r="F794" s="149"/>
      <c r="G794" s="149"/>
      <c r="H794" s="149"/>
      <c r="I794" s="149"/>
      <c r="J794" s="149"/>
      <c r="K794" s="149"/>
      <c r="L794" s="149"/>
      <c r="M794" s="149"/>
      <c r="N794" s="149"/>
      <c r="O794" s="149"/>
      <c r="P794" s="149"/>
      <c r="Q794" s="149"/>
      <c r="R794" s="149"/>
      <c r="S794" s="149"/>
      <c r="T794" s="149"/>
      <c r="U794" s="149"/>
      <c r="V794" s="149"/>
      <c r="W794" s="149"/>
      <c r="X794" s="149"/>
      <c r="Y794" s="149"/>
      <c r="Z794" s="149"/>
      <c r="AA794" s="149"/>
      <c r="AB794" s="149"/>
      <c r="AC794" s="149"/>
      <c r="AD794" s="148"/>
      <c r="AE794" s="148"/>
      <c r="AF794" s="148"/>
      <c r="DB794" s="149"/>
    </row>
    <row r="795" spans="2:106">
      <c r="B795" s="149"/>
      <c r="C795" s="149"/>
      <c r="D795" s="149"/>
      <c r="E795" s="149"/>
      <c r="F795" s="149"/>
      <c r="G795" s="149"/>
      <c r="H795" s="149"/>
      <c r="I795" s="149"/>
      <c r="J795" s="149"/>
      <c r="K795" s="149"/>
      <c r="L795" s="149"/>
      <c r="M795" s="149"/>
      <c r="N795" s="149"/>
      <c r="O795" s="149"/>
      <c r="P795" s="149"/>
      <c r="Q795" s="149"/>
      <c r="R795" s="149"/>
      <c r="S795" s="149"/>
      <c r="T795" s="149"/>
      <c r="U795" s="149"/>
      <c r="V795" s="149"/>
      <c r="W795" s="149"/>
      <c r="X795" s="149"/>
      <c r="Y795" s="149"/>
      <c r="Z795" s="149"/>
      <c r="AA795" s="149"/>
      <c r="AB795" s="149"/>
      <c r="AC795" s="149"/>
      <c r="AD795" s="148"/>
      <c r="AE795" s="148"/>
      <c r="AF795" s="148"/>
      <c r="DB795" s="149"/>
    </row>
    <row r="796" spans="2:106">
      <c r="B796" s="149"/>
      <c r="C796" s="149"/>
      <c r="D796" s="149"/>
      <c r="E796" s="149"/>
      <c r="F796" s="149"/>
      <c r="G796" s="149"/>
      <c r="H796" s="149"/>
      <c r="I796" s="149"/>
      <c r="J796" s="149"/>
      <c r="K796" s="149"/>
      <c r="L796" s="149"/>
      <c r="M796" s="149"/>
      <c r="N796" s="149"/>
      <c r="O796" s="149"/>
      <c r="P796" s="149"/>
      <c r="Q796" s="149"/>
      <c r="R796" s="149"/>
      <c r="S796" s="149"/>
      <c r="T796" s="149"/>
      <c r="U796" s="149"/>
      <c r="V796" s="149"/>
      <c r="W796" s="149"/>
      <c r="X796" s="149"/>
      <c r="Y796" s="149"/>
      <c r="Z796" s="149"/>
      <c r="AA796" s="149"/>
      <c r="AB796" s="149"/>
      <c r="AC796" s="149"/>
      <c r="AD796" s="148"/>
      <c r="AE796" s="148"/>
      <c r="AF796" s="148"/>
      <c r="DB796" s="149"/>
    </row>
    <row r="797" spans="2:106">
      <c r="B797" s="149"/>
      <c r="C797" s="149"/>
      <c r="D797" s="149"/>
      <c r="E797" s="149"/>
      <c r="F797" s="149"/>
      <c r="G797" s="149"/>
      <c r="H797" s="149"/>
      <c r="I797" s="149"/>
      <c r="J797" s="149"/>
      <c r="K797" s="149"/>
      <c r="L797" s="149"/>
      <c r="M797" s="149"/>
      <c r="N797" s="149"/>
      <c r="O797" s="149"/>
      <c r="P797" s="149"/>
      <c r="Q797" s="149"/>
      <c r="R797" s="149"/>
      <c r="S797" s="149"/>
      <c r="T797" s="149"/>
      <c r="U797" s="149"/>
      <c r="V797" s="149"/>
      <c r="W797" s="149"/>
      <c r="X797" s="149"/>
      <c r="Y797" s="149"/>
      <c r="Z797" s="149"/>
      <c r="AA797" s="149"/>
      <c r="AB797" s="149"/>
      <c r="AC797" s="149"/>
      <c r="AD797" s="148"/>
      <c r="AE797" s="148"/>
      <c r="AF797" s="148"/>
      <c r="DB797" s="149"/>
    </row>
    <row r="798" spans="2:106">
      <c r="B798" s="149"/>
      <c r="C798" s="149"/>
      <c r="D798" s="149"/>
      <c r="E798" s="149"/>
      <c r="F798" s="149"/>
      <c r="G798" s="149"/>
      <c r="H798" s="149"/>
      <c r="I798" s="149"/>
      <c r="J798" s="149"/>
      <c r="K798" s="149"/>
      <c r="L798" s="149"/>
      <c r="M798" s="149"/>
      <c r="N798" s="149"/>
      <c r="O798" s="149"/>
      <c r="P798" s="149"/>
      <c r="Q798" s="149"/>
      <c r="R798" s="149"/>
      <c r="S798" s="149"/>
      <c r="T798" s="149"/>
      <c r="U798" s="149"/>
      <c r="V798" s="149"/>
      <c r="W798" s="149"/>
      <c r="X798" s="149"/>
      <c r="Y798" s="149"/>
      <c r="Z798" s="149"/>
      <c r="AA798" s="149"/>
      <c r="AB798" s="149"/>
      <c r="AC798" s="149"/>
      <c r="AD798" s="148"/>
      <c r="AE798" s="148"/>
      <c r="AF798" s="148"/>
      <c r="DB798" s="149"/>
    </row>
    <row r="799" spans="2:106">
      <c r="B799" s="149"/>
      <c r="C799" s="149"/>
      <c r="D799" s="149"/>
      <c r="E799" s="149"/>
      <c r="F799" s="149"/>
      <c r="G799" s="149"/>
      <c r="H799" s="149"/>
      <c r="I799" s="149"/>
      <c r="J799" s="149"/>
      <c r="K799" s="149"/>
      <c r="L799" s="149"/>
      <c r="M799" s="149"/>
      <c r="N799" s="149"/>
      <c r="O799" s="149"/>
      <c r="P799" s="149"/>
      <c r="Q799" s="149"/>
      <c r="R799" s="149"/>
      <c r="S799" s="149"/>
      <c r="T799" s="149"/>
      <c r="U799" s="149"/>
      <c r="V799" s="149"/>
      <c r="W799" s="149"/>
      <c r="X799" s="149"/>
      <c r="Y799" s="149"/>
      <c r="Z799" s="149"/>
      <c r="AA799" s="149"/>
      <c r="AB799" s="149"/>
      <c r="AC799" s="149"/>
      <c r="AD799" s="148"/>
      <c r="AE799" s="148"/>
      <c r="AF799" s="148"/>
      <c r="DB799" s="149"/>
    </row>
    <row r="800" spans="2:106">
      <c r="B800" s="149"/>
      <c r="C800" s="149"/>
      <c r="D800" s="149"/>
      <c r="E800" s="149"/>
      <c r="F800" s="149"/>
      <c r="G800" s="149"/>
      <c r="H800" s="149"/>
      <c r="I800" s="149"/>
      <c r="J800" s="149"/>
      <c r="K800" s="149"/>
      <c r="L800" s="149"/>
      <c r="M800" s="149"/>
      <c r="N800" s="149"/>
      <c r="O800" s="149"/>
      <c r="P800" s="149"/>
      <c r="Q800" s="149"/>
      <c r="R800" s="149"/>
      <c r="S800" s="149"/>
      <c r="T800" s="149"/>
      <c r="U800" s="149"/>
      <c r="V800" s="149"/>
      <c r="W800" s="149"/>
      <c r="X800" s="149"/>
      <c r="Y800" s="149"/>
      <c r="Z800" s="149"/>
      <c r="AA800" s="149"/>
      <c r="AB800" s="149"/>
      <c r="AC800" s="149"/>
      <c r="AD800" s="148"/>
      <c r="AE800" s="148"/>
      <c r="AF800" s="148"/>
      <c r="DB800" s="149"/>
    </row>
    <row r="801" spans="2:106">
      <c r="B801" s="149"/>
      <c r="C801" s="149"/>
      <c r="D801" s="149"/>
      <c r="E801" s="149"/>
      <c r="F801" s="149"/>
      <c r="G801" s="149"/>
      <c r="H801" s="149"/>
      <c r="I801" s="149"/>
      <c r="J801" s="149"/>
      <c r="K801" s="149"/>
      <c r="L801" s="149"/>
      <c r="M801" s="149"/>
      <c r="N801" s="149"/>
      <c r="O801" s="149"/>
      <c r="P801" s="149"/>
      <c r="Q801" s="149"/>
      <c r="R801" s="149"/>
      <c r="S801" s="149"/>
      <c r="T801" s="149"/>
      <c r="U801" s="149"/>
      <c r="V801" s="149"/>
      <c r="W801" s="149"/>
      <c r="X801" s="149"/>
      <c r="Y801" s="149"/>
      <c r="Z801" s="149"/>
      <c r="AA801" s="149"/>
      <c r="AB801" s="149"/>
      <c r="AC801" s="149"/>
      <c r="AD801" s="148"/>
      <c r="AE801" s="148"/>
      <c r="AF801" s="148"/>
      <c r="DB801" s="149"/>
    </row>
    <row r="802" spans="2:106">
      <c r="B802" s="149"/>
      <c r="C802" s="149"/>
      <c r="D802" s="149"/>
      <c r="E802" s="149"/>
      <c r="F802" s="149"/>
      <c r="G802" s="149"/>
      <c r="H802" s="149"/>
      <c r="I802" s="149"/>
      <c r="J802" s="149"/>
      <c r="K802" s="149"/>
      <c r="L802" s="149"/>
      <c r="M802" s="149"/>
      <c r="N802" s="149"/>
      <c r="O802" s="149"/>
      <c r="P802" s="149"/>
      <c r="Q802" s="149"/>
      <c r="R802" s="149"/>
      <c r="S802" s="149"/>
      <c r="T802" s="149"/>
      <c r="U802" s="149"/>
      <c r="V802" s="149"/>
      <c r="W802" s="149"/>
      <c r="X802" s="149"/>
      <c r="Y802" s="149"/>
      <c r="Z802" s="149"/>
      <c r="AA802" s="149"/>
      <c r="AB802" s="149"/>
      <c r="AC802" s="149"/>
      <c r="AD802" s="148"/>
      <c r="AE802" s="148"/>
      <c r="AF802" s="148"/>
      <c r="DB802" s="149"/>
    </row>
    <row r="803" spans="2:106">
      <c r="B803" s="149"/>
      <c r="C803" s="149"/>
      <c r="D803" s="149"/>
      <c r="E803" s="149"/>
      <c r="F803" s="149"/>
      <c r="G803" s="149"/>
      <c r="H803" s="149"/>
      <c r="I803" s="149"/>
      <c r="J803" s="149"/>
      <c r="K803" s="149"/>
      <c r="L803" s="149"/>
      <c r="M803" s="149"/>
      <c r="N803" s="149"/>
      <c r="O803" s="149"/>
      <c r="P803" s="149"/>
      <c r="Q803" s="149"/>
      <c r="R803" s="149"/>
      <c r="S803" s="149"/>
      <c r="T803" s="149"/>
      <c r="U803" s="149"/>
      <c r="V803" s="149"/>
      <c r="W803" s="149"/>
      <c r="X803" s="149"/>
      <c r="Y803" s="149"/>
      <c r="Z803" s="149"/>
      <c r="AA803" s="149"/>
      <c r="AB803" s="149"/>
      <c r="AC803" s="149"/>
      <c r="AD803" s="148"/>
      <c r="AE803" s="148"/>
      <c r="AF803" s="148"/>
      <c r="DB803" s="149"/>
    </row>
    <row r="804" spans="2:106">
      <c r="B804" s="149"/>
      <c r="C804" s="149"/>
      <c r="D804" s="149"/>
      <c r="E804" s="149"/>
      <c r="F804" s="149"/>
      <c r="G804" s="149"/>
      <c r="H804" s="149"/>
      <c r="I804" s="149"/>
      <c r="J804" s="149"/>
      <c r="K804" s="149"/>
      <c r="L804" s="149"/>
      <c r="M804" s="149"/>
      <c r="N804" s="149"/>
      <c r="O804" s="149"/>
      <c r="P804" s="149"/>
      <c r="Q804" s="149"/>
      <c r="R804" s="149"/>
      <c r="S804" s="149"/>
      <c r="T804" s="149"/>
      <c r="U804" s="149"/>
      <c r="V804" s="149"/>
      <c r="W804" s="149"/>
      <c r="X804" s="149"/>
      <c r="Y804" s="149"/>
      <c r="Z804" s="149"/>
      <c r="AA804" s="149"/>
      <c r="AB804" s="149"/>
      <c r="AC804" s="149"/>
      <c r="AD804" s="148"/>
      <c r="AE804" s="148"/>
      <c r="AF804" s="148"/>
      <c r="DB804" s="149"/>
    </row>
    <row r="805" spans="2:106">
      <c r="B805" s="149"/>
      <c r="C805" s="149"/>
      <c r="D805" s="149"/>
      <c r="E805" s="149"/>
      <c r="F805" s="149"/>
      <c r="G805" s="149"/>
      <c r="H805" s="149"/>
      <c r="I805" s="149"/>
      <c r="J805" s="149"/>
      <c r="K805" s="149"/>
      <c r="L805" s="149"/>
      <c r="M805" s="149"/>
      <c r="N805" s="149"/>
      <c r="O805" s="149"/>
      <c r="P805" s="149"/>
      <c r="Q805" s="149"/>
      <c r="R805" s="149"/>
      <c r="S805" s="149"/>
      <c r="T805" s="149"/>
      <c r="U805" s="149"/>
      <c r="V805" s="149"/>
      <c r="W805" s="149"/>
      <c r="X805" s="149"/>
      <c r="Y805" s="149"/>
      <c r="Z805" s="149"/>
      <c r="AA805" s="149"/>
      <c r="AB805" s="149"/>
      <c r="AC805" s="149"/>
      <c r="AD805" s="148"/>
      <c r="AE805" s="148"/>
      <c r="AF805" s="148"/>
      <c r="DB805" s="149"/>
    </row>
    <row r="806" spans="2:106">
      <c r="B806" s="149"/>
      <c r="C806" s="149"/>
      <c r="D806" s="149"/>
      <c r="E806" s="149"/>
      <c r="F806" s="149"/>
      <c r="G806" s="149"/>
      <c r="H806" s="149"/>
      <c r="I806" s="149"/>
      <c r="J806" s="149"/>
      <c r="K806" s="149"/>
      <c r="L806" s="149"/>
      <c r="M806" s="149"/>
      <c r="N806" s="149"/>
      <c r="O806" s="149"/>
      <c r="P806" s="149"/>
      <c r="Q806" s="149"/>
      <c r="R806" s="149"/>
      <c r="S806" s="149"/>
      <c r="T806" s="149"/>
      <c r="U806" s="149"/>
      <c r="V806" s="149"/>
      <c r="W806" s="149"/>
      <c r="X806" s="149"/>
      <c r="Y806" s="149"/>
      <c r="Z806" s="149"/>
      <c r="AA806" s="149"/>
      <c r="AB806" s="149"/>
      <c r="AC806" s="149"/>
      <c r="AD806" s="148"/>
      <c r="AE806" s="148"/>
      <c r="AF806" s="148"/>
      <c r="DB806" s="149"/>
    </row>
    <row r="807" spans="2:106">
      <c r="B807" s="149"/>
      <c r="C807" s="149"/>
      <c r="D807" s="149"/>
      <c r="E807" s="149"/>
      <c r="F807" s="149"/>
      <c r="G807" s="149"/>
      <c r="H807" s="149"/>
      <c r="I807" s="149"/>
      <c r="J807" s="149"/>
      <c r="K807" s="149"/>
      <c r="L807" s="149"/>
      <c r="M807" s="149"/>
      <c r="N807" s="149"/>
      <c r="O807" s="149"/>
      <c r="P807" s="149"/>
      <c r="Q807" s="149"/>
      <c r="R807" s="149"/>
      <c r="S807" s="149"/>
      <c r="T807" s="149"/>
      <c r="U807" s="149"/>
      <c r="V807" s="149"/>
      <c r="W807" s="149"/>
      <c r="X807" s="149"/>
      <c r="Y807" s="149"/>
      <c r="Z807" s="149"/>
      <c r="AA807" s="149"/>
      <c r="AB807" s="149"/>
      <c r="AC807" s="149"/>
      <c r="AD807" s="148"/>
      <c r="AE807" s="148"/>
      <c r="AF807" s="148"/>
      <c r="DB807" s="149"/>
    </row>
    <row r="808" spans="2:106">
      <c r="B808" s="149"/>
      <c r="C808" s="149"/>
      <c r="D808" s="149"/>
      <c r="E808" s="149"/>
      <c r="F808" s="149"/>
      <c r="G808" s="149"/>
      <c r="H808" s="149"/>
      <c r="I808" s="149"/>
      <c r="J808" s="149"/>
      <c r="K808" s="149"/>
      <c r="L808" s="149"/>
      <c r="M808" s="149"/>
      <c r="N808" s="149"/>
      <c r="O808" s="149"/>
      <c r="P808" s="149"/>
      <c r="Q808" s="149"/>
      <c r="R808" s="149"/>
      <c r="S808" s="149"/>
      <c r="T808" s="149"/>
      <c r="U808" s="149"/>
      <c r="V808" s="149"/>
      <c r="W808" s="149"/>
      <c r="X808" s="149"/>
      <c r="Y808" s="149"/>
      <c r="Z808" s="149"/>
      <c r="AA808" s="149"/>
      <c r="AB808" s="149"/>
      <c r="AC808" s="149"/>
      <c r="AD808" s="148"/>
      <c r="AE808" s="148"/>
      <c r="AF808" s="148"/>
      <c r="DB808" s="149"/>
    </row>
    <row r="809" spans="2:106">
      <c r="B809" s="149"/>
      <c r="C809" s="149"/>
      <c r="D809" s="149"/>
      <c r="E809" s="149"/>
      <c r="F809" s="149"/>
      <c r="G809" s="149"/>
      <c r="H809" s="149"/>
      <c r="I809" s="149"/>
      <c r="J809" s="149"/>
      <c r="K809" s="149"/>
      <c r="L809" s="149"/>
      <c r="M809" s="149"/>
      <c r="N809" s="149"/>
      <c r="O809" s="149"/>
      <c r="P809" s="149"/>
      <c r="Q809" s="149"/>
      <c r="R809" s="149"/>
      <c r="S809" s="149"/>
      <c r="T809" s="149"/>
      <c r="U809" s="149"/>
      <c r="V809" s="149"/>
      <c r="W809" s="149"/>
      <c r="X809" s="149"/>
      <c r="Y809" s="149"/>
      <c r="Z809" s="149"/>
      <c r="AA809" s="149"/>
      <c r="AB809" s="149"/>
      <c r="AC809" s="149"/>
      <c r="AD809" s="148"/>
      <c r="AE809" s="148"/>
      <c r="AF809" s="148"/>
      <c r="DB809" s="149"/>
    </row>
    <row r="810" spans="2:106">
      <c r="B810" s="149"/>
      <c r="C810" s="149"/>
      <c r="D810" s="149"/>
      <c r="E810" s="149"/>
      <c r="F810" s="149"/>
      <c r="G810" s="149"/>
      <c r="H810" s="149"/>
      <c r="I810" s="149"/>
      <c r="J810" s="149"/>
      <c r="K810" s="149"/>
      <c r="L810" s="149"/>
      <c r="M810" s="149"/>
      <c r="N810" s="149"/>
      <c r="O810" s="149"/>
      <c r="P810" s="149"/>
      <c r="Q810" s="149"/>
      <c r="R810" s="149"/>
      <c r="S810" s="149"/>
      <c r="T810" s="149"/>
      <c r="U810" s="149"/>
      <c r="V810" s="149"/>
      <c r="W810" s="149"/>
      <c r="X810" s="149"/>
      <c r="Y810" s="149"/>
      <c r="Z810" s="149"/>
      <c r="AA810" s="149"/>
      <c r="AB810" s="149"/>
      <c r="AC810" s="149"/>
      <c r="AD810" s="148"/>
      <c r="AE810" s="148"/>
      <c r="AF810" s="148"/>
      <c r="DB810" s="149"/>
    </row>
    <row r="811" spans="2:106">
      <c r="B811" s="149"/>
      <c r="C811" s="149"/>
      <c r="D811" s="149"/>
      <c r="E811" s="149"/>
      <c r="F811" s="149"/>
      <c r="G811" s="149"/>
      <c r="H811" s="149"/>
      <c r="I811" s="149"/>
      <c r="J811" s="149"/>
      <c r="K811" s="149"/>
      <c r="L811" s="149"/>
      <c r="M811" s="149"/>
      <c r="N811" s="149"/>
      <c r="O811" s="149"/>
      <c r="P811" s="149"/>
      <c r="Q811" s="149"/>
      <c r="R811" s="149"/>
      <c r="S811" s="149"/>
      <c r="T811" s="149"/>
      <c r="U811" s="149"/>
      <c r="V811" s="149"/>
      <c r="W811" s="149"/>
      <c r="X811" s="149"/>
      <c r="Y811" s="149"/>
      <c r="Z811" s="149"/>
      <c r="AA811" s="149"/>
      <c r="AB811" s="149"/>
      <c r="AC811" s="149"/>
      <c r="AD811" s="148"/>
      <c r="AE811" s="148"/>
      <c r="AF811" s="148"/>
      <c r="DB811" s="149"/>
    </row>
    <row r="812" spans="2:106">
      <c r="B812" s="149"/>
      <c r="C812" s="149"/>
      <c r="D812" s="149"/>
      <c r="E812" s="149"/>
      <c r="F812" s="149"/>
      <c r="G812" s="149"/>
      <c r="H812" s="149"/>
      <c r="I812" s="149"/>
      <c r="J812" s="149"/>
      <c r="K812" s="149"/>
      <c r="L812" s="149"/>
      <c r="M812" s="149"/>
      <c r="N812" s="149"/>
      <c r="O812" s="149"/>
      <c r="P812" s="149"/>
      <c r="Q812" s="149"/>
      <c r="R812" s="149"/>
      <c r="S812" s="149"/>
      <c r="T812" s="149"/>
      <c r="U812" s="149"/>
      <c r="V812" s="149"/>
      <c r="W812" s="149"/>
      <c r="X812" s="149"/>
      <c r="Y812" s="149"/>
      <c r="Z812" s="149"/>
      <c r="AA812" s="149"/>
      <c r="AB812" s="149"/>
      <c r="AC812" s="149"/>
      <c r="AD812" s="148"/>
      <c r="AE812" s="148"/>
      <c r="AF812" s="148"/>
      <c r="DB812" s="149"/>
    </row>
    <row r="813" spans="2:106">
      <c r="B813" s="149"/>
      <c r="C813" s="149"/>
      <c r="D813" s="149"/>
      <c r="E813" s="149"/>
      <c r="F813" s="149"/>
      <c r="G813" s="149"/>
      <c r="H813" s="149"/>
      <c r="I813" s="149"/>
      <c r="J813" s="149"/>
      <c r="K813" s="149"/>
      <c r="L813" s="149"/>
      <c r="M813" s="149"/>
      <c r="N813" s="149"/>
      <c r="O813" s="149"/>
      <c r="P813" s="149"/>
      <c r="Q813" s="149"/>
      <c r="R813" s="149"/>
      <c r="S813" s="149"/>
      <c r="T813" s="149"/>
      <c r="U813" s="149"/>
      <c r="V813" s="149"/>
      <c r="W813" s="149"/>
      <c r="X813" s="149"/>
      <c r="Y813" s="149"/>
      <c r="Z813" s="149"/>
      <c r="AA813" s="149"/>
      <c r="AB813" s="149"/>
      <c r="AC813" s="149"/>
      <c r="AD813" s="148"/>
      <c r="AE813" s="148"/>
      <c r="AF813" s="148"/>
      <c r="DB813" s="149"/>
    </row>
    <row r="814" spans="2:106">
      <c r="B814" s="149"/>
      <c r="C814" s="149"/>
      <c r="D814" s="149"/>
      <c r="E814" s="149"/>
      <c r="F814" s="149"/>
      <c r="G814" s="149"/>
      <c r="H814" s="149"/>
      <c r="I814" s="149"/>
      <c r="J814" s="149"/>
      <c r="K814" s="149"/>
      <c r="L814" s="149"/>
      <c r="M814" s="149"/>
      <c r="N814" s="149"/>
      <c r="O814" s="149"/>
      <c r="P814" s="149"/>
      <c r="Q814" s="149"/>
      <c r="R814" s="149"/>
      <c r="S814" s="149"/>
      <c r="T814" s="149"/>
      <c r="U814" s="149"/>
      <c r="V814" s="149"/>
      <c r="W814" s="149"/>
      <c r="X814" s="149"/>
      <c r="Y814" s="149"/>
      <c r="Z814" s="149"/>
      <c r="AA814" s="149"/>
      <c r="AB814" s="149"/>
      <c r="AC814" s="149"/>
      <c r="AD814" s="148"/>
      <c r="AE814" s="148"/>
      <c r="AF814" s="148"/>
      <c r="DB814" s="149"/>
    </row>
    <row r="815" spans="2:106">
      <c r="B815" s="149"/>
      <c r="C815" s="149"/>
      <c r="D815" s="149"/>
      <c r="E815" s="149"/>
      <c r="F815" s="149"/>
      <c r="G815" s="149"/>
      <c r="H815" s="149"/>
      <c r="I815" s="149"/>
      <c r="J815" s="149"/>
      <c r="K815" s="149"/>
      <c r="L815" s="149"/>
      <c r="M815" s="149"/>
      <c r="N815" s="149"/>
      <c r="O815" s="149"/>
      <c r="P815" s="149"/>
      <c r="Q815" s="149"/>
      <c r="R815" s="149"/>
      <c r="S815" s="149"/>
      <c r="T815" s="149"/>
      <c r="U815" s="149"/>
      <c r="V815" s="149"/>
      <c r="W815" s="149"/>
      <c r="X815" s="149"/>
      <c r="Y815" s="149"/>
      <c r="Z815" s="149"/>
      <c r="AA815" s="149"/>
      <c r="AB815" s="149"/>
      <c r="AC815" s="149"/>
      <c r="AD815" s="148"/>
      <c r="AE815" s="148"/>
      <c r="AF815" s="148"/>
      <c r="DB815" s="149"/>
    </row>
    <row r="816" spans="2:106">
      <c r="B816" s="149"/>
      <c r="C816" s="149"/>
      <c r="D816" s="149"/>
      <c r="E816" s="149"/>
      <c r="F816" s="149"/>
      <c r="G816" s="149"/>
      <c r="H816" s="149"/>
      <c r="I816" s="149"/>
      <c r="J816" s="149"/>
      <c r="K816" s="149"/>
      <c r="L816" s="149"/>
      <c r="M816" s="149"/>
      <c r="N816" s="149"/>
      <c r="O816" s="149"/>
      <c r="P816" s="149"/>
      <c r="Q816" s="149"/>
      <c r="R816" s="149"/>
      <c r="S816" s="149"/>
      <c r="T816" s="149"/>
      <c r="U816" s="149"/>
      <c r="V816" s="149"/>
      <c r="W816" s="149"/>
      <c r="X816" s="149"/>
      <c r="Y816" s="149"/>
      <c r="Z816" s="149"/>
      <c r="AA816" s="149"/>
      <c r="AB816" s="149"/>
      <c r="AC816" s="149"/>
      <c r="AD816" s="148"/>
      <c r="AE816" s="148"/>
      <c r="AF816" s="148"/>
      <c r="DB816" s="149"/>
    </row>
    <row r="817" spans="2:106">
      <c r="B817" s="149"/>
      <c r="C817" s="149"/>
      <c r="D817" s="149"/>
      <c r="E817" s="149"/>
      <c r="F817" s="149"/>
      <c r="G817" s="149"/>
      <c r="H817" s="149"/>
      <c r="I817" s="149"/>
      <c r="J817" s="149"/>
      <c r="K817" s="149"/>
      <c r="L817" s="149"/>
      <c r="M817" s="149"/>
      <c r="N817" s="149"/>
      <c r="O817" s="149"/>
      <c r="P817" s="149"/>
      <c r="Q817" s="149"/>
      <c r="R817" s="149"/>
      <c r="S817" s="149"/>
      <c r="T817" s="149"/>
      <c r="U817" s="149"/>
      <c r="V817" s="149"/>
      <c r="W817" s="149"/>
      <c r="X817" s="149"/>
      <c r="Y817" s="149"/>
      <c r="Z817" s="149"/>
      <c r="AA817" s="149"/>
      <c r="AB817" s="149"/>
      <c r="AC817" s="149"/>
      <c r="AD817" s="148"/>
      <c r="AE817" s="148"/>
      <c r="AF817" s="148"/>
      <c r="DB817" s="149"/>
    </row>
    <row r="818" spans="2:106">
      <c r="B818" s="149"/>
      <c r="C818" s="149"/>
      <c r="D818" s="149"/>
      <c r="E818" s="149"/>
      <c r="F818" s="149"/>
      <c r="G818" s="149"/>
      <c r="H818" s="149"/>
      <c r="I818" s="149"/>
      <c r="J818" s="149"/>
      <c r="K818" s="149"/>
      <c r="L818" s="149"/>
      <c r="M818" s="149"/>
      <c r="N818" s="149"/>
      <c r="O818" s="149"/>
      <c r="P818" s="149"/>
      <c r="Q818" s="149"/>
      <c r="R818" s="149"/>
      <c r="S818" s="149"/>
      <c r="T818" s="149"/>
      <c r="U818" s="149"/>
      <c r="V818" s="149"/>
      <c r="W818" s="149"/>
      <c r="X818" s="149"/>
      <c r="Y818" s="149"/>
      <c r="Z818" s="149"/>
      <c r="AA818" s="149"/>
      <c r="AB818" s="149"/>
      <c r="AC818" s="149"/>
      <c r="AD818" s="148"/>
      <c r="AE818" s="148"/>
      <c r="AF818" s="148"/>
      <c r="DB818" s="149"/>
    </row>
    <row r="819" spans="2:106">
      <c r="B819" s="149"/>
      <c r="C819" s="149"/>
      <c r="D819" s="149"/>
      <c r="E819" s="149"/>
      <c r="F819" s="149"/>
      <c r="G819" s="149"/>
      <c r="H819" s="149"/>
      <c r="I819" s="149"/>
      <c r="J819" s="149"/>
      <c r="K819" s="149"/>
      <c r="L819" s="149"/>
      <c r="M819" s="149"/>
      <c r="N819" s="149"/>
      <c r="O819" s="149"/>
      <c r="P819" s="149"/>
      <c r="Q819" s="149"/>
      <c r="R819" s="149"/>
      <c r="S819" s="149"/>
      <c r="T819" s="149"/>
      <c r="U819" s="149"/>
      <c r="V819" s="149"/>
      <c r="W819" s="149"/>
      <c r="X819" s="149"/>
      <c r="Y819" s="149"/>
      <c r="Z819" s="149"/>
      <c r="AA819" s="149"/>
      <c r="AB819" s="149"/>
      <c r="AC819" s="149"/>
      <c r="AD819" s="148"/>
      <c r="AE819" s="148"/>
      <c r="AF819" s="148"/>
      <c r="DB819" s="149"/>
    </row>
    <row r="820" spans="2:106">
      <c r="B820" s="149"/>
      <c r="C820" s="149"/>
      <c r="D820" s="149"/>
      <c r="E820" s="149"/>
      <c r="F820" s="149"/>
      <c r="G820" s="149"/>
      <c r="H820" s="149"/>
      <c r="I820" s="149"/>
      <c r="J820" s="149"/>
      <c r="K820" s="149"/>
      <c r="L820" s="149"/>
      <c r="M820" s="149"/>
      <c r="N820" s="149"/>
      <c r="O820" s="149"/>
      <c r="P820" s="149"/>
      <c r="Q820" s="149"/>
      <c r="R820" s="149"/>
      <c r="S820" s="149"/>
      <c r="T820" s="149"/>
      <c r="U820" s="149"/>
      <c r="V820" s="149"/>
      <c r="W820" s="149"/>
      <c r="X820" s="149"/>
      <c r="Y820" s="149"/>
      <c r="Z820" s="149"/>
      <c r="AA820" s="149"/>
      <c r="AB820" s="149"/>
      <c r="AC820" s="149"/>
      <c r="AD820" s="148"/>
      <c r="AE820" s="148"/>
      <c r="AF820" s="148"/>
      <c r="DB820" s="149"/>
    </row>
    <row r="821" spans="2:106">
      <c r="B821" s="149"/>
      <c r="C821" s="149"/>
      <c r="D821" s="149"/>
      <c r="E821" s="149"/>
      <c r="F821" s="149"/>
      <c r="G821" s="149"/>
      <c r="H821" s="149"/>
      <c r="I821" s="149"/>
      <c r="J821" s="149"/>
      <c r="K821" s="149"/>
      <c r="L821" s="149"/>
      <c r="M821" s="149"/>
      <c r="N821" s="149"/>
      <c r="O821" s="149"/>
      <c r="P821" s="149"/>
      <c r="Q821" s="149"/>
      <c r="R821" s="149"/>
      <c r="S821" s="149"/>
      <c r="T821" s="149"/>
      <c r="U821" s="149"/>
      <c r="V821" s="149"/>
      <c r="W821" s="149"/>
      <c r="X821" s="149"/>
      <c r="Y821" s="149"/>
      <c r="Z821" s="149"/>
      <c r="AA821" s="149"/>
      <c r="AB821" s="149"/>
      <c r="AC821" s="149"/>
      <c r="AD821" s="148"/>
      <c r="AE821" s="148"/>
      <c r="AF821" s="148"/>
      <c r="DB821" s="149"/>
    </row>
    <row r="822" spans="2:106">
      <c r="B822" s="149"/>
      <c r="C822" s="149"/>
      <c r="D822" s="149"/>
      <c r="E822" s="149"/>
      <c r="F822" s="149"/>
      <c r="G822" s="149"/>
      <c r="H822" s="149"/>
      <c r="I822" s="149"/>
      <c r="J822" s="149"/>
      <c r="K822" s="149"/>
      <c r="L822" s="149"/>
      <c r="M822" s="149"/>
      <c r="N822" s="149"/>
      <c r="O822" s="149"/>
      <c r="P822" s="149"/>
      <c r="Q822" s="149"/>
      <c r="R822" s="149"/>
      <c r="S822" s="149"/>
      <c r="T822" s="149"/>
      <c r="U822" s="149"/>
      <c r="V822" s="149"/>
      <c r="W822" s="149"/>
      <c r="X822" s="149"/>
      <c r="Y822" s="149"/>
      <c r="Z822" s="149"/>
      <c r="AA822" s="149"/>
      <c r="AB822" s="149"/>
      <c r="AC822" s="149"/>
      <c r="AD822" s="148"/>
      <c r="AE822" s="148"/>
      <c r="AF822" s="148"/>
      <c r="DB822" s="149"/>
    </row>
    <row r="823" spans="2:106">
      <c r="B823" s="149"/>
      <c r="C823" s="149"/>
      <c r="D823" s="149"/>
      <c r="E823" s="149"/>
      <c r="F823" s="149"/>
      <c r="G823" s="149"/>
      <c r="H823" s="149"/>
      <c r="I823" s="149"/>
      <c r="J823" s="149"/>
      <c r="K823" s="149"/>
      <c r="L823" s="149"/>
      <c r="M823" s="149"/>
      <c r="N823" s="149"/>
      <c r="O823" s="149"/>
      <c r="P823" s="149"/>
      <c r="Q823" s="149"/>
      <c r="R823" s="149"/>
      <c r="S823" s="149"/>
      <c r="T823" s="149"/>
      <c r="U823" s="149"/>
      <c r="V823" s="149"/>
      <c r="W823" s="149"/>
      <c r="X823" s="149"/>
      <c r="Y823" s="149"/>
      <c r="Z823" s="149"/>
      <c r="AA823" s="149"/>
      <c r="AB823" s="149"/>
      <c r="AC823" s="149"/>
      <c r="AD823" s="148"/>
      <c r="AE823" s="148"/>
      <c r="AF823" s="148"/>
      <c r="DB823" s="149"/>
    </row>
    <row r="824" spans="2:106">
      <c r="B824" s="149"/>
      <c r="C824" s="149"/>
      <c r="D824" s="149"/>
      <c r="E824" s="149"/>
      <c r="F824" s="149"/>
      <c r="G824" s="149"/>
      <c r="H824" s="149"/>
      <c r="I824" s="149"/>
      <c r="J824" s="149"/>
      <c r="K824" s="149"/>
      <c r="L824" s="149"/>
      <c r="M824" s="149"/>
      <c r="N824" s="149"/>
      <c r="O824" s="149"/>
      <c r="P824" s="149"/>
      <c r="Q824" s="149"/>
      <c r="R824" s="149"/>
      <c r="S824" s="149"/>
      <c r="T824" s="149"/>
      <c r="U824" s="149"/>
      <c r="V824" s="149"/>
      <c r="W824" s="149"/>
      <c r="X824" s="149"/>
      <c r="Y824" s="149"/>
      <c r="Z824" s="149"/>
      <c r="AA824" s="149"/>
      <c r="AB824" s="149"/>
      <c r="AC824" s="149"/>
      <c r="AD824" s="148"/>
      <c r="AE824" s="148"/>
      <c r="AF824" s="148"/>
      <c r="DB824" s="149"/>
    </row>
    <row r="825" spans="2:106">
      <c r="B825" s="149"/>
      <c r="C825" s="149"/>
      <c r="D825" s="149"/>
      <c r="E825" s="149"/>
      <c r="F825" s="149"/>
      <c r="G825" s="149"/>
      <c r="H825" s="149"/>
      <c r="I825" s="149"/>
      <c r="J825" s="149"/>
      <c r="K825" s="149"/>
      <c r="L825" s="149"/>
      <c r="M825" s="149"/>
      <c r="N825" s="149"/>
      <c r="O825" s="149"/>
      <c r="P825" s="149"/>
      <c r="Q825" s="149"/>
      <c r="R825" s="149"/>
      <c r="S825" s="149"/>
      <c r="T825" s="149"/>
      <c r="U825" s="149"/>
      <c r="V825" s="149"/>
      <c r="W825" s="149"/>
      <c r="X825" s="149"/>
      <c r="Y825" s="149"/>
      <c r="Z825" s="149"/>
      <c r="AA825" s="149"/>
      <c r="AB825" s="149"/>
      <c r="AC825" s="149"/>
      <c r="AD825" s="148"/>
      <c r="AE825" s="148"/>
      <c r="AF825" s="148"/>
      <c r="DB825" s="149"/>
    </row>
    <row r="826" spans="2:106">
      <c r="B826" s="149"/>
      <c r="C826" s="149"/>
      <c r="D826" s="149"/>
      <c r="E826" s="149"/>
      <c r="F826" s="149"/>
      <c r="G826" s="149"/>
      <c r="H826" s="149"/>
      <c r="I826" s="149"/>
      <c r="J826" s="149"/>
      <c r="K826" s="149"/>
      <c r="L826" s="149"/>
      <c r="M826" s="149"/>
      <c r="N826" s="149"/>
      <c r="O826" s="149"/>
      <c r="P826" s="149"/>
      <c r="Q826" s="149"/>
      <c r="R826" s="149"/>
      <c r="S826" s="149"/>
      <c r="T826" s="149"/>
      <c r="U826" s="149"/>
      <c r="V826" s="149"/>
      <c r="W826" s="149"/>
      <c r="X826" s="149"/>
      <c r="Y826" s="149"/>
      <c r="Z826" s="149"/>
      <c r="AA826" s="149"/>
      <c r="AB826" s="149"/>
      <c r="AC826" s="149"/>
      <c r="AD826" s="148"/>
      <c r="AE826" s="148"/>
      <c r="AF826" s="148"/>
      <c r="DB826" s="149"/>
    </row>
    <row r="827" spans="2:106">
      <c r="B827" s="149"/>
      <c r="C827" s="149"/>
      <c r="D827" s="149"/>
      <c r="E827" s="149"/>
      <c r="F827" s="149"/>
      <c r="G827" s="149"/>
      <c r="H827" s="149"/>
      <c r="I827" s="149"/>
      <c r="J827" s="149"/>
      <c r="K827" s="149"/>
      <c r="L827" s="149"/>
      <c r="M827" s="149"/>
      <c r="N827" s="149"/>
      <c r="O827" s="149"/>
      <c r="P827" s="149"/>
      <c r="Q827" s="149"/>
      <c r="R827" s="149"/>
      <c r="S827" s="149"/>
      <c r="T827" s="149"/>
      <c r="U827" s="149"/>
      <c r="V827" s="149"/>
      <c r="W827" s="149"/>
      <c r="X827" s="149"/>
      <c r="Y827" s="149"/>
      <c r="Z827" s="149"/>
      <c r="AA827" s="149"/>
      <c r="AB827" s="149"/>
      <c r="AC827" s="149"/>
      <c r="AD827" s="148"/>
      <c r="AE827" s="148"/>
      <c r="AF827" s="148"/>
      <c r="DB827" s="149"/>
    </row>
    <row r="828" spans="2:106">
      <c r="B828" s="149"/>
      <c r="C828" s="149"/>
      <c r="D828" s="149"/>
      <c r="E828" s="149"/>
      <c r="F828" s="149"/>
      <c r="G828" s="149"/>
      <c r="H828" s="149"/>
      <c r="I828" s="149"/>
      <c r="J828" s="149"/>
      <c r="K828" s="149"/>
      <c r="L828" s="149"/>
      <c r="M828" s="149"/>
      <c r="N828" s="149"/>
      <c r="O828" s="149"/>
      <c r="P828" s="149"/>
      <c r="Q828" s="149"/>
      <c r="R828" s="149"/>
      <c r="S828" s="149"/>
      <c r="T828" s="149"/>
      <c r="U828" s="149"/>
      <c r="V828" s="149"/>
      <c r="W828" s="149"/>
      <c r="X828" s="149"/>
      <c r="Y828" s="149"/>
      <c r="Z828" s="149"/>
      <c r="AA828" s="149"/>
      <c r="AB828" s="149"/>
      <c r="AC828" s="149"/>
      <c r="AD828" s="148"/>
      <c r="AE828" s="148"/>
      <c r="AF828" s="148"/>
      <c r="DB828" s="149"/>
    </row>
    <row r="829" spans="2:106">
      <c r="B829" s="149"/>
      <c r="C829" s="149"/>
      <c r="D829" s="149"/>
      <c r="E829" s="149"/>
      <c r="F829" s="149"/>
      <c r="G829" s="149"/>
      <c r="H829" s="149"/>
      <c r="I829" s="149"/>
      <c r="J829" s="149"/>
      <c r="K829" s="149"/>
      <c r="L829" s="149"/>
      <c r="M829" s="149"/>
      <c r="N829" s="149"/>
      <c r="O829" s="149"/>
      <c r="P829" s="149"/>
      <c r="Q829" s="149"/>
      <c r="R829" s="149"/>
      <c r="S829" s="149"/>
      <c r="T829" s="149"/>
      <c r="U829" s="149"/>
      <c r="V829" s="149"/>
      <c r="W829" s="149"/>
      <c r="X829" s="149"/>
      <c r="Y829" s="149"/>
      <c r="Z829" s="149"/>
      <c r="AA829" s="149"/>
      <c r="AB829" s="149"/>
      <c r="AC829" s="149"/>
      <c r="AD829" s="148"/>
      <c r="AE829" s="148"/>
      <c r="AF829" s="148"/>
      <c r="DB829" s="149"/>
    </row>
    <row r="830" spans="2:106">
      <c r="B830" s="149"/>
      <c r="C830" s="149"/>
      <c r="D830" s="149"/>
      <c r="E830" s="149"/>
      <c r="F830" s="149"/>
      <c r="G830" s="149"/>
      <c r="H830" s="149"/>
      <c r="I830" s="149"/>
      <c r="J830" s="149"/>
      <c r="K830" s="149"/>
      <c r="L830" s="149"/>
      <c r="M830" s="149"/>
      <c r="N830" s="149"/>
      <c r="O830" s="149"/>
      <c r="P830" s="149"/>
      <c r="Q830" s="149"/>
      <c r="R830" s="149"/>
      <c r="S830" s="149"/>
      <c r="T830" s="149"/>
      <c r="U830" s="149"/>
      <c r="V830" s="149"/>
      <c r="W830" s="149"/>
      <c r="X830" s="149"/>
      <c r="Y830" s="149"/>
      <c r="Z830" s="149"/>
      <c r="AA830" s="149"/>
      <c r="AB830" s="149"/>
      <c r="AC830" s="149"/>
      <c r="AD830" s="148"/>
      <c r="AE830" s="148"/>
      <c r="AF830" s="148"/>
      <c r="DB830" s="149"/>
    </row>
    <row r="831" spans="2:106">
      <c r="B831" s="149"/>
      <c r="C831" s="149"/>
      <c r="D831" s="149"/>
      <c r="E831" s="149"/>
      <c r="F831" s="149"/>
      <c r="G831" s="149"/>
      <c r="H831" s="149"/>
      <c r="I831" s="149"/>
      <c r="J831" s="149"/>
      <c r="K831" s="149"/>
      <c r="L831" s="149"/>
      <c r="M831" s="149"/>
      <c r="N831" s="149"/>
      <c r="O831" s="149"/>
      <c r="P831" s="149"/>
      <c r="Q831" s="149"/>
      <c r="R831" s="149"/>
      <c r="S831" s="149"/>
      <c r="T831" s="149"/>
      <c r="U831" s="149"/>
      <c r="V831" s="149"/>
      <c r="W831" s="149"/>
      <c r="X831" s="149"/>
      <c r="Y831" s="149"/>
      <c r="Z831" s="149"/>
      <c r="AA831" s="149"/>
      <c r="AB831" s="149"/>
      <c r="AC831" s="149"/>
      <c r="AD831" s="148"/>
      <c r="AE831" s="148"/>
      <c r="AF831" s="148"/>
      <c r="DB831" s="149"/>
    </row>
    <row r="832" spans="2:106">
      <c r="B832" s="149"/>
      <c r="C832" s="149"/>
      <c r="D832" s="149"/>
      <c r="E832" s="149"/>
      <c r="F832" s="149"/>
      <c r="G832" s="149"/>
      <c r="H832" s="149"/>
      <c r="I832" s="149"/>
      <c r="J832" s="149"/>
      <c r="K832" s="149"/>
      <c r="L832" s="149"/>
      <c r="M832" s="149"/>
      <c r="N832" s="149"/>
      <c r="O832" s="149"/>
      <c r="P832" s="149"/>
      <c r="Q832" s="149"/>
      <c r="R832" s="149"/>
      <c r="S832" s="149"/>
      <c r="T832" s="149"/>
      <c r="U832" s="149"/>
      <c r="V832" s="149"/>
      <c r="W832" s="149"/>
      <c r="X832" s="149"/>
      <c r="Y832" s="149"/>
      <c r="Z832" s="149"/>
      <c r="AA832" s="149"/>
      <c r="AB832" s="149"/>
      <c r="AC832" s="149"/>
      <c r="AD832" s="148"/>
      <c r="AE832" s="148"/>
      <c r="AF832" s="148"/>
      <c r="DB832" s="149"/>
    </row>
    <row r="833" spans="2:106">
      <c r="B833" s="149"/>
      <c r="C833" s="149"/>
      <c r="D833" s="149"/>
      <c r="E833" s="149"/>
      <c r="F833" s="149"/>
      <c r="G833" s="149"/>
      <c r="H833" s="149"/>
      <c r="I833" s="149"/>
      <c r="J833" s="149"/>
      <c r="K833" s="149"/>
      <c r="L833" s="149"/>
      <c r="M833" s="149"/>
      <c r="N833" s="149"/>
      <c r="O833" s="149"/>
      <c r="P833" s="149"/>
      <c r="Q833" s="149"/>
      <c r="R833" s="149"/>
      <c r="S833" s="149"/>
      <c r="T833" s="149"/>
      <c r="U833" s="149"/>
      <c r="V833" s="149"/>
      <c r="W833" s="149"/>
      <c r="X833" s="149"/>
      <c r="Y833" s="149"/>
      <c r="Z833" s="149"/>
      <c r="AA833" s="149"/>
      <c r="AB833" s="149"/>
      <c r="AC833" s="149"/>
      <c r="AD833" s="148"/>
      <c r="AE833" s="148"/>
      <c r="AF833" s="148"/>
      <c r="DB833" s="149"/>
    </row>
    <row r="834" spans="2:106">
      <c r="B834" s="149"/>
      <c r="C834" s="149"/>
      <c r="D834" s="149"/>
      <c r="E834" s="149"/>
      <c r="F834" s="149"/>
      <c r="G834" s="149"/>
      <c r="H834" s="149"/>
      <c r="I834" s="149"/>
      <c r="J834" s="149"/>
      <c r="K834" s="149"/>
      <c r="L834" s="149"/>
      <c r="M834" s="149"/>
      <c r="N834" s="149"/>
      <c r="O834" s="149"/>
      <c r="P834" s="149"/>
      <c r="Q834" s="149"/>
      <c r="R834" s="149"/>
      <c r="S834" s="149"/>
      <c r="T834" s="149"/>
      <c r="U834" s="149"/>
      <c r="V834" s="149"/>
      <c r="W834" s="149"/>
      <c r="X834" s="149"/>
      <c r="Y834" s="149"/>
      <c r="Z834" s="149"/>
      <c r="AA834" s="149"/>
      <c r="AB834" s="149"/>
      <c r="AC834" s="149"/>
      <c r="AD834" s="148"/>
      <c r="AE834" s="148"/>
      <c r="AF834" s="148"/>
      <c r="DB834" s="149"/>
    </row>
    <row r="835" spans="2:106">
      <c r="B835" s="149"/>
      <c r="C835" s="149"/>
      <c r="D835" s="149"/>
      <c r="E835" s="149"/>
      <c r="F835" s="149"/>
      <c r="G835" s="149"/>
      <c r="H835" s="149"/>
      <c r="I835" s="149"/>
      <c r="J835" s="149"/>
      <c r="K835" s="149"/>
      <c r="L835" s="149"/>
      <c r="M835" s="149"/>
      <c r="N835" s="149"/>
      <c r="O835" s="149"/>
      <c r="P835" s="149"/>
      <c r="Q835" s="149"/>
      <c r="R835" s="149"/>
      <c r="S835" s="149"/>
      <c r="T835" s="149"/>
      <c r="U835" s="149"/>
      <c r="V835" s="149"/>
      <c r="W835" s="149"/>
      <c r="X835" s="149"/>
      <c r="Y835" s="149"/>
      <c r="Z835" s="149"/>
      <c r="AA835" s="149"/>
      <c r="AB835" s="149"/>
      <c r="AC835" s="149"/>
      <c r="AD835" s="148"/>
      <c r="AE835" s="148"/>
      <c r="AF835" s="148"/>
      <c r="DB835" s="149"/>
    </row>
    <row r="836" spans="2:106">
      <c r="B836" s="149"/>
      <c r="C836" s="149"/>
      <c r="D836" s="149"/>
      <c r="E836" s="149"/>
      <c r="F836" s="149"/>
      <c r="G836" s="149"/>
      <c r="H836" s="149"/>
      <c r="I836" s="149"/>
      <c r="J836" s="149"/>
      <c r="K836" s="149"/>
      <c r="L836" s="149"/>
      <c r="M836" s="149"/>
      <c r="N836" s="149"/>
      <c r="O836" s="149"/>
      <c r="P836" s="149"/>
      <c r="Q836" s="149"/>
      <c r="R836" s="149"/>
      <c r="S836" s="149"/>
      <c r="T836" s="149"/>
      <c r="U836" s="149"/>
      <c r="V836" s="149"/>
      <c r="W836" s="149"/>
      <c r="X836" s="149"/>
      <c r="Y836" s="149"/>
      <c r="Z836" s="149"/>
      <c r="AA836" s="149"/>
      <c r="AB836" s="149"/>
      <c r="AC836" s="149"/>
      <c r="AD836" s="148"/>
      <c r="AE836" s="148"/>
      <c r="AF836" s="148"/>
      <c r="DB836" s="149"/>
    </row>
    <row r="837" spans="2:106">
      <c r="B837" s="149"/>
      <c r="C837" s="149"/>
      <c r="D837" s="149"/>
      <c r="E837" s="149"/>
      <c r="F837" s="149"/>
      <c r="G837" s="149"/>
      <c r="H837" s="149"/>
      <c r="I837" s="149"/>
      <c r="J837" s="149"/>
      <c r="K837" s="149"/>
      <c r="L837" s="149"/>
      <c r="M837" s="149"/>
      <c r="N837" s="149"/>
      <c r="O837" s="149"/>
      <c r="P837" s="149"/>
      <c r="Q837" s="149"/>
      <c r="R837" s="149"/>
      <c r="S837" s="149"/>
      <c r="T837" s="149"/>
      <c r="U837" s="149"/>
      <c r="V837" s="149"/>
      <c r="W837" s="149"/>
      <c r="X837" s="149"/>
      <c r="Y837" s="149"/>
      <c r="Z837" s="149"/>
      <c r="AA837" s="149"/>
      <c r="AB837" s="149"/>
      <c r="AC837" s="149"/>
      <c r="AD837" s="148"/>
      <c r="AE837" s="148"/>
      <c r="AF837" s="148"/>
      <c r="DB837" s="149"/>
    </row>
    <row r="838" spans="2:106">
      <c r="B838" s="149"/>
      <c r="C838" s="149"/>
      <c r="D838" s="149"/>
      <c r="E838" s="149"/>
      <c r="F838" s="149"/>
      <c r="G838" s="149"/>
      <c r="H838" s="149"/>
      <c r="I838" s="149"/>
      <c r="J838" s="149"/>
      <c r="K838" s="149"/>
      <c r="L838" s="149"/>
      <c r="M838" s="149"/>
      <c r="N838" s="149"/>
      <c r="O838" s="149"/>
      <c r="P838" s="149"/>
      <c r="Q838" s="149"/>
      <c r="R838" s="149"/>
      <c r="S838" s="149"/>
      <c r="T838" s="149"/>
      <c r="U838" s="149"/>
      <c r="V838" s="149"/>
      <c r="W838" s="149"/>
      <c r="X838" s="149"/>
      <c r="Y838" s="149"/>
      <c r="Z838" s="149"/>
      <c r="AA838" s="149"/>
      <c r="AB838" s="149"/>
      <c r="AC838" s="149"/>
      <c r="AD838" s="148"/>
      <c r="AE838" s="148"/>
      <c r="AF838" s="148"/>
      <c r="DB838" s="149"/>
    </row>
    <row r="839" spans="2:106">
      <c r="B839" s="149"/>
      <c r="C839" s="149"/>
      <c r="D839" s="149"/>
      <c r="E839" s="149"/>
      <c r="F839" s="149"/>
      <c r="G839" s="149"/>
      <c r="H839" s="149"/>
      <c r="I839" s="149"/>
      <c r="J839" s="149"/>
      <c r="K839" s="149"/>
      <c r="L839" s="149"/>
      <c r="M839" s="149"/>
      <c r="N839" s="149"/>
      <c r="O839" s="149"/>
      <c r="P839" s="149"/>
      <c r="Q839" s="149"/>
      <c r="R839" s="149"/>
      <c r="S839" s="149"/>
      <c r="T839" s="149"/>
      <c r="U839" s="149"/>
      <c r="V839" s="149"/>
      <c r="W839" s="149"/>
      <c r="X839" s="149"/>
      <c r="Y839" s="149"/>
      <c r="Z839" s="149"/>
      <c r="AA839" s="149"/>
      <c r="AB839" s="149"/>
      <c r="AC839" s="149"/>
      <c r="AD839" s="148"/>
      <c r="AE839" s="148"/>
      <c r="AF839" s="148"/>
      <c r="DB839" s="149"/>
    </row>
    <row r="840" spans="2:106">
      <c r="B840" s="149"/>
      <c r="C840" s="149"/>
      <c r="D840" s="149"/>
      <c r="E840" s="149"/>
      <c r="F840" s="149"/>
      <c r="G840" s="149"/>
      <c r="H840" s="149"/>
      <c r="I840" s="149"/>
      <c r="J840" s="149"/>
      <c r="K840" s="149"/>
      <c r="L840" s="149"/>
      <c r="M840" s="149"/>
      <c r="N840" s="149"/>
      <c r="O840" s="149"/>
      <c r="P840" s="149"/>
      <c r="Q840" s="149"/>
      <c r="R840" s="149"/>
      <c r="S840" s="149"/>
      <c r="T840" s="149"/>
      <c r="U840" s="149"/>
      <c r="V840" s="149"/>
      <c r="W840" s="149"/>
      <c r="X840" s="149"/>
      <c r="Y840" s="149"/>
      <c r="Z840" s="149"/>
      <c r="AA840" s="149"/>
      <c r="AB840" s="149"/>
      <c r="AC840" s="149"/>
      <c r="AD840" s="148"/>
      <c r="AE840" s="148"/>
      <c r="AF840" s="148"/>
      <c r="DB840" s="149"/>
    </row>
    <row r="841" spans="2:106">
      <c r="B841" s="149"/>
      <c r="C841" s="149"/>
      <c r="D841" s="149"/>
      <c r="E841" s="149"/>
      <c r="F841" s="149"/>
      <c r="G841" s="149"/>
      <c r="H841" s="149"/>
      <c r="I841" s="149"/>
      <c r="J841" s="149"/>
      <c r="K841" s="149"/>
      <c r="L841" s="149"/>
      <c r="M841" s="149"/>
      <c r="N841" s="149"/>
      <c r="O841" s="149"/>
      <c r="P841" s="149"/>
      <c r="Q841" s="149"/>
      <c r="R841" s="149"/>
      <c r="S841" s="149"/>
      <c r="T841" s="149"/>
      <c r="U841" s="149"/>
      <c r="V841" s="149"/>
      <c r="W841" s="149"/>
      <c r="X841" s="149"/>
      <c r="Y841" s="149"/>
      <c r="Z841" s="149"/>
      <c r="AA841" s="149"/>
      <c r="AB841" s="149"/>
      <c r="AC841" s="149"/>
      <c r="AD841" s="148"/>
      <c r="AE841" s="148"/>
      <c r="AF841" s="148"/>
      <c r="DB841" s="149"/>
    </row>
    <row r="842" spans="2:106">
      <c r="B842" s="149"/>
      <c r="C842" s="149"/>
      <c r="D842" s="149"/>
      <c r="E842" s="149"/>
      <c r="F842" s="149"/>
      <c r="G842" s="149"/>
      <c r="H842" s="149"/>
      <c r="I842" s="149"/>
      <c r="J842" s="149"/>
      <c r="K842" s="149"/>
      <c r="L842" s="149"/>
      <c r="M842" s="149"/>
      <c r="N842" s="149"/>
      <c r="O842" s="149"/>
      <c r="P842" s="149"/>
      <c r="Q842" s="149"/>
      <c r="R842" s="149"/>
      <c r="S842" s="149"/>
      <c r="T842" s="149"/>
      <c r="U842" s="149"/>
      <c r="V842" s="149"/>
      <c r="W842" s="149"/>
      <c r="X842" s="149"/>
      <c r="Y842" s="149"/>
      <c r="Z842" s="149"/>
      <c r="AA842" s="149"/>
      <c r="AB842" s="149"/>
      <c r="AC842" s="149"/>
      <c r="AD842" s="148"/>
      <c r="AE842" s="148"/>
      <c r="AF842" s="148"/>
      <c r="DB842" s="149"/>
    </row>
    <row r="843" spans="2:106">
      <c r="B843" s="149"/>
      <c r="C843" s="149"/>
      <c r="D843" s="149"/>
      <c r="E843" s="149"/>
      <c r="F843" s="149"/>
      <c r="G843" s="149"/>
      <c r="H843" s="149"/>
      <c r="I843" s="149"/>
      <c r="J843" s="149"/>
      <c r="K843" s="149"/>
      <c r="L843" s="149"/>
      <c r="M843" s="149"/>
      <c r="N843" s="149"/>
      <c r="O843" s="149"/>
      <c r="P843" s="149"/>
      <c r="Q843" s="149"/>
      <c r="R843" s="149"/>
      <c r="S843" s="149"/>
      <c r="T843" s="149"/>
      <c r="U843" s="149"/>
      <c r="V843" s="149"/>
      <c r="W843" s="149"/>
      <c r="X843" s="149"/>
      <c r="Y843" s="149"/>
      <c r="Z843" s="149"/>
      <c r="AA843" s="149"/>
      <c r="AB843" s="149"/>
      <c r="AC843" s="149"/>
      <c r="AD843" s="148"/>
      <c r="AE843" s="148"/>
      <c r="AF843" s="148"/>
      <c r="DB843" s="149"/>
    </row>
    <row r="844" spans="2:106">
      <c r="B844" s="149"/>
      <c r="C844" s="149"/>
      <c r="D844" s="149"/>
      <c r="E844" s="149"/>
      <c r="F844" s="149"/>
      <c r="G844" s="149"/>
      <c r="H844" s="149"/>
      <c r="I844" s="149"/>
      <c r="J844" s="149"/>
      <c r="K844" s="149"/>
      <c r="L844" s="149"/>
      <c r="M844" s="149"/>
      <c r="N844" s="149"/>
      <c r="O844" s="149"/>
      <c r="P844" s="149"/>
      <c r="Q844" s="149"/>
      <c r="R844" s="149"/>
      <c r="S844" s="149"/>
      <c r="T844" s="149"/>
      <c r="U844" s="149"/>
      <c r="V844" s="149"/>
      <c r="W844" s="149"/>
      <c r="X844" s="149"/>
      <c r="Y844" s="149"/>
      <c r="Z844" s="149"/>
      <c r="AA844" s="149"/>
      <c r="AB844" s="149"/>
      <c r="AC844" s="149"/>
      <c r="AD844" s="148"/>
      <c r="AE844" s="148"/>
      <c r="AF844" s="148"/>
      <c r="DB844" s="149"/>
    </row>
    <row r="845" spans="2:106">
      <c r="B845" s="149"/>
      <c r="C845" s="149"/>
      <c r="D845" s="149"/>
      <c r="E845" s="149"/>
      <c r="F845" s="149"/>
      <c r="G845" s="149"/>
      <c r="H845" s="149"/>
      <c r="I845" s="149"/>
      <c r="J845" s="149"/>
      <c r="K845" s="149"/>
      <c r="L845" s="149"/>
      <c r="M845" s="149"/>
      <c r="N845" s="149"/>
      <c r="O845" s="149"/>
      <c r="P845" s="149"/>
      <c r="Q845" s="149"/>
      <c r="R845" s="149"/>
      <c r="S845" s="149"/>
      <c r="T845" s="149"/>
      <c r="U845" s="149"/>
      <c r="V845" s="149"/>
      <c r="W845" s="149"/>
      <c r="X845" s="149"/>
      <c r="Y845" s="149"/>
      <c r="Z845" s="149"/>
      <c r="AA845" s="149"/>
      <c r="AB845" s="149"/>
      <c r="AC845" s="149"/>
      <c r="AD845" s="148"/>
      <c r="AE845" s="148"/>
      <c r="AF845" s="148"/>
      <c r="DB845" s="149"/>
    </row>
    <row r="846" spans="2:106">
      <c r="B846" s="149"/>
      <c r="C846" s="149"/>
      <c r="D846" s="149"/>
      <c r="E846" s="149"/>
      <c r="F846" s="149"/>
      <c r="G846" s="149"/>
      <c r="H846" s="149"/>
      <c r="I846" s="149"/>
      <c r="J846" s="149"/>
      <c r="K846" s="149"/>
      <c r="L846" s="149"/>
      <c r="M846" s="149"/>
      <c r="N846" s="149"/>
      <c r="O846" s="149"/>
      <c r="P846" s="149"/>
      <c r="Q846" s="149"/>
      <c r="R846" s="149"/>
      <c r="S846" s="149"/>
      <c r="T846" s="149"/>
      <c r="U846" s="149"/>
      <c r="V846" s="149"/>
      <c r="W846" s="149"/>
      <c r="X846" s="149"/>
      <c r="Y846" s="149"/>
      <c r="Z846" s="149"/>
      <c r="AA846" s="149"/>
      <c r="AB846" s="149"/>
      <c r="AC846" s="149"/>
      <c r="AD846" s="148"/>
      <c r="AE846" s="148"/>
      <c r="AF846" s="148"/>
      <c r="DB846" s="149"/>
    </row>
    <row r="847" spans="2:106">
      <c r="B847" s="149"/>
      <c r="C847" s="149"/>
      <c r="D847" s="149"/>
      <c r="E847" s="149"/>
      <c r="F847" s="149"/>
      <c r="G847" s="149"/>
      <c r="H847" s="149"/>
      <c r="I847" s="149"/>
      <c r="J847" s="149"/>
      <c r="K847" s="149"/>
      <c r="L847" s="149"/>
      <c r="M847" s="149"/>
      <c r="N847" s="149"/>
      <c r="O847" s="149"/>
      <c r="P847" s="149"/>
      <c r="Q847" s="149"/>
      <c r="R847" s="149"/>
      <c r="S847" s="149"/>
      <c r="T847" s="149"/>
      <c r="U847" s="149"/>
      <c r="V847" s="149"/>
      <c r="W847" s="149"/>
      <c r="X847" s="149"/>
      <c r="Y847" s="149"/>
      <c r="Z847" s="149"/>
      <c r="AA847" s="149"/>
      <c r="AB847" s="149"/>
      <c r="AC847" s="149"/>
      <c r="AD847" s="148"/>
      <c r="AE847" s="148"/>
      <c r="AF847" s="148"/>
      <c r="DB847" s="149"/>
    </row>
    <row r="848" spans="2:106">
      <c r="B848" s="149"/>
      <c r="C848" s="149"/>
      <c r="D848" s="149"/>
      <c r="E848" s="149"/>
      <c r="F848" s="149"/>
      <c r="G848" s="149"/>
      <c r="H848" s="149"/>
      <c r="I848" s="149"/>
      <c r="J848" s="149"/>
      <c r="K848" s="149"/>
      <c r="L848" s="149"/>
      <c r="M848" s="149"/>
      <c r="N848" s="149"/>
      <c r="O848" s="149"/>
      <c r="P848" s="149"/>
      <c r="Q848" s="149"/>
      <c r="R848" s="149"/>
      <c r="S848" s="149"/>
      <c r="T848" s="149"/>
      <c r="U848" s="149"/>
      <c r="V848" s="149"/>
      <c r="W848" s="149"/>
      <c r="X848" s="149"/>
      <c r="Y848" s="149"/>
      <c r="Z848" s="149"/>
      <c r="AA848" s="149"/>
      <c r="AB848" s="149"/>
      <c r="AC848" s="149"/>
      <c r="AD848" s="148"/>
      <c r="AE848" s="148"/>
      <c r="AF848" s="148"/>
      <c r="DB848" s="149"/>
    </row>
    <row r="849" spans="2:106">
      <c r="B849" s="149"/>
      <c r="C849" s="149"/>
      <c r="D849" s="149"/>
      <c r="E849" s="149"/>
      <c r="F849" s="149"/>
      <c r="G849" s="149"/>
      <c r="H849" s="149"/>
      <c r="I849" s="149"/>
      <c r="J849" s="149"/>
      <c r="K849" s="149"/>
      <c r="L849" s="149"/>
      <c r="M849" s="149"/>
      <c r="N849" s="149"/>
      <c r="O849" s="149"/>
      <c r="P849" s="149"/>
      <c r="Q849" s="149"/>
      <c r="R849" s="149"/>
      <c r="S849" s="149"/>
      <c r="T849" s="149"/>
      <c r="U849" s="149"/>
      <c r="V849" s="149"/>
      <c r="W849" s="149"/>
      <c r="X849" s="149"/>
      <c r="Y849" s="149"/>
      <c r="Z849" s="149"/>
      <c r="AA849" s="149"/>
      <c r="AB849" s="149"/>
      <c r="AC849" s="149"/>
      <c r="AD849" s="148"/>
      <c r="AE849" s="148"/>
      <c r="AF849" s="148"/>
      <c r="DB849" s="149"/>
    </row>
    <row r="850" spans="2:106">
      <c r="B850" s="149"/>
      <c r="C850" s="149"/>
      <c r="D850" s="149"/>
      <c r="E850" s="149"/>
      <c r="F850" s="149"/>
      <c r="G850" s="149"/>
      <c r="H850" s="149"/>
      <c r="I850" s="149"/>
      <c r="J850" s="149"/>
      <c r="K850" s="149"/>
      <c r="L850" s="149"/>
      <c r="M850" s="149"/>
      <c r="N850" s="149"/>
      <c r="O850" s="149"/>
      <c r="P850" s="149"/>
      <c r="Q850" s="149"/>
      <c r="R850" s="149"/>
      <c r="S850" s="149"/>
      <c r="T850" s="149"/>
      <c r="U850" s="149"/>
      <c r="V850" s="149"/>
      <c r="W850" s="149"/>
      <c r="X850" s="149"/>
      <c r="Y850" s="149"/>
      <c r="Z850" s="149"/>
      <c r="AA850" s="149"/>
      <c r="AB850" s="149"/>
      <c r="AC850" s="149"/>
      <c r="AD850" s="148"/>
      <c r="AE850" s="148"/>
      <c r="AF850" s="148"/>
      <c r="DB850" s="149"/>
    </row>
    <row r="851" spans="2:106">
      <c r="B851" s="149"/>
      <c r="C851" s="149"/>
      <c r="D851" s="149"/>
      <c r="E851" s="149"/>
      <c r="F851" s="149"/>
      <c r="G851" s="149"/>
      <c r="H851" s="149"/>
      <c r="I851" s="149"/>
      <c r="J851" s="149"/>
      <c r="K851" s="149"/>
      <c r="L851" s="149"/>
      <c r="M851" s="149"/>
      <c r="N851" s="149"/>
      <c r="O851" s="149"/>
      <c r="P851" s="149"/>
      <c r="Q851" s="149"/>
      <c r="R851" s="149"/>
      <c r="S851" s="149"/>
      <c r="T851" s="149"/>
      <c r="U851" s="149"/>
      <c r="V851" s="149"/>
      <c r="W851" s="149"/>
      <c r="X851" s="149"/>
      <c r="Y851" s="149"/>
      <c r="Z851" s="149"/>
      <c r="AA851" s="149"/>
      <c r="AB851" s="149"/>
      <c r="AC851" s="149"/>
      <c r="AD851" s="148"/>
      <c r="AE851" s="148"/>
      <c r="AF851" s="148"/>
      <c r="DB851" s="149"/>
    </row>
    <row r="852" spans="2:106">
      <c r="B852" s="149"/>
      <c r="C852" s="149"/>
      <c r="D852" s="149"/>
      <c r="E852" s="149"/>
      <c r="F852" s="149"/>
      <c r="G852" s="149"/>
      <c r="H852" s="149"/>
      <c r="I852" s="149"/>
      <c r="J852" s="149"/>
      <c r="K852" s="149"/>
      <c r="L852" s="149"/>
      <c r="M852" s="149"/>
      <c r="N852" s="149"/>
      <c r="O852" s="149"/>
      <c r="P852" s="149"/>
      <c r="Q852" s="149"/>
      <c r="R852" s="149"/>
      <c r="S852" s="149"/>
      <c r="T852" s="149"/>
      <c r="U852" s="149"/>
      <c r="V852" s="149"/>
      <c r="W852" s="149"/>
      <c r="X852" s="149"/>
      <c r="Y852" s="149"/>
      <c r="Z852" s="149"/>
      <c r="AA852" s="149"/>
      <c r="AB852" s="149"/>
      <c r="AC852" s="149"/>
      <c r="AD852" s="148"/>
      <c r="AE852" s="148"/>
      <c r="AF852" s="148"/>
      <c r="DB852" s="149"/>
    </row>
    <row r="853" spans="2:106">
      <c r="B853" s="149"/>
      <c r="C853" s="149"/>
      <c r="D853" s="149"/>
      <c r="E853" s="149"/>
      <c r="F853" s="149"/>
      <c r="G853" s="149"/>
      <c r="H853" s="149"/>
      <c r="I853" s="149"/>
      <c r="J853" s="149"/>
      <c r="K853" s="149"/>
      <c r="L853" s="149"/>
      <c r="M853" s="149"/>
      <c r="N853" s="149"/>
      <c r="O853" s="149"/>
      <c r="P853" s="149"/>
      <c r="Q853" s="149"/>
      <c r="R853" s="149"/>
      <c r="S853" s="149"/>
      <c r="T853" s="149"/>
      <c r="U853" s="149"/>
      <c r="V853" s="149"/>
      <c r="W853" s="149"/>
      <c r="X853" s="149"/>
      <c r="Y853" s="149"/>
      <c r="Z853" s="149"/>
      <c r="AA853" s="149"/>
      <c r="AB853" s="149"/>
      <c r="AC853" s="149"/>
      <c r="AD853" s="148"/>
      <c r="AE853" s="148"/>
      <c r="AF853" s="148"/>
      <c r="DB853" s="149"/>
    </row>
    <row r="854" spans="2:106">
      <c r="B854" s="149"/>
      <c r="C854" s="149"/>
      <c r="D854" s="149"/>
      <c r="E854" s="149"/>
      <c r="F854" s="149"/>
      <c r="G854" s="149"/>
      <c r="H854" s="149"/>
      <c r="I854" s="149"/>
      <c r="J854" s="149"/>
      <c r="K854" s="149"/>
      <c r="L854" s="149"/>
      <c r="M854" s="149"/>
      <c r="N854" s="149"/>
      <c r="O854" s="149"/>
      <c r="P854" s="149"/>
      <c r="Q854" s="149"/>
      <c r="R854" s="149"/>
      <c r="S854" s="149"/>
      <c r="T854" s="149"/>
      <c r="U854" s="149"/>
      <c r="V854" s="149"/>
      <c r="W854" s="149"/>
      <c r="X854" s="149"/>
      <c r="Y854" s="149"/>
      <c r="Z854" s="149"/>
      <c r="AA854" s="149"/>
      <c r="AB854" s="149"/>
      <c r="AC854" s="149"/>
      <c r="AD854" s="148"/>
      <c r="AE854" s="148"/>
      <c r="AF854" s="148"/>
      <c r="DB854" s="149"/>
    </row>
    <row r="855" spans="2:106">
      <c r="B855" s="149"/>
      <c r="C855" s="149"/>
      <c r="D855" s="149"/>
      <c r="E855" s="149"/>
      <c r="F855" s="149"/>
      <c r="G855" s="149"/>
      <c r="H855" s="149"/>
      <c r="I855" s="149"/>
      <c r="J855" s="149"/>
      <c r="K855" s="149"/>
      <c r="L855" s="149"/>
      <c r="M855" s="149"/>
      <c r="N855" s="149"/>
      <c r="O855" s="149"/>
      <c r="P855" s="149"/>
      <c r="Q855" s="149"/>
      <c r="R855" s="149"/>
      <c r="S855" s="149"/>
      <c r="T855" s="149"/>
      <c r="U855" s="149"/>
      <c r="V855" s="149"/>
      <c r="W855" s="149"/>
      <c r="X855" s="149"/>
      <c r="Y855" s="149"/>
      <c r="Z855" s="149"/>
      <c r="AA855" s="149"/>
      <c r="AB855" s="149"/>
      <c r="AC855" s="149"/>
      <c r="AD855" s="148"/>
      <c r="AE855" s="148"/>
      <c r="AF855" s="148"/>
      <c r="DB855" s="149"/>
    </row>
    <row r="856" spans="2:106">
      <c r="B856" s="149"/>
      <c r="C856" s="149"/>
      <c r="D856" s="149"/>
      <c r="E856" s="149"/>
      <c r="F856" s="149"/>
      <c r="G856" s="149"/>
      <c r="H856" s="149"/>
      <c r="I856" s="149"/>
      <c r="J856" s="149"/>
      <c r="K856" s="149"/>
      <c r="L856" s="149"/>
      <c r="M856" s="149"/>
      <c r="N856" s="149"/>
      <c r="O856" s="149"/>
      <c r="P856" s="149"/>
      <c r="Q856" s="149"/>
      <c r="R856" s="149"/>
      <c r="S856" s="149"/>
      <c r="T856" s="149"/>
      <c r="U856" s="149"/>
      <c r="V856" s="149"/>
      <c r="W856" s="149"/>
      <c r="X856" s="149"/>
      <c r="Y856" s="149"/>
      <c r="Z856" s="149"/>
      <c r="AA856" s="149"/>
      <c r="AB856" s="149"/>
      <c r="AC856" s="149"/>
      <c r="AD856" s="148"/>
      <c r="AE856" s="148"/>
      <c r="AF856" s="148"/>
      <c r="DB856" s="149"/>
    </row>
    <row r="857" spans="2:106">
      <c r="B857" s="149"/>
      <c r="C857" s="149"/>
      <c r="D857" s="149"/>
      <c r="E857" s="149"/>
      <c r="F857" s="149"/>
      <c r="G857" s="149"/>
      <c r="H857" s="149"/>
      <c r="I857" s="149"/>
      <c r="J857" s="149"/>
      <c r="K857" s="149"/>
      <c r="L857" s="149"/>
      <c r="M857" s="149"/>
      <c r="N857" s="149"/>
      <c r="O857" s="149"/>
      <c r="P857" s="149"/>
      <c r="Q857" s="149"/>
      <c r="R857" s="149"/>
      <c r="S857" s="149"/>
      <c r="T857" s="149"/>
      <c r="U857" s="149"/>
      <c r="V857" s="149"/>
      <c r="W857" s="149"/>
      <c r="X857" s="149"/>
      <c r="Y857" s="149"/>
      <c r="Z857" s="149"/>
      <c r="AA857" s="149"/>
      <c r="AB857" s="149"/>
      <c r="AC857" s="149"/>
      <c r="AD857" s="148"/>
      <c r="AE857" s="148"/>
      <c r="AF857" s="148"/>
      <c r="DB857" s="149"/>
    </row>
    <row r="858" spans="2:106">
      <c r="B858" s="149"/>
      <c r="C858" s="149"/>
      <c r="D858" s="149"/>
      <c r="E858" s="149"/>
      <c r="F858" s="149"/>
      <c r="G858" s="149"/>
      <c r="H858" s="149"/>
      <c r="I858" s="149"/>
      <c r="J858" s="149"/>
      <c r="K858" s="149"/>
      <c r="L858" s="149"/>
      <c r="M858" s="149"/>
      <c r="N858" s="149"/>
      <c r="O858" s="149"/>
      <c r="P858" s="149"/>
      <c r="Q858" s="149"/>
      <c r="R858" s="149"/>
      <c r="S858" s="149"/>
      <c r="T858" s="149"/>
      <c r="U858" s="149"/>
      <c r="V858" s="149"/>
      <c r="W858" s="149"/>
      <c r="X858" s="149"/>
      <c r="Y858" s="149"/>
      <c r="Z858" s="149"/>
      <c r="AA858" s="149"/>
      <c r="AB858" s="149"/>
      <c r="AC858" s="149"/>
      <c r="AD858" s="148"/>
      <c r="AE858" s="148"/>
      <c r="AF858" s="148"/>
      <c r="DB858" s="149"/>
    </row>
    <row r="859" spans="2:106">
      <c r="B859" s="149"/>
      <c r="C859" s="149"/>
      <c r="D859" s="149"/>
      <c r="E859" s="149"/>
      <c r="F859" s="149"/>
      <c r="G859" s="149"/>
      <c r="H859" s="149"/>
      <c r="I859" s="149"/>
      <c r="J859" s="149"/>
      <c r="K859" s="149"/>
      <c r="L859" s="149"/>
      <c r="M859" s="149"/>
      <c r="N859" s="149"/>
      <c r="O859" s="149"/>
      <c r="P859" s="149"/>
      <c r="Q859" s="149"/>
      <c r="R859" s="149"/>
      <c r="S859" s="149"/>
      <c r="T859" s="149"/>
      <c r="U859" s="149"/>
      <c r="V859" s="149"/>
      <c r="W859" s="149"/>
      <c r="X859" s="149"/>
      <c r="Y859" s="149"/>
      <c r="Z859" s="149"/>
      <c r="AA859" s="149"/>
      <c r="AB859" s="149"/>
      <c r="AC859" s="149"/>
      <c r="AD859" s="148"/>
      <c r="AE859" s="148"/>
      <c r="AF859" s="148"/>
      <c r="DB859" s="149"/>
    </row>
    <row r="860" spans="2:106">
      <c r="B860" s="149"/>
      <c r="C860" s="149"/>
      <c r="D860" s="149"/>
      <c r="E860" s="149"/>
      <c r="F860" s="149"/>
      <c r="G860" s="149"/>
      <c r="H860" s="149"/>
      <c r="I860" s="149"/>
      <c r="J860" s="149"/>
      <c r="K860" s="149"/>
      <c r="L860" s="149"/>
      <c r="M860" s="149"/>
      <c r="N860" s="149"/>
      <c r="O860" s="149"/>
      <c r="P860" s="149"/>
      <c r="Q860" s="149"/>
      <c r="R860" s="149"/>
      <c r="S860" s="149"/>
      <c r="T860" s="149"/>
      <c r="U860" s="149"/>
      <c r="V860" s="149"/>
      <c r="W860" s="149"/>
      <c r="X860" s="149"/>
      <c r="Y860" s="149"/>
      <c r="Z860" s="149"/>
      <c r="AA860" s="149"/>
      <c r="AB860" s="149"/>
      <c r="AC860" s="149"/>
      <c r="AD860" s="148"/>
      <c r="AE860" s="148"/>
      <c r="AF860" s="148"/>
      <c r="DB860" s="149"/>
    </row>
    <row r="861" spans="2:106">
      <c r="B861" s="149"/>
      <c r="C861" s="149"/>
      <c r="D861" s="149"/>
      <c r="E861" s="149"/>
      <c r="F861" s="149"/>
      <c r="G861" s="149"/>
      <c r="H861" s="149"/>
      <c r="I861" s="149"/>
      <c r="J861" s="149"/>
      <c r="K861" s="149"/>
      <c r="L861" s="149"/>
      <c r="M861" s="149"/>
      <c r="N861" s="149"/>
      <c r="O861" s="149"/>
      <c r="P861" s="149"/>
      <c r="Q861" s="149"/>
      <c r="R861" s="149"/>
      <c r="S861" s="149"/>
      <c r="T861" s="149"/>
      <c r="U861" s="149"/>
      <c r="V861" s="149"/>
      <c r="W861" s="149"/>
      <c r="X861" s="149"/>
      <c r="Y861" s="149"/>
      <c r="Z861" s="149"/>
      <c r="AA861" s="149"/>
      <c r="AB861" s="149"/>
      <c r="AC861" s="149"/>
      <c r="AD861" s="148"/>
      <c r="AE861" s="148"/>
      <c r="AF861" s="148"/>
      <c r="DB861" s="149"/>
    </row>
    <row r="862" spans="2:106">
      <c r="B862" s="149"/>
      <c r="C862" s="149"/>
      <c r="D862" s="149"/>
      <c r="E862" s="149"/>
      <c r="F862" s="149"/>
      <c r="G862" s="149"/>
      <c r="H862" s="149"/>
      <c r="I862" s="149"/>
      <c r="J862" s="149"/>
      <c r="K862" s="149"/>
      <c r="L862" s="149"/>
      <c r="M862" s="149"/>
      <c r="N862" s="149"/>
      <c r="O862" s="149"/>
      <c r="P862" s="149"/>
      <c r="Q862" s="149"/>
      <c r="R862" s="149"/>
      <c r="S862" s="149"/>
      <c r="T862" s="149"/>
      <c r="U862" s="149"/>
      <c r="V862" s="149"/>
      <c r="W862" s="149"/>
      <c r="X862" s="149"/>
      <c r="Y862" s="149"/>
      <c r="Z862" s="149"/>
      <c r="AA862" s="149"/>
      <c r="AB862" s="149"/>
      <c r="AC862" s="149"/>
      <c r="AD862" s="148"/>
      <c r="AE862" s="148"/>
      <c r="AF862" s="148"/>
      <c r="DB862" s="149"/>
    </row>
    <row r="863" spans="2:106">
      <c r="B863" s="149"/>
      <c r="C863" s="149"/>
      <c r="D863" s="149"/>
      <c r="E863" s="149"/>
      <c r="F863" s="149"/>
      <c r="G863" s="149"/>
      <c r="H863" s="149"/>
      <c r="I863" s="149"/>
      <c r="J863" s="149"/>
      <c r="K863" s="149"/>
      <c r="L863" s="149"/>
      <c r="M863" s="149"/>
      <c r="N863" s="149"/>
      <c r="O863" s="149"/>
      <c r="P863" s="149"/>
      <c r="Q863" s="149"/>
      <c r="R863" s="149"/>
      <c r="S863" s="149"/>
      <c r="T863" s="149"/>
      <c r="U863" s="149"/>
      <c r="V863" s="149"/>
      <c r="W863" s="149"/>
      <c r="X863" s="149"/>
      <c r="Y863" s="149"/>
      <c r="Z863" s="149"/>
      <c r="AA863" s="149"/>
      <c r="AB863" s="149"/>
      <c r="AC863" s="149"/>
      <c r="AD863" s="148"/>
      <c r="AE863" s="148"/>
      <c r="AF863" s="148"/>
      <c r="DB863" s="149"/>
    </row>
    <row r="864" spans="2:106">
      <c r="B864" s="149"/>
      <c r="C864" s="149"/>
      <c r="D864" s="149"/>
      <c r="E864" s="149"/>
      <c r="F864" s="149"/>
      <c r="G864" s="149"/>
      <c r="H864" s="149"/>
      <c r="I864" s="149"/>
      <c r="J864" s="149"/>
      <c r="K864" s="149"/>
      <c r="L864" s="149"/>
      <c r="M864" s="149"/>
      <c r="N864" s="149"/>
      <c r="O864" s="149"/>
      <c r="P864" s="149"/>
      <c r="Q864" s="149"/>
      <c r="R864" s="149"/>
      <c r="S864" s="149"/>
      <c r="T864" s="149"/>
      <c r="U864" s="149"/>
      <c r="V864" s="149"/>
      <c r="W864" s="149"/>
      <c r="X864" s="149"/>
      <c r="Y864" s="149"/>
      <c r="Z864" s="149"/>
      <c r="AA864" s="149"/>
      <c r="AB864" s="149"/>
      <c r="AC864" s="149"/>
      <c r="AD864" s="148"/>
      <c r="AE864" s="148"/>
      <c r="AF864" s="148"/>
      <c r="DB864" s="149"/>
    </row>
    <row r="865" spans="2:106">
      <c r="B865" s="149"/>
      <c r="C865" s="149"/>
      <c r="D865" s="149"/>
      <c r="E865" s="149"/>
      <c r="F865" s="149"/>
      <c r="G865" s="149"/>
      <c r="H865" s="149"/>
      <c r="I865" s="149"/>
      <c r="J865" s="149"/>
      <c r="K865" s="149"/>
      <c r="L865" s="149"/>
      <c r="M865" s="149"/>
      <c r="N865" s="149"/>
      <c r="O865" s="149"/>
      <c r="P865" s="149"/>
      <c r="Q865" s="149"/>
      <c r="R865" s="149"/>
      <c r="S865" s="149"/>
      <c r="T865" s="149"/>
      <c r="U865" s="149"/>
      <c r="V865" s="149"/>
      <c r="W865" s="149"/>
      <c r="X865" s="149"/>
      <c r="Y865" s="149"/>
      <c r="Z865" s="149"/>
      <c r="AA865" s="149"/>
      <c r="AB865" s="149"/>
      <c r="AC865" s="149"/>
      <c r="AD865" s="148"/>
      <c r="AE865" s="148"/>
      <c r="AF865" s="148"/>
      <c r="DB865" s="149"/>
    </row>
    <row r="866" spans="2:106">
      <c r="B866" s="149"/>
      <c r="C866" s="149"/>
      <c r="D866" s="149"/>
      <c r="E866" s="149"/>
      <c r="F866" s="149"/>
      <c r="G866" s="149"/>
      <c r="H866" s="149"/>
      <c r="I866" s="149"/>
      <c r="J866" s="149"/>
      <c r="K866" s="149"/>
      <c r="L866" s="149"/>
      <c r="M866" s="149"/>
      <c r="N866" s="149"/>
      <c r="O866" s="149"/>
      <c r="P866" s="149"/>
      <c r="Q866" s="149"/>
      <c r="R866" s="149"/>
      <c r="S866" s="149"/>
      <c r="T866" s="149"/>
      <c r="U866" s="149"/>
      <c r="V866" s="149"/>
      <c r="W866" s="149"/>
      <c r="X866" s="149"/>
      <c r="Y866" s="149"/>
      <c r="Z866" s="149"/>
      <c r="AA866" s="149"/>
      <c r="AB866" s="149"/>
      <c r="AC866" s="149"/>
      <c r="AD866" s="148"/>
      <c r="AE866" s="148"/>
      <c r="AF866" s="148"/>
      <c r="DB866" s="149"/>
    </row>
    <row r="867" spans="2:106">
      <c r="B867" s="149"/>
      <c r="C867" s="149"/>
      <c r="D867" s="149"/>
      <c r="E867" s="149"/>
      <c r="F867" s="149"/>
      <c r="G867" s="149"/>
      <c r="H867" s="149"/>
      <c r="I867" s="149"/>
      <c r="J867" s="149"/>
      <c r="K867" s="149"/>
      <c r="L867" s="149"/>
      <c r="M867" s="149"/>
      <c r="N867" s="149"/>
      <c r="O867" s="149"/>
      <c r="P867" s="149"/>
      <c r="Q867" s="149"/>
      <c r="R867" s="149"/>
      <c r="S867" s="149"/>
      <c r="T867" s="149"/>
      <c r="U867" s="149"/>
      <c r="V867" s="149"/>
      <c r="W867" s="149"/>
      <c r="X867" s="149"/>
      <c r="Y867" s="149"/>
      <c r="Z867" s="149"/>
      <c r="AA867" s="149"/>
      <c r="AB867" s="149"/>
      <c r="AC867" s="149"/>
      <c r="AD867" s="148"/>
      <c r="AE867" s="148"/>
      <c r="AF867" s="148"/>
      <c r="DB867" s="149"/>
    </row>
    <row r="868" spans="2:106">
      <c r="B868" s="149"/>
      <c r="C868" s="149"/>
      <c r="D868" s="149"/>
      <c r="E868" s="149"/>
      <c r="F868" s="149"/>
      <c r="G868" s="149"/>
      <c r="H868" s="149"/>
      <c r="I868" s="149"/>
      <c r="J868" s="149"/>
      <c r="K868" s="149"/>
      <c r="L868" s="149"/>
      <c r="M868" s="149"/>
      <c r="N868" s="149"/>
      <c r="O868" s="149"/>
      <c r="P868" s="149"/>
      <c r="Q868" s="149"/>
      <c r="R868" s="149"/>
      <c r="S868" s="149"/>
      <c r="T868" s="149"/>
      <c r="U868" s="149"/>
      <c r="V868" s="149"/>
      <c r="W868" s="149"/>
      <c r="X868" s="149"/>
      <c r="Y868" s="149"/>
      <c r="Z868" s="149"/>
      <c r="AA868" s="149"/>
      <c r="AB868" s="149"/>
      <c r="AC868" s="149"/>
      <c r="AD868" s="148"/>
      <c r="AE868" s="148"/>
      <c r="AF868" s="148"/>
      <c r="DB868" s="149"/>
    </row>
    <row r="869" spans="2:106">
      <c r="B869" s="149"/>
      <c r="C869" s="149"/>
      <c r="D869" s="149"/>
      <c r="E869" s="149"/>
      <c r="F869" s="149"/>
      <c r="G869" s="149"/>
      <c r="H869" s="149"/>
      <c r="I869" s="149"/>
      <c r="J869" s="149"/>
      <c r="K869" s="149"/>
      <c r="L869" s="149"/>
      <c r="M869" s="149"/>
      <c r="N869" s="149"/>
      <c r="O869" s="149"/>
      <c r="P869" s="149"/>
      <c r="Q869" s="149"/>
      <c r="R869" s="149"/>
      <c r="S869" s="149"/>
      <c r="T869" s="149"/>
      <c r="U869" s="149"/>
      <c r="V869" s="149"/>
      <c r="W869" s="149"/>
      <c r="X869" s="149"/>
      <c r="Y869" s="149"/>
      <c r="Z869" s="149"/>
      <c r="AA869" s="149"/>
      <c r="AB869" s="149"/>
      <c r="AC869" s="149"/>
      <c r="AD869" s="148"/>
      <c r="AE869" s="148"/>
      <c r="AF869" s="148"/>
      <c r="DB869" s="149"/>
    </row>
    <row r="870" spans="2:106">
      <c r="B870" s="149"/>
      <c r="C870" s="149"/>
      <c r="D870" s="149"/>
      <c r="E870" s="149"/>
      <c r="F870" s="149"/>
      <c r="G870" s="149"/>
      <c r="H870" s="149"/>
      <c r="I870" s="149"/>
      <c r="J870" s="149"/>
      <c r="K870" s="149"/>
      <c r="L870" s="149"/>
      <c r="M870" s="149"/>
      <c r="N870" s="149"/>
      <c r="O870" s="149"/>
      <c r="P870" s="149"/>
      <c r="Q870" s="149"/>
      <c r="R870" s="149"/>
      <c r="S870" s="149"/>
      <c r="T870" s="149"/>
      <c r="U870" s="149"/>
      <c r="V870" s="149"/>
      <c r="W870" s="149"/>
      <c r="X870" s="149"/>
      <c r="Y870" s="149"/>
      <c r="Z870" s="149"/>
      <c r="AA870" s="149"/>
      <c r="AB870" s="149"/>
      <c r="AC870" s="149"/>
      <c r="AD870" s="148"/>
      <c r="AE870" s="148"/>
      <c r="AF870" s="148"/>
      <c r="DB870" s="149"/>
    </row>
    <row r="871" spans="2:106">
      <c r="B871" s="149"/>
      <c r="C871" s="149"/>
      <c r="D871" s="149"/>
      <c r="E871" s="149"/>
      <c r="F871" s="149"/>
      <c r="G871" s="149"/>
      <c r="H871" s="149"/>
      <c r="I871" s="149"/>
      <c r="J871" s="149"/>
      <c r="K871" s="149"/>
      <c r="L871" s="149"/>
      <c r="M871" s="149"/>
      <c r="N871" s="149"/>
      <c r="O871" s="149"/>
      <c r="P871" s="149"/>
      <c r="Q871" s="149"/>
      <c r="R871" s="149"/>
      <c r="S871" s="149"/>
      <c r="T871" s="149"/>
      <c r="U871" s="149"/>
      <c r="V871" s="149"/>
      <c r="W871" s="149"/>
      <c r="X871" s="149"/>
      <c r="Y871" s="149"/>
      <c r="Z871" s="149"/>
      <c r="AA871" s="149"/>
      <c r="AB871" s="149"/>
      <c r="AC871" s="149"/>
      <c r="AD871" s="148"/>
      <c r="AE871" s="148"/>
      <c r="AF871" s="148"/>
      <c r="DB871" s="149"/>
    </row>
    <row r="872" spans="2:106">
      <c r="B872" s="149"/>
      <c r="C872" s="149"/>
      <c r="D872" s="149"/>
      <c r="E872" s="149"/>
      <c r="F872" s="149"/>
      <c r="G872" s="149"/>
      <c r="H872" s="149"/>
      <c r="I872" s="149"/>
      <c r="J872" s="149"/>
      <c r="K872" s="149"/>
      <c r="L872" s="149"/>
      <c r="M872" s="149"/>
      <c r="N872" s="149"/>
      <c r="O872" s="149"/>
      <c r="P872" s="149"/>
      <c r="Q872" s="149"/>
      <c r="R872" s="149"/>
      <c r="S872" s="149"/>
      <c r="T872" s="149"/>
      <c r="U872" s="149"/>
      <c r="V872" s="149"/>
      <c r="W872" s="149"/>
      <c r="X872" s="149"/>
      <c r="Y872" s="149"/>
      <c r="Z872" s="149"/>
      <c r="AA872" s="149"/>
      <c r="AB872" s="149"/>
      <c r="AC872" s="149"/>
      <c r="AD872" s="148"/>
      <c r="AE872" s="148"/>
      <c r="AF872" s="148"/>
      <c r="DB872" s="149"/>
    </row>
    <row r="873" spans="2:106">
      <c r="B873" s="149"/>
      <c r="C873" s="149"/>
      <c r="D873" s="149"/>
      <c r="E873" s="149"/>
      <c r="F873" s="149"/>
      <c r="G873" s="149"/>
      <c r="H873" s="149"/>
      <c r="I873" s="149"/>
      <c r="J873" s="149"/>
      <c r="K873" s="149"/>
      <c r="L873" s="149"/>
      <c r="M873" s="149"/>
      <c r="N873" s="149"/>
      <c r="O873" s="149"/>
      <c r="P873" s="149"/>
      <c r="Q873" s="149"/>
      <c r="R873" s="149"/>
      <c r="S873" s="149"/>
      <c r="T873" s="149"/>
      <c r="U873" s="149"/>
      <c r="V873" s="149"/>
      <c r="W873" s="149"/>
      <c r="X873" s="149"/>
      <c r="Y873" s="149"/>
      <c r="Z873" s="149"/>
      <c r="AA873" s="149"/>
      <c r="AB873" s="149"/>
      <c r="AC873" s="149"/>
      <c r="AD873" s="148"/>
      <c r="AE873" s="148"/>
      <c r="AF873" s="148"/>
      <c r="DB873" s="149"/>
    </row>
    <row r="874" spans="2:106">
      <c r="B874" s="149"/>
      <c r="C874" s="149"/>
      <c r="D874" s="149"/>
      <c r="E874" s="149"/>
      <c r="F874" s="149"/>
      <c r="G874" s="149"/>
      <c r="H874" s="149"/>
      <c r="I874" s="149"/>
      <c r="J874" s="149"/>
      <c r="K874" s="149"/>
      <c r="L874" s="149"/>
      <c r="M874" s="149"/>
      <c r="N874" s="149"/>
      <c r="O874" s="149"/>
      <c r="P874" s="149"/>
      <c r="Q874" s="149"/>
      <c r="R874" s="149"/>
      <c r="S874" s="149"/>
      <c r="T874" s="149"/>
      <c r="U874" s="149"/>
      <c r="V874" s="149"/>
      <c r="W874" s="149"/>
      <c r="X874" s="149"/>
      <c r="Y874" s="149"/>
      <c r="Z874" s="149"/>
      <c r="AA874" s="149"/>
      <c r="AB874" s="149"/>
      <c r="AC874" s="149"/>
      <c r="AD874" s="148"/>
      <c r="AE874" s="148"/>
      <c r="AF874" s="148"/>
      <c r="DB874" s="149"/>
    </row>
    <row r="875" spans="2:106">
      <c r="B875" s="149"/>
      <c r="C875" s="149"/>
      <c r="D875" s="149"/>
      <c r="E875" s="149"/>
      <c r="F875" s="149"/>
      <c r="G875" s="149"/>
      <c r="H875" s="149"/>
      <c r="I875" s="149"/>
      <c r="J875" s="149"/>
      <c r="K875" s="149"/>
      <c r="L875" s="149"/>
      <c r="M875" s="149"/>
      <c r="N875" s="149"/>
      <c r="O875" s="149"/>
      <c r="P875" s="149"/>
      <c r="Q875" s="149"/>
      <c r="R875" s="149"/>
      <c r="S875" s="149"/>
      <c r="T875" s="149"/>
      <c r="U875" s="149"/>
      <c r="V875" s="149"/>
      <c r="W875" s="149"/>
      <c r="X875" s="149"/>
      <c r="Y875" s="149"/>
      <c r="Z875" s="149"/>
      <c r="AA875" s="149"/>
      <c r="AB875" s="149"/>
      <c r="AC875" s="149"/>
      <c r="AD875" s="148"/>
      <c r="AE875" s="148"/>
      <c r="AF875" s="148"/>
      <c r="DB875" s="149"/>
    </row>
    <row r="876" spans="2:106">
      <c r="B876" s="149"/>
      <c r="C876" s="149"/>
      <c r="D876" s="149"/>
      <c r="E876" s="149"/>
      <c r="F876" s="149"/>
      <c r="G876" s="149"/>
      <c r="H876" s="149"/>
      <c r="I876" s="149"/>
      <c r="J876" s="149"/>
      <c r="K876" s="149"/>
      <c r="L876" s="149"/>
      <c r="M876" s="149"/>
      <c r="N876" s="149"/>
      <c r="O876" s="149"/>
      <c r="P876" s="149"/>
      <c r="Q876" s="149"/>
      <c r="R876" s="149"/>
      <c r="S876" s="149"/>
      <c r="T876" s="149"/>
      <c r="U876" s="149"/>
      <c r="V876" s="149"/>
      <c r="W876" s="149"/>
      <c r="X876" s="149"/>
      <c r="Y876" s="149"/>
      <c r="Z876" s="149"/>
      <c r="AA876" s="149"/>
      <c r="AB876" s="149"/>
      <c r="AC876" s="149"/>
      <c r="AD876" s="148"/>
      <c r="AE876" s="148"/>
      <c r="AF876" s="148"/>
      <c r="DB876" s="149"/>
    </row>
    <row r="877" spans="2:106">
      <c r="B877" s="149"/>
      <c r="C877" s="149"/>
      <c r="D877" s="149"/>
      <c r="E877" s="149"/>
      <c r="F877" s="149"/>
      <c r="G877" s="149"/>
      <c r="H877" s="149"/>
      <c r="I877" s="149"/>
      <c r="J877" s="149"/>
      <c r="K877" s="149"/>
      <c r="L877" s="149"/>
      <c r="M877" s="149"/>
      <c r="N877" s="149"/>
      <c r="O877" s="149"/>
      <c r="P877" s="149"/>
      <c r="Q877" s="149"/>
      <c r="R877" s="149"/>
      <c r="S877" s="149"/>
      <c r="T877" s="149"/>
      <c r="U877" s="149"/>
      <c r="V877" s="149"/>
      <c r="W877" s="149"/>
      <c r="X877" s="149"/>
      <c r="Y877" s="149"/>
      <c r="Z877" s="149"/>
      <c r="AA877" s="149"/>
      <c r="AB877" s="149"/>
      <c r="AC877" s="149"/>
      <c r="AD877" s="148"/>
      <c r="AE877" s="148"/>
      <c r="AF877" s="148"/>
      <c r="DB877" s="149"/>
    </row>
    <row r="878" spans="2:106">
      <c r="B878" s="149"/>
      <c r="C878" s="149"/>
      <c r="D878" s="149"/>
      <c r="E878" s="149"/>
      <c r="F878" s="149"/>
      <c r="G878" s="149"/>
      <c r="H878" s="149"/>
      <c r="I878" s="149"/>
      <c r="J878" s="149"/>
      <c r="K878" s="149"/>
      <c r="L878" s="149"/>
      <c r="M878" s="149"/>
      <c r="N878" s="149"/>
      <c r="O878" s="149"/>
      <c r="P878" s="149"/>
      <c r="Q878" s="149"/>
      <c r="R878" s="149"/>
      <c r="S878" s="149"/>
      <c r="T878" s="149"/>
      <c r="U878" s="149"/>
      <c r="V878" s="149"/>
      <c r="W878" s="149"/>
      <c r="X878" s="149"/>
      <c r="Y878" s="149"/>
      <c r="Z878" s="149"/>
      <c r="AA878" s="149"/>
      <c r="AB878" s="149"/>
      <c r="AC878" s="149"/>
      <c r="AD878" s="148"/>
      <c r="AE878" s="148"/>
      <c r="AF878" s="148"/>
      <c r="DB878" s="149"/>
    </row>
    <row r="879" spans="2:106">
      <c r="B879" s="149"/>
      <c r="C879" s="149"/>
      <c r="D879" s="149"/>
      <c r="E879" s="149"/>
      <c r="F879" s="149"/>
      <c r="G879" s="149"/>
      <c r="H879" s="149"/>
      <c r="I879" s="149"/>
      <c r="J879" s="149"/>
      <c r="K879" s="149"/>
      <c r="L879" s="149"/>
      <c r="M879" s="149"/>
      <c r="N879" s="149"/>
      <c r="O879" s="149"/>
      <c r="P879" s="149"/>
      <c r="Q879" s="149"/>
      <c r="R879" s="149"/>
      <c r="S879" s="149"/>
      <c r="T879" s="149"/>
      <c r="U879" s="149"/>
      <c r="V879" s="149"/>
      <c r="W879" s="149"/>
      <c r="X879" s="149"/>
      <c r="Y879" s="149"/>
      <c r="Z879" s="149"/>
      <c r="AA879" s="149"/>
      <c r="AB879" s="149"/>
      <c r="AC879" s="149"/>
      <c r="AD879" s="148"/>
      <c r="AE879" s="148"/>
      <c r="AF879" s="148"/>
      <c r="DB879" s="149"/>
    </row>
    <row r="880" spans="2:106">
      <c r="B880" s="149"/>
      <c r="C880" s="149"/>
      <c r="D880" s="149"/>
      <c r="E880" s="149"/>
      <c r="F880" s="149"/>
      <c r="G880" s="149"/>
      <c r="H880" s="149"/>
      <c r="I880" s="149"/>
      <c r="J880" s="149"/>
      <c r="K880" s="149"/>
      <c r="L880" s="149"/>
      <c r="M880" s="149"/>
      <c r="N880" s="149"/>
      <c r="O880" s="149"/>
      <c r="P880" s="149"/>
      <c r="Q880" s="149"/>
      <c r="R880" s="149"/>
      <c r="S880" s="149"/>
      <c r="T880" s="149"/>
      <c r="U880" s="149"/>
      <c r="V880" s="149"/>
      <c r="W880" s="149"/>
      <c r="X880" s="149"/>
      <c r="Y880" s="149"/>
      <c r="Z880" s="149"/>
      <c r="AA880" s="149"/>
      <c r="AB880" s="149"/>
      <c r="AC880" s="149"/>
      <c r="AD880" s="148"/>
      <c r="AE880" s="148"/>
      <c r="AF880" s="148"/>
      <c r="DB880" s="149"/>
    </row>
    <row r="881" spans="2:106">
      <c r="B881" s="149"/>
      <c r="C881" s="149"/>
      <c r="D881" s="149"/>
      <c r="E881" s="149"/>
      <c r="F881" s="149"/>
      <c r="G881" s="149"/>
      <c r="H881" s="149"/>
      <c r="I881" s="149"/>
      <c r="J881" s="149"/>
      <c r="K881" s="149"/>
      <c r="L881" s="149"/>
      <c r="M881" s="149"/>
      <c r="N881" s="149"/>
      <c r="O881" s="149"/>
      <c r="P881" s="149"/>
      <c r="Q881" s="149"/>
      <c r="R881" s="149"/>
      <c r="S881" s="149"/>
      <c r="T881" s="149"/>
      <c r="U881" s="149"/>
      <c r="V881" s="149"/>
      <c r="W881" s="149"/>
      <c r="X881" s="149"/>
      <c r="Y881" s="149"/>
      <c r="Z881" s="149"/>
      <c r="AA881" s="149"/>
      <c r="AB881" s="149"/>
      <c r="AC881" s="149"/>
      <c r="AD881" s="148"/>
      <c r="AE881" s="148"/>
      <c r="AF881" s="148"/>
      <c r="DB881" s="149"/>
    </row>
    <row r="882" spans="2:106">
      <c r="B882" s="149"/>
      <c r="C882" s="149"/>
      <c r="D882" s="149"/>
      <c r="E882" s="149"/>
      <c r="F882" s="149"/>
      <c r="G882" s="149"/>
      <c r="H882" s="149"/>
      <c r="I882" s="149"/>
      <c r="J882" s="149"/>
      <c r="K882" s="149"/>
      <c r="L882" s="149"/>
      <c r="M882" s="149"/>
      <c r="N882" s="149"/>
      <c r="O882" s="149"/>
      <c r="P882" s="149"/>
      <c r="Q882" s="149"/>
      <c r="R882" s="149"/>
      <c r="S882" s="149"/>
      <c r="T882" s="149"/>
      <c r="U882" s="149"/>
      <c r="V882" s="149"/>
      <c r="W882" s="149"/>
      <c r="X882" s="149"/>
      <c r="Y882" s="149"/>
      <c r="Z882" s="149"/>
      <c r="AA882" s="149"/>
      <c r="AB882" s="149"/>
      <c r="AC882" s="149"/>
      <c r="AD882" s="148"/>
      <c r="AE882" s="148"/>
      <c r="AF882" s="148"/>
      <c r="DB882" s="149"/>
    </row>
    <row r="883" spans="2:106">
      <c r="B883" s="149"/>
      <c r="C883" s="149"/>
      <c r="D883" s="149"/>
      <c r="E883" s="149"/>
      <c r="F883" s="149"/>
      <c r="G883" s="149"/>
      <c r="H883" s="149"/>
      <c r="I883" s="149"/>
      <c r="J883" s="149"/>
      <c r="K883" s="149"/>
      <c r="L883" s="149"/>
      <c r="M883" s="149"/>
      <c r="N883" s="149"/>
      <c r="O883" s="149"/>
      <c r="P883" s="149"/>
      <c r="Q883" s="149"/>
      <c r="R883" s="149"/>
      <c r="S883" s="149"/>
      <c r="T883" s="149"/>
      <c r="U883" s="149"/>
      <c r="V883" s="149"/>
      <c r="W883" s="149"/>
      <c r="X883" s="149"/>
      <c r="Y883" s="149"/>
      <c r="Z883" s="149"/>
      <c r="AA883" s="149"/>
      <c r="AB883" s="149"/>
      <c r="AC883" s="149"/>
      <c r="AD883" s="148"/>
      <c r="AE883" s="148"/>
      <c r="AF883" s="148"/>
      <c r="DB883" s="149"/>
    </row>
    <row r="884" spans="2:106">
      <c r="B884" s="149"/>
      <c r="C884" s="149"/>
      <c r="D884" s="149"/>
      <c r="E884" s="149"/>
      <c r="F884" s="149"/>
      <c r="G884" s="149"/>
      <c r="H884" s="149"/>
      <c r="I884" s="149"/>
      <c r="J884" s="149"/>
      <c r="K884" s="149"/>
      <c r="L884" s="149"/>
      <c r="M884" s="149"/>
      <c r="N884" s="149"/>
      <c r="O884" s="149"/>
      <c r="P884" s="149"/>
      <c r="Q884" s="149"/>
      <c r="R884" s="149"/>
      <c r="S884" s="149"/>
      <c r="T884" s="149"/>
      <c r="U884" s="149"/>
      <c r="V884" s="149"/>
      <c r="W884" s="149"/>
      <c r="X884" s="149"/>
      <c r="Y884" s="149"/>
      <c r="Z884" s="149"/>
      <c r="AA884" s="149"/>
      <c r="AB884" s="149"/>
      <c r="AC884" s="149"/>
      <c r="AD884" s="148"/>
      <c r="AE884" s="148"/>
      <c r="AF884" s="148"/>
      <c r="DB884" s="149"/>
    </row>
    <row r="885" spans="2:106">
      <c r="B885" s="149"/>
      <c r="C885" s="149"/>
      <c r="D885" s="149"/>
      <c r="E885" s="149"/>
      <c r="F885" s="149"/>
      <c r="G885" s="149"/>
      <c r="H885" s="149"/>
      <c r="I885" s="149"/>
      <c r="J885" s="149"/>
      <c r="K885" s="149"/>
      <c r="L885" s="149"/>
      <c r="M885" s="149"/>
      <c r="N885" s="149"/>
      <c r="O885" s="149"/>
      <c r="P885" s="149"/>
      <c r="Q885" s="149"/>
      <c r="R885" s="149"/>
      <c r="S885" s="149"/>
      <c r="T885" s="149"/>
      <c r="U885" s="149"/>
      <c r="V885" s="149"/>
      <c r="W885" s="149"/>
      <c r="X885" s="149"/>
      <c r="Y885" s="149"/>
      <c r="Z885" s="149"/>
      <c r="AA885" s="149"/>
      <c r="AB885" s="149"/>
      <c r="AC885" s="149"/>
      <c r="AD885" s="148"/>
      <c r="AE885" s="148"/>
      <c r="AF885" s="148"/>
      <c r="DB885" s="149"/>
    </row>
    <row r="886" spans="2:106">
      <c r="B886" s="149"/>
      <c r="C886" s="149"/>
      <c r="D886" s="149"/>
      <c r="E886" s="149"/>
      <c r="F886" s="149"/>
      <c r="G886" s="149"/>
      <c r="H886" s="149"/>
      <c r="I886" s="149"/>
      <c r="J886" s="149"/>
      <c r="K886" s="149"/>
      <c r="L886" s="149"/>
      <c r="M886" s="149"/>
      <c r="N886" s="149"/>
      <c r="O886" s="149"/>
      <c r="P886" s="149"/>
      <c r="Q886" s="149"/>
      <c r="R886" s="149"/>
      <c r="S886" s="149"/>
      <c r="T886" s="149"/>
      <c r="U886" s="149"/>
      <c r="V886" s="149"/>
      <c r="W886" s="149"/>
      <c r="X886" s="149"/>
      <c r="Y886" s="149"/>
      <c r="Z886" s="149"/>
      <c r="AA886" s="149"/>
      <c r="AB886" s="149"/>
      <c r="AC886" s="149"/>
      <c r="AD886" s="148"/>
      <c r="AE886" s="148"/>
      <c r="AF886" s="148"/>
      <c r="DB886" s="149"/>
    </row>
    <row r="887" spans="2:106">
      <c r="B887" s="149"/>
      <c r="C887" s="149"/>
      <c r="D887" s="149"/>
      <c r="E887" s="149"/>
      <c r="F887" s="149"/>
      <c r="G887" s="149"/>
      <c r="H887" s="149"/>
      <c r="I887" s="149"/>
      <c r="J887" s="149"/>
      <c r="K887" s="149"/>
      <c r="L887" s="149"/>
      <c r="M887" s="149"/>
      <c r="N887" s="149"/>
      <c r="O887" s="149"/>
      <c r="P887" s="149"/>
      <c r="Q887" s="149"/>
      <c r="R887" s="149"/>
      <c r="S887" s="149"/>
      <c r="T887" s="149"/>
      <c r="U887" s="149"/>
      <c r="V887" s="149"/>
      <c r="W887" s="149"/>
      <c r="X887" s="149"/>
      <c r="Y887" s="149"/>
      <c r="Z887" s="149"/>
      <c r="AA887" s="149"/>
      <c r="AB887" s="149"/>
      <c r="AC887" s="149"/>
      <c r="AD887" s="148"/>
      <c r="AE887" s="148"/>
      <c r="AF887" s="148"/>
      <c r="DB887" s="149"/>
    </row>
    <row r="888" spans="2:106">
      <c r="B888" s="149"/>
      <c r="C888" s="149"/>
      <c r="D888" s="149"/>
      <c r="E888" s="149"/>
      <c r="F888" s="149"/>
      <c r="G888" s="149"/>
      <c r="H888" s="149"/>
      <c r="I888" s="149"/>
      <c r="J888" s="149"/>
      <c r="K888" s="149"/>
      <c r="L888" s="149"/>
      <c r="M888" s="149"/>
      <c r="N888" s="149"/>
      <c r="O888" s="149"/>
      <c r="P888" s="149"/>
      <c r="Q888" s="149"/>
      <c r="R888" s="149"/>
      <c r="S888" s="149"/>
      <c r="T888" s="149"/>
      <c r="U888" s="149"/>
      <c r="V888" s="149"/>
      <c r="W888" s="149"/>
      <c r="X888" s="149"/>
      <c r="Y888" s="149"/>
      <c r="Z888" s="149"/>
      <c r="AA888" s="149"/>
      <c r="AB888" s="149"/>
      <c r="AC888" s="149"/>
      <c r="AD888" s="148"/>
      <c r="AE888" s="148"/>
      <c r="AF888" s="148"/>
      <c r="DB888" s="149"/>
    </row>
    <row r="889" spans="2:106">
      <c r="B889" s="149"/>
      <c r="C889" s="149"/>
      <c r="D889" s="149"/>
      <c r="E889" s="149"/>
      <c r="F889" s="149"/>
      <c r="G889" s="149"/>
      <c r="H889" s="149"/>
      <c r="I889" s="149"/>
      <c r="J889" s="149"/>
      <c r="K889" s="149"/>
      <c r="L889" s="149"/>
      <c r="M889" s="149"/>
      <c r="N889" s="149"/>
      <c r="O889" s="149"/>
      <c r="P889" s="149"/>
      <c r="Q889" s="149"/>
      <c r="R889" s="149"/>
      <c r="S889" s="149"/>
      <c r="T889" s="149"/>
      <c r="U889" s="149"/>
      <c r="V889" s="149"/>
      <c r="W889" s="149"/>
      <c r="X889" s="149"/>
      <c r="Y889" s="149"/>
      <c r="Z889" s="149"/>
      <c r="AA889" s="149"/>
      <c r="AB889" s="149"/>
      <c r="AC889" s="149"/>
      <c r="AD889" s="148"/>
      <c r="AE889" s="148"/>
      <c r="AF889" s="148"/>
      <c r="DB889" s="149"/>
    </row>
    <row r="890" spans="2:106">
      <c r="B890" s="149"/>
      <c r="C890" s="149"/>
      <c r="D890" s="149"/>
      <c r="E890" s="149"/>
      <c r="F890" s="149"/>
      <c r="G890" s="149"/>
      <c r="H890" s="149"/>
      <c r="I890" s="149"/>
      <c r="J890" s="149"/>
      <c r="K890" s="149"/>
      <c r="L890" s="149"/>
      <c r="M890" s="149"/>
      <c r="N890" s="149"/>
      <c r="O890" s="149"/>
      <c r="P890" s="149"/>
      <c r="Q890" s="149"/>
      <c r="R890" s="149"/>
      <c r="S890" s="149"/>
      <c r="T890" s="149"/>
      <c r="U890" s="149"/>
      <c r="V890" s="149"/>
      <c r="W890" s="149"/>
      <c r="X890" s="149"/>
      <c r="Y890" s="149"/>
      <c r="Z890" s="149"/>
      <c r="AA890" s="149"/>
      <c r="AB890" s="149"/>
      <c r="AC890" s="149"/>
      <c r="AD890" s="148"/>
      <c r="AE890" s="148"/>
      <c r="AF890" s="148"/>
      <c r="DB890" s="149"/>
    </row>
    <row r="891" spans="2:106">
      <c r="B891" s="149"/>
      <c r="C891" s="149"/>
      <c r="D891" s="149"/>
      <c r="E891" s="149"/>
      <c r="F891" s="149"/>
      <c r="G891" s="149"/>
      <c r="H891" s="149"/>
      <c r="I891" s="149"/>
      <c r="J891" s="149"/>
      <c r="K891" s="149"/>
      <c r="L891" s="149"/>
      <c r="M891" s="149"/>
      <c r="N891" s="149"/>
      <c r="O891" s="149"/>
      <c r="P891" s="149"/>
      <c r="Q891" s="149"/>
      <c r="R891" s="149"/>
      <c r="S891" s="149"/>
      <c r="T891" s="149"/>
      <c r="U891" s="149"/>
      <c r="V891" s="149"/>
      <c r="W891" s="149"/>
      <c r="X891" s="149"/>
      <c r="Y891" s="149"/>
      <c r="Z891" s="149"/>
      <c r="AA891" s="149"/>
      <c r="AB891" s="149"/>
      <c r="AC891" s="149"/>
      <c r="AD891" s="148"/>
      <c r="AE891" s="148"/>
      <c r="AF891" s="148"/>
      <c r="DB891" s="149"/>
    </row>
    <row r="892" spans="2:106">
      <c r="B892" s="149"/>
      <c r="C892" s="149"/>
      <c r="D892" s="149"/>
      <c r="E892" s="149"/>
      <c r="F892" s="149"/>
      <c r="G892" s="149"/>
      <c r="H892" s="149"/>
      <c r="I892" s="149"/>
      <c r="J892" s="149"/>
      <c r="K892" s="149"/>
      <c r="L892" s="149"/>
      <c r="M892" s="149"/>
      <c r="N892" s="149"/>
      <c r="O892" s="149"/>
      <c r="P892" s="149"/>
      <c r="Q892" s="149"/>
      <c r="R892" s="149"/>
      <c r="S892" s="149"/>
      <c r="T892" s="149"/>
      <c r="U892" s="149"/>
      <c r="V892" s="149"/>
      <c r="W892" s="149"/>
      <c r="X892" s="149"/>
      <c r="Y892" s="149"/>
      <c r="Z892" s="149"/>
      <c r="AA892" s="149"/>
      <c r="AB892" s="149"/>
      <c r="AC892" s="149"/>
      <c r="AD892" s="148"/>
      <c r="AE892" s="148"/>
      <c r="AF892" s="148"/>
      <c r="DB892" s="149"/>
    </row>
    <row r="893" spans="2:106">
      <c r="B893" s="149"/>
      <c r="C893" s="149"/>
      <c r="D893" s="149"/>
      <c r="E893" s="149"/>
      <c r="F893" s="149"/>
      <c r="G893" s="149"/>
      <c r="H893" s="149"/>
      <c r="I893" s="149"/>
      <c r="J893" s="149"/>
      <c r="K893" s="149"/>
      <c r="L893" s="149"/>
      <c r="M893" s="149"/>
      <c r="N893" s="149"/>
      <c r="O893" s="149"/>
      <c r="P893" s="149"/>
      <c r="Q893" s="149"/>
      <c r="R893" s="149"/>
      <c r="S893" s="149"/>
      <c r="T893" s="149"/>
      <c r="U893" s="149"/>
      <c r="V893" s="149"/>
      <c r="W893" s="149"/>
      <c r="X893" s="149"/>
      <c r="Y893" s="149"/>
      <c r="Z893" s="149"/>
      <c r="AA893" s="149"/>
      <c r="AB893" s="149"/>
      <c r="AC893" s="149"/>
      <c r="AD893" s="148"/>
      <c r="AE893" s="148"/>
      <c r="AF893" s="148"/>
      <c r="DB893" s="149"/>
    </row>
    <row r="894" spans="2:106">
      <c r="B894" s="149"/>
      <c r="C894" s="149"/>
      <c r="D894" s="149"/>
      <c r="E894" s="149"/>
      <c r="F894" s="149"/>
      <c r="G894" s="149"/>
      <c r="H894" s="149"/>
      <c r="I894" s="149"/>
      <c r="J894" s="149"/>
      <c r="K894" s="149"/>
      <c r="L894" s="149"/>
      <c r="M894" s="149"/>
      <c r="N894" s="149"/>
      <c r="O894" s="149"/>
      <c r="P894" s="149"/>
      <c r="Q894" s="149"/>
      <c r="R894" s="149"/>
      <c r="S894" s="149"/>
      <c r="T894" s="149"/>
      <c r="U894" s="149"/>
      <c r="V894" s="149"/>
      <c r="W894" s="149"/>
      <c r="X894" s="149"/>
      <c r="Y894" s="149"/>
      <c r="Z894" s="149"/>
      <c r="AA894" s="149"/>
      <c r="AB894" s="149"/>
      <c r="AC894" s="149"/>
      <c r="AD894" s="148"/>
      <c r="AE894" s="148"/>
      <c r="AF894" s="148"/>
      <c r="DB894" s="149"/>
    </row>
    <row r="895" spans="2:106">
      <c r="B895" s="149"/>
      <c r="C895" s="149"/>
      <c r="D895" s="149"/>
      <c r="E895" s="149"/>
      <c r="F895" s="149"/>
      <c r="G895" s="149"/>
      <c r="H895" s="149"/>
      <c r="I895" s="149"/>
      <c r="J895" s="149"/>
      <c r="K895" s="149"/>
      <c r="L895" s="149"/>
      <c r="M895" s="149"/>
      <c r="N895" s="149"/>
      <c r="O895" s="149"/>
      <c r="P895" s="149"/>
      <c r="Q895" s="149"/>
      <c r="R895" s="149"/>
      <c r="S895" s="149"/>
      <c r="T895" s="149"/>
      <c r="U895" s="149"/>
      <c r="V895" s="149"/>
      <c r="W895" s="149"/>
      <c r="X895" s="149"/>
      <c r="Y895" s="149"/>
      <c r="Z895" s="149"/>
      <c r="AA895" s="149"/>
      <c r="AB895" s="149"/>
      <c r="AC895" s="149"/>
      <c r="AD895" s="148"/>
      <c r="AE895" s="148"/>
      <c r="AF895" s="148"/>
      <c r="DB895" s="149"/>
    </row>
    <row r="896" spans="2:106">
      <c r="B896" s="149"/>
      <c r="C896" s="149"/>
      <c r="D896" s="149"/>
      <c r="E896" s="149"/>
      <c r="F896" s="149"/>
      <c r="G896" s="149"/>
      <c r="H896" s="149"/>
      <c r="I896" s="149"/>
      <c r="J896" s="149"/>
      <c r="K896" s="149"/>
      <c r="L896" s="149"/>
      <c r="M896" s="149"/>
      <c r="N896" s="149"/>
      <c r="O896" s="149"/>
      <c r="P896" s="149"/>
      <c r="Q896" s="149"/>
      <c r="R896" s="149"/>
      <c r="S896" s="149"/>
      <c r="T896" s="149"/>
      <c r="U896" s="149"/>
      <c r="V896" s="149"/>
      <c r="W896" s="149"/>
      <c r="X896" s="149"/>
      <c r="Y896" s="149"/>
      <c r="Z896" s="149"/>
      <c r="AA896" s="149"/>
      <c r="AB896" s="149"/>
      <c r="AC896" s="149"/>
      <c r="AD896" s="148"/>
      <c r="AE896" s="148"/>
      <c r="AF896" s="148"/>
      <c r="DB896" s="149"/>
    </row>
    <row r="897" spans="2:106">
      <c r="B897" s="149"/>
      <c r="C897" s="149"/>
      <c r="D897" s="149"/>
      <c r="E897" s="149"/>
      <c r="F897" s="149"/>
      <c r="G897" s="149"/>
      <c r="H897" s="149"/>
      <c r="I897" s="149"/>
      <c r="J897" s="149"/>
      <c r="K897" s="149"/>
      <c r="L897" s="149"/>
      <c r="M897" s="149"/>
      <c r="N897" s="149"/>
      <c r="O897" s="149"/>
      <c r="P897" s="149"/>
      <c r="Q897" s="149"/>
      <c r="R897" s="149"/>
      <c r="S897" s="149"/>
      <c r="T897" s="149"/>
      <c r="U897" s="149"/>
      <c r="V897" s="149"/>
      <c r="W897" s="149"/>
      <c r="X897" s="149"/>
      <c r="Y897" s="149"/>
      <c r="Z897" s="149"/>
      <c r="AA897" s="149"/>
      <c r="AB897" s="149"/>
      <c r="AC897" s="149"/>
      <c r="AD897" s="148"/>
      <c r="AE897" s="148"/>
      <c r="AF897" s="148"/>
      <c r="DB897" s="149"/>
    </row>
    <row r="898" spans="2:106">
      <c r="B898" s="149"/>
      <c r="C898" s="149"/>
      <c r="D898" s="149"/>
      <c r="E898" s="149"/>
      <c r="F898" s="149"/>
      <c r="G898" s="149"/>
      <c r="H898" s="149"/>
      <c r="I898" s="149"/>
      <c r="J898" s="149"/>
      <c r="K898" s="149"/>
      <c r="L898" s="149"/>
      <c r="M898" s="149"/>
      <c r="N898" s="149"/>
      <c r="O898" s="149"/>
      <c r="P898" s="149"/>
      <c r="Q898" s="149"/>
      <c r="R898" s="149"/>
      <c r="S898" s="149"/>
      <c r="T898" s="149"/>
      <c r="U898" s="149"/>
      <c r="V898" s="149"/>
      <c r="W898" s="149"/>
      <c r="X898" s="149"/>
      <c r="Y898" s="149"/>
      <c r="Z898" s="149"/>
      <c r="AA898" s="149"/>
      <c r="AB898" s="149"/>
      <c r="AC898" s="149"/>
      <c r="AD898" s="148"/>
      <c r="AE898" s="148"/>
      <c r="AF898" s="148"/>
      <c r="DB898" s="149"/>
    </row>
    <row r="899" spans="2:106">
      <c r="B899" s="149"/>
      <c r="C899" s="149"/>
      <c r="D899" s="149"/>
      <c r="E899" s="149"/>
      <c r="F899" s="149"/>
      <c r="G899" s="149"/>
      <c r="H899" s="149"/>
      <c r="I899" s="149"/>
      <c r="J899" s="149"/>
      <c r="K899" s="149"/>
      <c r="L899" s="149"/>
      <c r="M899" s="149"/>
      <c r="N899" s="149"/>
      <c r="O899" s="149"/>
      <c r="P899" s="149"/>
      <c r="Q899" s="149"/>
      <c r="R899" s="149"/>
      <c r="S899" s="149"/>
      <c r="T899" s="149"/>
      <c r="U899" s="149"/>
      <c r="V899" s="149"/>
      <c r="W899" s="149"/>
      <c r="X899" s="149"/>
      <c r="Y899" s="149"/>
      <c r="Z899" s="149"/>
      <c r="AA899" s="149"/>
      <c r="AB899" s="149"/>
      <c r="AC899" s="149"/>
      <c r="AD899" s="148"/>
      <c r="AE899" s="148"/>
      <c r="AF899" s="148"/>
      <c r="DB899" s="149"/>
    </row>
    <row r="900" spans="2:106">
      <c r="B900" s="149"/>
      <c r="C900" s="149"/>
      <c r="D900" s="149"/>
      <c r="E900" s="149"/>
      <c r="F900" s="149"/>
      <c r="G900" s="149"/>
      <c r="H900" s="149"/>
      <c r="I900" s="149"/>
      <c r="J900" s="149"/>
      <c r="K900" s="149"/>
      <c r="L900" s="149"/>
      <c r="M900" s="149"/>
      <c r="N900" s="149"/>
      <c r="O900" s="149"/>
      <c r="P900" s="149"/>
      <c r="Q900" s="149"/>
      <c r="R900" s="149"/>
      <c r="S900" s="149"/>
      <c r="T900" s="149"/>
      <c r="U900" s="149"/>
      <c r="V900" s="149"/>
      <c r="W900" s="149"/>
      <c r="X900" s="149"/>
      <c r="Y900" s="149"/>
      <c r="Z900" s="149"/>
      <c r="AA900" s="149"/>
      <c r="AB900" s="149"/>
      <c r="AC900" s="149"/>
      <c r="AD900" s="148"/>
      <c r="AE900" s="148"/>
      <c r="AF900" s="148"/>
      <c r="DB900" s="149"/>
    </row>
    <row r="901" spans="2:106">
      <c r="B901" s="149"/>
      <c r="C901" s="149"/>
      <c r="D901" s="149"/>
      <c r="E901" s="149"/>
      <c r="F901" s="149"/>
      <c r="G901" s="149"/>
      <c r="H901" s="149"/>
      <c r="I901" s="149"/>
      <c r="J901" s="149"/>
      <c r="K901" s="149"/>
      <c r="L901" s="149"/>
      <c r="M901" s="149"/>
      <c r="N901" s="149"/>
      <c r="O901" s="149"/>
      <c r="P901" s="149"/>
      <c r="Q901" s="149"/>
      <c r="R901" s="149"/>
      <c r="S901" s="149"/>
      <c r="T901" s="149"/>
      <c r="U901" s="149"/>
      <c r="V901" s="149"/>
      <c r="W901" s="149"/>
      <c r="X901" s="149"/>
      <c r="Y901" s="149"/>
      <c r="Z901" s="149"/>
      <c r="AA901" s="149"/>
      <c r="AB901" s="149"/>
      <c r="AC901" s="149"/>
      <c r="AD901" s="148"/>
      <c r="AE901" s="148"/>
      <c r="AF901" s="148"/>
      <c r="DB901" s="149"/>
    </row>
    <row r="902" spans="2:106">
      <c r="B902" s="149"/>
      <c r="C902" s="149"/>
      <c r="D902" s="149"/>
      <c r="E902" s="149"/>
      <c r="F902" s="149"/>
      <c r="G902" s="149"/>
      <c r="H902" s="149"/>
      <c r="I902" s="149"/>
      <c r="J902" s="149"/>
      <c r="K902" s="149"/>
      <c r="L902" s="149"/>
      <c r="M902" s="149"/>
      <c r="N902" s="149"/>
      <c r="O902" s="149"/>
      <c r="P902" s="149"/>
      <c r="Q902" s="149"/>
      <c r="R902" s="149"/>
      <c r="S902" s="149"/>
      <c r="T902" s="149"/>
      <c r="U902" s="149"/>
      <c r="V902" s="149"/>
      <c r="W902" s="149"/>
      <c r="X902" s="149"/>
      <c r="Y902" s="149"/>
      <c r="Z902" s="149"/>
      <c r="AA902" s="149"/>
      <c r="AB902" s="149"/>
      <c r="AC902" s="149"/>
      <c r="AD902" s="148"/>
      <c r="AE902" s="148"/>
      <c r="AF902" s="148"/>
      <c r="DB902" s="149"/>
    </row>
    <row r="903" spans="2:106">
      <c r="B903" s="149"/>
      <c r="C903" s="149"/>
      <c r="D903" s="149"/>
      <c r="E903" s="149"/>
      <c r="F903" s="149"/>
      <c r="G903" s="149"/>
      <c r="H903" s="149"/>
      <c r="I903" s="149"/>
      <c r="J903" s="149"/>
      <c r="K903" s="149"/>
      <c r="L903" s="149"/>
      <c r="M903" s="149"/>
      <c r="N903" s="149"/>
      <c r="O903" s="149"/>
      <c r="P903" s="149"/>
      <c r="Q903" s="149"/>
      <c r="R903" s="149"/>
      <c r="S903" s="149"/>
      <c r="T903" s="149"/>
      <c r="U903" s="149"/>
      <c r="V903" s="149"/>
      <c r="W903" s="149"/>
      <c r="X903" s="149"/>
      <c r="Y903" s="149"/>
      <c r="Z903" s="149"/>
      <c r="AA903" s="149"/>
      <c r="AB903" s="149"/>
      <c r="AC903" s="149"/>
      <c r="AD903" s="148"/>
      <c r="AE903" s="148"/>
      <c r="AF903" s="148"/>
      <c r="DB903" s="149"/>
    </row>
    <row r="904" spans="2:106">
      <c r="B904" s="149"/>
      <c r="C904" s="149"/>
      <c r="D904" s="149"/>
      <c r="E904" s="149"/>
      <c r="F904" s="149"/>
      <c r="G904" s="149"/>
      <c r="H904" s="149"/>
      <c r="I904" s="149"/>
      <c r="J904" s="149"/>
      <c r="K904" s="149"/>
      <c r="L904" s="149"/>
      <c r="M904" s="149"/>
      <c r="N904" s="149"/>
      <c r="O904" s="149"/>
      <c r="P904" s="149"/>
      <c r="Q904" s="149"/>
      <c r="R904" s="149"/>
      <c r="S904" s="149"/>
      <c r="T904" s="149"/>
      <c r="U904" s="149"/>
      <c r="V904" s="149"/>
      <c r="W904" s="149"/>
      <c r="X904" s="149"/>
      <c r="Y904" s="149"/>
      <c r="Z904" s="149"/>
      <c r="AA904" s="149"/>
      <c r="AB904" s="149"/>
      <c r="AC904" s="149"/>
      <c r="AD904" s="148"/>
      <c r="AE904" s="148"/>
      <c r="AF904" s="148"/>
      <c r="DB904" s="149"/>
    </row>
    <row r="905" spans="2:106">
      <c r="B905" s="149"/>
      <c r="C905" s="149"/>
      <c r="D905" s="149"/>
      <c r="E905" s="149"/>
      <c r="F905" s="149"/>
      <c r="G905" s="149"/>
      <c r="H905" s="149"/>
      <c r="I905" s="149"/>
      <c r="J905" s="149"/>
      <c r="K905" s="149"/>
      <c r="L905" s="149"/>
      <c r="M905" s="149"/>
      <c r="N905" s="149"/>
      <c r="O905" s="149"/>
      <c r="P905" s="149"/>
      <c r="Q905" s="149"/>
      <c r="R905" s="149"/>
      <c r="S905" s="149"/>
      <c r="T905" s="149"/>
      <c r="U905" s="149"/>
      <c r="V905" s="149"/>
      <c r="W905" s="149"/>
      <c r="X905" s="149"/>
      <c r="Y905" s="149"/>
      <c r="Z905" s="149"/>
      <c r="AA905" s="149"/>
      <c r="AB905" s="149"/>
      <c r="AC905" s="149"/>
      <c r="AD905" s="148"/>
      <c r="AE905" s="148"/>
      <c r="AF905" s="148"/>
      <c r="DB905" s="149"/>
    </row>
    <row r="906" spans="2:106">
      <c r="B906" s="149"/>
      <c r="C906" s="149"/>
      <c r="D906" s="149"/>
      <c r="E906" s="149"/>
      <c r="F906" s="149"/>
      <c r="G906" s="149"/>
      <c r="H906" s="149"/>
      <c r="I906" s="149"/>
      <c r="J906" s="149"/>
      <c r="K906" s="149"/>
      <c r="L906" s="149"/>
      <c r="M906" s="149"/>
      <c r="N906" s="149"/>
      <c r="O906" s="149"/>
      <c r="P906" s="149"/>
      <c r="Q906" s="149"/>
      <c r="R906" s="149"/>
      <c r="S906" s="149"/>
      <c r="T906" s="149"/>
      <c r="U906" s="149"/>
      <c r="V906" s="149"/>
      <c r="W906" s="149"/>
      <c r="X906" s="149"/>
      <c r="Y906" s="149"/>
      <c r="Z906" s="149"/>
      <c r="AA906" s="149"/>
      <c r="AB906" s="149"/>
      <c r="AC906" s="149"/>
      <c r="AD906" s="148"/>
      <c r="AE906" s="148"/>
      <c r="AF906" s="148"/>
      <c r="DB906" s="149"/>
    </row>
    <row r="907" spans="2:106">
      <c r="B907" s="149"/>
      <c r="C907" s="149"/>
      <c r="D907" s="149"/>
      <c r="E907" s="149"/>
      <c r="F907" s="149"/>
      <c r="G907" s="149"/>
      <c r="H907" s="149"/>
      <c r="I907" s="149"/>
      <c r="J907" s="149"/>
      <c r="K907" s="149"/>
      <c r="L907" s="149"/>
      <c r="M907" s="149"/>
      <c r="N907" s="149"/>
      <c r="O907" s="149"/>
      <c r="P907" s="149"/>
      <c r="Q907" s="149"/>
      <c r="R907" s="149"/>
      <c r="S907" s="149"/>
      <c r="T907" s="149"/>
      <c r="U907" s="149"/>
      <c r="V907" s="149"/>
      <c r="W907" s="149"/>
      <c r="X907" s="149"/>
      <c r="Y907" s="149"/>
      <c r="Z907" s="149"/>
      <c r="AA907" s="149"/>
      <c r="AB907" s="149"/>
      <c r="AC907" s="149"/>
      <c r="AD907" s="148"/>
      <c r="AE907" s="148"/>
      <c r="AF907" s="148"/>
      <c r="DB907" s="149"/>
    </row>
    <row r="908" spans="2:106">
      <c r="B908" s="149"/>
      <c r="C908" s="149"/>
      <c r="D908" s="149"/>
      <c r="E908" s="149"/>
      <c r="F908" s="149"/>
      <c r="G908" s="149"/>
      <c r="H908" s="149"/>
      <c r="I908" s="149"/>
      <c r="J908" s="149"/>
      <c r="K908" s="149"/>
      <c r="L908" s="149"/>
      <c r="M908" s="149"/>
      <c r="N908" s="149"/>
      <c r="O908" s="149"/>
      <c r="P908" s="149"/>
      <c r="Q908" s="149"/>
      <c r="R908" s="149"/>
      <c r="S908" s="149"/>
      <c r="T908" s="149"/>
      <c r="U908" s="149"/>
      <c r="V908" s="149"/>
      <c r="W908" s="149"/>
      <c r="X908" s="149"/>
      <c r="Y908" s="149"/>
      <c r="Z908" s="149"/>
      <c r="AA908" s="149"/>
      <c r="AB908" s="149"/>
      <c r="AC908" s="149"/>
      <c r="AD908" s="148"/>
      <c r="AE908" s="148"/>
      <c r="AF908" s="148"/>
      <c r="DB908" s="149"/>
    </row>
    <row r="909" spans="2:106">
      <c r="B909" s="149"/>
      <c r="C909" s="149"/>
      <c r="D909" s="149"/>
      <c r="E909" s="149"/>
      <c r="F909" s="149"/>
      <c r="G909" s="149"/>
      <c r="H909" s="149"/>
      <c r="I909" s="149"/>
      <c r="J909" s="149"/>
      <c r="K909" s="149"/>
      <c r="L909" s="149"/>
      <c r="M909" s="149"/>
      <c r="N909" s="149"/>
      <c r="O909" s="149"/>
      <c r="P909" s="149"/>
      <c r="Q909" s="149"/>
      <c r="R909" s="149"/>
      <c r="S909" s="149"/>
      <c r="T909" s="149"/>
      <c r="U909" s="149"/>
      <c r="V909" s="149"/>
      <c r="W909" s="149"/>
      <c r="X909" s="149"/>
      <c r="Y909" s="149"/>
      <c r="Z909" s="149"/>
      <c r="AA909" s="149"/>
      <c r="AB909" s="149"/>
      <c r="AC909" s="149"/>
      <c r="AD909" s="148"/>
      <c r="AE909" s="148"/>
      <c r="AF909" s="148"/>
      <c r="DB909" s="149"/>
    </row>
    <row r="910" spans="2:106">
      <c r="B910" s="149"/>
      <c r="C910" s="149"/>
      <c r="D910" s="149"/>
      <c r="E910" s="149"/>
      <c r="F910" s="149"/>
      <c r="G910" s="149"/>
      <c r="H910" s="149"/>
      <c r="I910" s="149"/>
      <c r="J910" s="149"/>
      <c r="K910" s="149"/>
      <c r="L910" s="149"/>
      <c r="M910" s="149"/>
      <c r="N910" s="149"/>
      <c r="O910" s="149"/>
      <c r="P910" s="149"/>
      <c r="Q910" s="149"/>
      <c r="R910" s="149"/>
      <c r="S910" s="149"/>
      <c r="T910" s="149"/>
      <c r="U910" s="149"/>
      <c r="V910" s="149"/>
      <c r="W910" s="149"/>
      <c r="X910" s="149"/>
      <c r="Y910" s="149"/>
      <c r="Z910" s="149"/>
      <c r="AA910" s="149"/>
      <c r="AB910" s="149"/>
      <c r="AC910" s="149"/>
      <c r="AD910" s="148"/>
      <c r="AE910" s="148"/>
      <c r="AF910" s="148"/>
      <c r="DB910" s="149"/>
    </row>
    <row r="911" spans="2:106">
      <c r="B911" s="149"/>
      <c r="C911" s="149"/>
      <c r="D911" s="149"/>
      <c r="E911" s="149"/>
      <c r="F911" s="149"/>
      <c r="G911" s="149"/>
      <c r="H911" s="149"/>
      <c r="I911" s="149"/>
      <c r="J911" s="149"/>
      <c r="K911" s="149"/>
      <c r="L911" s="149"/>
      <c r="M911" s="149"/>
      <c r="N911" s="149"/>
      <c r="O911" s="149"/>
      <c r="P911" s="149"/>
      <c r="Q911" s="149"/>
      <c r="R911" s="149"/>
      <c r="S911" s="149"/>
      <c r="T911" s="149"/>
      <c r="U911" s="149"/>
      <c r="V911" s="149"/>
      <c r="W911" s="149"/>
      <c r="X911" s="149"/>
      <c r="Y911" s="149"/>
      <c r="Z911" s="149"/>
      <c r="AA911" s="149"/>
      <c r="AB911" s="149"/>
      <c r="AC911" s="149"/>
      <c r="AD911" s="148"/>
      <c r="AE911" s="148"/>
      <c r="AF911" s="148"/>
      <c r="DB911" s="149"/>
    </row>
    <row r="912" spans="2:106">
      <c r="B912" s="149"/>
      <c r="C912" s="149"/>
      <c r="D912" s="149"/>
      <c r="E912" s="149"/>
      <c r="F912" s="149"/>
      <c r="G912" s="149"/>
      <c r="H912" s="149"/>
      <c r="I912" s="149"/>
      <c r="J912" s="149"/>
      <c r="K912" s="149"/>
      <c r="L912" s="149"/>
      <c r="M912" s="149"/>
      <c r="N912" s="149"/>
      <c r="O912" s="149"/>
      <c r="P912" s="149"/>
      <c r="Q912" s="149"/>
      <c r="R912" s="149"/>
      <c r="S912" s="149"/>
      <c r="T912" s="149"/>
      <c r="U912" s="149"/>
      <c r="V912" s="149"/>
      <c r="W912" s="149"/>
      <c r="X912" s="149"/>
      <c r="Y912" s="149"/>
      <c r="Z912" s="149"/>
      <c r="AA912" s="149"/>
      <c r="AB912" s="149"/>
      <c r="AC912" s="149"/>
      <c r="AD912" s="148"/>
      <c r="AE912" s="148"/>
      <c r="AF912" s="148"/>
      <c r="DB912" s="149"/>
    </row>
    <row r="913" spans="2:106">
      <c r="B913" s="149"/>
      <c r="C913" s="149"/>
      <c r="D913" s="149"/>
      <c r="E913" s="149"/>
      <c r="F913" s="149"/>
      <c r="G913" s="149"/>
      <c r="H913" s="149"/>
      <c r="I913" s="149"/>
      <c r="J913" s="149"/>
      <c r="K913" s="149"/>
      <c r="L913" s="149"/>
      <c r="M913" s="149"/>
      <c r="N913" s="149"/>
      <c r="O913" s="149"/>
      <c r="P913" s="149"/>
      <c r="Q913" s="149"/>
      <c r="R913" s="149"/>
      <c r="S913" s="149"/>
      <c r="T913" s="149"/>
      <c r="U913" s="149"/>
      <c r="V913" s="149"/>
      <c r="W913" s="149"/>
      <c r="X913" s="149"/>
      <c r="Y913" s="149"/>
      <c r="Z913" s="149"/>
      <c r="AA913" s="149"/>
      <c r="AB913" s="149"/>
      <c r="AC913" s="149"/>
      <c r="AD913" s="148"/>
      <c r="AE913" s="148"/>
      <c r="AF913" s="148"/>
      <c r="DB913" s="149"/>
    </row>
    <row r="914" spans="2:106">
      <c r="B914" s="149"/>
      <c r="C914" s="149"/>
      <c r="D914" s="149"/>
      <c r="E914" s="149"/>
      <c r="F914" s="149"/>
      <c r="G914" s="149"/>
      <c r="H914" s="149"/>
      <c r="I914" s="149"/>
      <c r="J914" s="149"/>
      <c r="K914" s="149"/>
      <c r="L914" s="149"/>
      <c r="M914" s="149"/>
      <c r="N914" s="149"/>
      <c r="O914" s="149"/>
      <c r="P914" s="149"/>
      <c r="Q914" s="149"/>
      <c r="R914" s="149"/>
      <c r="S914" s="149"/>
      <c r="T914" s="149"/>
      <c r="U914" s="149"/>
      <c r="V914" s="149"/>
      <c r="W914" s="149"/>
      <c r="X914" s="149"/>
      <c r="Y914" s="149"/>
      <c r="Z914" s="149"/>
      <c r="AA914" s="149"/>
      <c r="AB914" s="149"/>
      <c r="AC914" s="149"/>
      <c r="AD914" s="148"/>
      <c r="AE914" s="148"/>
      <c r="AF914" s="148"/>
      <c r="DB914" s="149"/>
    </row>
    <row r="915" spans="2:106">
      <c r="B915" s="149"/>
      <c r="C915" s="149"/>
      <c r="D915" s="149"/>
      <c r="E915" s="149"/>
      <c r="F915" s="149"/>
      <c r="G915" s="149"/>
      <c r="H915" s="149"/>
      <c r="I915" s="149"/>
      <c r="J915" s="149"/>
      <c r="K915" s="149"/>
      <c r="L915" s="149"/>
      <c r="M915" s="149"/>
      <c r="N915" s="149"/>
      <c r="O915" s="149"/>
      <c r="P915" s="149"/>
      <c r="Q915" s="149"/>
      <c r="R915" s="149"/>
      <c r="S915" s="149"/>
      <c r="T915" s="149"/>
      <c r="U915" s="149"/>
      <c r="V915" s="149"/>
      <c r="W915" s="149"/>
      <c r="X915" s="149"/>
      <c r="Y915" s="149"/>
      <c r="Z915" s="149"/>
      <c r="AA915" s="149"/>
      <c r="AB915" s="149"/>
      <c r="AC915" s="149"/>
      <c r="AD915" s="148"/>
      <c r="AE915" s="148"/>
      <c r="AF915" s="148"/>
      <c r="DB915" s="149"/>
    </row>
    <row r="916" spans="2:106">
      <c r="B916" s="149"/>
      <c r="C916" s="149"/>
      <c r="D916" s="149"/>
      <c r="E916" s="149"/>
      <c r="F916" s="149"/>
      <c r="G916" s="149"/>
      <c r="H916" s="149"/>
      <c r="I916" s="149"/>
      <c r="J916" s="149"/>
      <c r="K916" s="149"/>
      <c r="L916" s="149"/>
      <c r="M916" s="149"/>
      <c r="N916" s="149"/>
      <c r="O916" s="149"/>
      <c r="P916" s="149"/>
      <c r="Q916" s="149"/>
      <c r="R916" s="149"/>
      <c r="S916" s="149"/>
      <c r="T916" s="149"/>
      <c r="U916" s="149"/>
      <c r="V916" s="149"/>
      <c r="W916" s="149"/>
      <c r="X916" s="149"/>
      <c r="Y916" s="149"/>
      <c r="Z916" s="149"/>
      <c r="AA916" s="149"/>
      <c r="AB916" s="149"/>
      <c r="AC916" s="149"/>
      <c r="AD916" s="148"/>
      <c r="AE916" s="148"/>
      <c r="AF916" s="148"/>
      <c r="DB916" s="149"/>
    </row>
    <row r="917" spans="2:106">
      <c r="B917" s="149"/>
      <c r="C917" s="149"/>
      <c r="D917" s="149"/>
      <c r="E917" s="149"/>
      <c r="F917" s="149"/>
      <c r="G917" s="149"/>
      <c r="H917" s="149"/>
      <c r="I917" s="149"/>
      <c r="J917" s="149"/>
      <c r="K917" s="149"/>
      <c r="L917" s="149"/>
      <c r="M917" s="149"/>
      <c r="N917" s="149"/>
      <c r="O917" s="149"/>
      <c r="P917" s="149"/>
      <c r="Q917" s="149"/>
      <c r="R917" s="149"/>
      <c r="S917" s="149"/>
      <c r="T917" s="149"/>
      <c r="U917" s="149"/>
      <c r="V917" s="149"/>
      <c r="W917" s="149"/>
      <c r="X917" s="149"/>
      <c r="Y917" s="149"/>
      <c r="Z917" s="149"/>
      <c r="AA917" s="149"/>
      <c r="AB917" s="149"/>
      <c r="AC917" s="149"/>
      <c r="AD917" s="148"/>
      <c r="AE917" s="148"/>
      <c r="AF917" s="148"/>
      <c r="DB917" s="149"/>
    </row>
    <row r="918" spans="2:106">
      <c r="B918" s="149"/>
      <c r="C918" s="149"/>
      <c r="D918" s="149"/>
      <c r="E918" s="149"/>
      <c r="F918" s="149"/>
      <c r="G918" s="149"/>
      <c r="H918" s="149"/>
      <c r="I918" s="149"/>
      <c r="J918" s="149"/>
      <c r="K918" s="149"/>
      <c r="L918" s="149"/>
      <c r="M918" s="149"/>
      <c r="N918" s="149"/>
      <c r="O918" s="149"/>
      <c r="P918" s="149"/>
      <c r="Q918" s="149"/>
      <c r="R918" s="149"/>
      <c r="S918" s="149"/>
      <c r="T918" s="149"/>
      <c r="U918" s="149"/>
      <c r="V918" s="149"/>
      <c r="W918" s="149"/>
      <c r="X918" s="149"/>
      <c r="Y918" s="149"/>
      <c r="Z918" s="149"/>
      <c r="AA918" s="149"/>
      <c r="AB918" s="149"/>
      <c r="AC918" s="149"/>
      <c r="AD918" s="148"/>
      <c r="AE918" s="148"/>
      <c r="AF918" s="148"/>
      <c r="DB918" s="149"/>
    </row>
    <row r="919" spans="2:106">
      <c r="B919" s="149"/>
      <c r="C919" s="149"/>
      <c r="D919" s="149"/>
      <c r="E919" s="149"/>
      <c r="F919" s="149"/>
      <c r="G919" s="149"/>
      <c r="H919" s="149"/>
      <c r="I919" s="149"/>
      <c r="J919" s="149"/>
      <c r="K919" s="149"/>
      <c r="L919" s="149"/>
      <c r="M919" s="149"/>
      <c r="N919" s="149"/>
      <c r="O919" s="149"/>
      <c r="P919" s="149"/>
      <c r="Q919" s="149"/>
      <c r="R919" s="149"/>
      <c r="S919" s="149"/>
      <c r="T919" s="149"/>
      <c r="U919" s="149"/>
      <c r="V919" s="149"/>
      <c r="W919" s="149"/>
      <c r="X919" s="149"/>
      <c r="Y919" s="149"/>
      <c r="Z919" s="149"/>
      <c r="AA919" s="149"/>
      <c r="AB919" s="149"/>
      <c r="AC919" s="149"/>
      <c r="AD919" s="148"/>
      <c r="AE919" s="148"/>
      <c r="AF919" s="148"/>
      <c r="DB919" s="149"/>
    </row>
    <row r="920" spans="2:106">
      <c r="B920" s="149"/>
      <c r="C920" s="149"/>
      <c r="D920" s="149"/>
      <c r="E920" s="149"/>
      <c r="F920" s="149"/>
      <c r="G920" s="149"/>
      <c r="H920" s="149"/>
      <c r="I920" s="149"/>
      <c r="J920" s="149"/>
      <c r="K920" s="149"/>
      <c r="L920" s="149"/>
      <c r="M920" s="149"/>
      <c r="N920" s="149"/>
      <c r="O920" s="149"/>
      <c r="P920" s="149"/>
      <c r="Q920" s="149"/>
      <c r="R920" s="149"/>
      <c r="S920" s="149"/>
      <c r="T920" s="149"/>
      <c r="U920" s="149"/>
      <c r="V920" s="149"/>
      <c r="W920" s="149"/>
      <c r="X920" s="149"/>
      <c r="Y920" s="149"/>
      <c r="Z920" s="149"/>
      <c r="AA920" s="149"/>
      <c r="AB920" s="149"/>
      <c r="AC920" s="149"/>
      <c r="AD920" s="148"/>
      <c r="AE920" s="148"/>
      <c r="AF920" s="148"/>
      <c r="DB920" s="149"/>
    </row>
    <row r="921" spans="2:106">
      <c r="B921" s="149"/>
      <c r="C921" s="149"/>
      <c r="D921" s="149"/>
      <c r="E921" s="149"/>
      <c r="F921" s="149"/>
      <c r="G921" s="149"/>
      <c r="H921" s="149"/>
      <c r="I921" s="149"/>
      <c r="J921" s="149"/>
      <c r="K921" s="149"/>
      <c r="L921" s="149"/>
      <c r="M921" s="149"/>
      <c r="N921" s="149"/>
      <c r="O921" s="149"/>
      <c r="P921" s="149"/>
      <c r="Q921" s="149"/>
      <c r="R921" s="149"/>
      <c r="S921" s="149"/>
      <c r="T921" s="149"/>
      <c r="U921" s="149"/>
      <c r="V921" s="149"/>
      <c r="W921" s="149"/>
      <c r="X921" s="149"/>
      <c r="Y921" s="149"/>
      <c r="Z921" s="149"/>
      <c r="AA921" s="149"/>
      <c r="AB921" s="149"/>
      <c r="AC921" s="149"/>
      <c r="AD921" s="148"/>
      <c r="AE921" s="148"/>
      <c r="AF921" s="148"/>
      <c r="DB921" s="149"/>
    </row>
    <row r="922" spans="2:106">
      <c r="B922" s="149"/>
      <c r="C922" s="149"/>
      <c r="D922" s="149"/>
      <c r="E922" s="149"/>
      <c r="F922" s="149"/>
      <c r="G922" s="149"/>
      <c r="H922" s="149"/>
      <c r="I922" s="149"/>
      <c r="J922" s="149"/>
      <c r="K922" s="149"/>
      <c r="L922" s="149"/>
      <c r="M922" s="149"/>
      <c r="N922" s="149"/>
      <c r="O922" s="149"/>
      <c r="P922" s="149"/>
      <c r="Q922" s="149"/>
      <c r="R922" s="149"/>
      <c r="S922" s="149"/>
      <c r="T922" s="149"/>
      <c r="U922" s="149"/>
      <c r="V922" s="149"/>
      <c r="W922" s="149"/>
      <c r="X922" s="149"/>
      <c r="Y922" s="149"/>
      <c r="Z922" s="149"/>
      <c r="AA922" s="149"/>
      <c r="AB922" s="149"/>
      <c r="AC922" s="149"/>
      <c r="AD922" s="148"/>
      <c r="AE922" s="148"/>
      <c r="AF922" s="148"/>
      <c r="DB922" s="149"/>
    </row>
    <row r="923" spans="2:106">
      <c r="B923" s="149"/>
      <c r="C923" s="149"/>
      <c r="D923" s="149"/>
      <c r="E923" s="149"/>
      <c r="F923" s="149"/>
      <c r="G923" s="149"/>
      <c r="H923" s="149"/>
      <c r="I923" s="149"/>
      <c r="J923" s="149"/>
      <c r="K923" s="149"/>
      <c r="L923" s="149"/>
      <c r="M923" s="149"/>
      <c r="N923" s="149"/>
      <c r="O923" s="149"/>
      <c r="P923" s="149"/>
      <c r="Q923" s="149"/>
      <c r="R923" s="149"/>
      <c r="S923" s="149"/>
      <c r="T923" s="149"/>
      <c r="U923" s="149"/>
      <c r="V923" s="149"/>
      <c r="W923" s="149"/>
      <c r="X923" s="149"/>
      <c r="Y923" s="149"/>
      <c r="Z923" s="149"/>
      <c r="AA923" s="149"/>
      <c r="AB923" s="149"/>
      <c r="AC923" s="149"/>
      <c r="AD923" s="148"/>
      <c r="AE923" s="148"/>
      <c r="AF923" s="148"/>
      <c r="DB923" s="149"/>
    </row>
    <row r="924" spans="2:106">
      <c r="B924" s="149"/>
      <c r="C924" s="149"/>
      <c r="D924" s="149"/>
      <c r="E924" s="149"/>
      <c r="F924" s="149"/>
      <c r="G924" s="149"/>
      <c r="H924" s="149"/>
      <c r="I924" s="149"/>
      <c r="J924" s="149"/>
      <c r="K924" s="149"/>
      <c r="L924" s="149"/>
      <c r="M924" s="149"/>
      <c r="N924" s="149"/>
      <c r="O924" s="149"/>
      <c r="P924" s="149"/>
      <c r="Q924" s="149"/>
      <c r="R924" s="149"/>
      <c r="S924" s="149"/>
      <c r="T924" s="149"/>
      <c r="U924" s="149"/>
      <c r="V924" s="149"/>
      <c r="W924" s="149"/>
      <c r="X924" s="149"/>
      <c r="Y924" s="149"/>
      <c r="Z924" s="149"/>
      <c r="AA924" s="149"/>
      <c r="AB924" s="149"/>
      <c r="AC924" s="149"/>
      <c r="AD924" s="148"/>
      <c r="AE924" s="148"/>
      <c r="AF924" s="148"/>
      <c r="DB924" s="149"/>
    </row>
    <row r="925" spans="2:106">
      <c r="B925" s="149"/>
      <c r="C925" s="149"/>
      <c r="D925" s="149"/>
      <c r="E925" s="149"/>
      <c r="F925" s="149"/>
      <c r="G925" s="149"/>
      <c r="H925" s="149"/>
      <c r="I925" s="149"/>
      <c r="J925" s="149"/>
      <c r="K925" s="149"/>
      <c r="L925" s="149"/>
      <c r="M925" s="149"/>
      <c r="N925" s="149"/>
      <c r="O925" s="149"/>
      <c r="P925" s="149"/>
      <c r="Q925" s="149"/>
      <c r="R925" s="149"/>
      <c r="S925" s="149"/>
      <c r="T925" s="149"/>
      <c r="U925" s="149"/>
      <c r="V925" s="149"/>
      <c r="W925" s="149"/>
      <c r="X925" s="149"/>
      <c r="Y925" s="149"/>
      <c r="Z925" s="149"/>
      <c r="AA925" s="149"/>
      <c r="AB925" s="149"/>
      <c r="AC925" s="149"/>
      <c r="AD925" s="148"/>
      <c r="AE925" s="148"/>
      <c r="AF925" s="148"/>
      <c r="DB925" s="149"/>
    </row>
    <row r="926" spans="2:106">
      <c r="B926" s="149"/>
      <c r="C926" s="149"/>
      <c r="D926" s="149"/>
      <c r="E926" s="149"/>
      <c r="F926" s="149"/>
      <c r="G926" s="149"/>
      <c r="H926" s="149"/>
      <c r="I926" s="149"/>
      <c r="J926" s="149"/>
      <c r="K926" s="149"/>
      <c r="L926" s="149"/>
      <c r="M926" s="149"/>
      <c r="N926" s="149"/>
      <c r="O926" s="149"/>
      <c r="P926" s="149"/>
      <c r="Q926" s="149"/>
      <c r="R926" s="149"/>
      <c r="S926" s="149"/>
      <c r="T926" s="149"/>
      <c r="U926" s="149"/>
      <c r="V926" s="149"/>
      <c r="W926" s="149"/>
      <c r="X926" s="149"/>
      <c r="Y926" s="149"/>
      <c r="Z926" s="149"/>
      <c r="AA926" s="149"/>
      <c r="AB926" s="149"/>
      <c r="AC926" s="149"/>
      <c r="AD926" s="148"/>
      <c r="AE926" s="148"/>
      <c r="AF926" s="148"/>
      <c r="DB926" s="149"/>
    </row>
    <row r="927" spans="2:106">
      <c r="B927" s="149"/>
      <c r="C927" s="149"/>
      <c r="D927" s="149"/>
      <c r="E927" s="149"/>
      <c r="F927" s="149"/>
      <c r="G927" s="149"/>
      <c r="H927" s="149"/>
      <c r="I927" s="149"/>
      <c r="J927" s="149"/>
      <c r="K927" s="149"/>
      <c r="L927" s="149"/>
      <c r="M927" s="149"/>
      <c r="N927" s="149"/>
      <c r="O927" s="149"/>
      <c r="P927" s="149"/>
      <c r="Q927" s="149"/>
      <c r="R927" s="149"/>
      <c r="S927" s="149"/>
      <c r="T927" s="149"/>
      <c r="U927" s="149"/>
      <c r="V927" s="149"/>
      <c r="W927" s="149"/>
      <c r="X927" s="149"/>
      <c r="Y927" s="149"/>
      <c r="Z927" s="149"/>
      <c r="AA927" s="149"/>
      <c r="AB927" s="149"/>
      <c r="AC927" s="149"/>
      <c r="AD927" s="148"/>
      <c r="AE927" s="148"/>
      <c r="AF927" s="148"/>
      <c r="DB927" s="149"/>
    </row>
    <row r="928" spans="2:106">
      <c r="B928" s="149"/>
      <c r="C928" s="149"/>
      <c r="D928" s="149"/>
      <c r="E928" s="149"/>
      <c r="F928" s="149"/>
      <c r="G928" s="149"/>
      <c r="H928" s="149"/>
      <c r="I928" s="149"/>
      <c r="J928" s="149"/>
      <c r="K928" s="149"/>
      <c r="L928" s="149"/>
      <c r="M928" s="149"/>
      <c r="N928" s="149"/>
      <c r="O928" s="149"/>
      <c r="P928" s="149"/>
      <c r="Q928" s="149"/>
      <c r="R928" s="149"/>
      <c r="S928" s="149"/>
      <c r="T928" s="149"/>
      <c r="U928" s="149"/>
      <c r="V928" s="149"/>
      <c r="W928" s="149"/>
      <c r="X928" s="149"/>
      <c r="Y928" s="149"/>
      <c r="Z928" s="149"/>
      <c r="AA928" s="149"/>
      <c r="AB928" s="149"/>
      <c r="AC928" s="149"/>
      <c r="AD928" s="148"/>
      <c r="AE928" s="148"/>
      <c r="AF928" s="148"/>
      <c r="DB928" s="149"/>
    </row>
    <row r="929" spans="2:106">
      <c r="B929" s="149"/>
      <c r="C929" s="149"/>
      <c r="D929" s="149"/>
      <c r="E929" s="149"/>
      <c r="F929" s="149"/>
      <c r="G929" s="149"/>
      <c r="H929" s="149"/>
      <c r="I929" s="149"/>
      <c r="J929" s="149"/>
      <c r="K929" s="149"/>
      <c r="L929" s="149"/>
      <c r="M929" s="149"/>
      <c r="N929" s="149"/>
      <c r="O929" s="149"/>
      <c r="P929" s="149"/>
      <c r="Q929" s="149"/>
      <c r="R929" s="149"/>
      <c r="S929" s="149"/>
      <c r="T929" s="149"/>
      <c r="U929" s="149"/>
      <c r="V929" s="149"/>
      <c r="W929" s="149"/>
      <c r="X929" s="149"/>
      <c r="Y929" s="149"/>
      <c r="Z929" s="149"/>
      <c r="AA929" s="149"/>
      <c r="AB929" s="149"/>
      <c r="AC929" s="149"/>
      <c r="AD929" s="148"/>
      <c r="AE929" s="148"/>
      <c r="AF929" s="148"/>
      <c r="DB929" s="149"/>
    </row>
    <row r="930" spans="2:106">
      <c r="B930" s="149"/>
      <c r="C930" s="149"/>
      <c r="D930" s="149"/>
      <c r="E930" s="149"/>
      <c r="F930" s="149"/>
      <c r="G930" s="149"/>
      <c r="H930" s="149"/>
      <c r="I930" s="149"/>
      <c r="J930" s="149"/>
      <c r="K930" s="149"/>
      <c r="L930" s="149"/>
      <c r="M930" s="149"/>
      <c r="N930" s="149"/>
      <c r="O930" s="149"/>
      <c r="P930" s="149"/>
      <c r="Q930" s="149"/>
      <c r="R930" s="149"/>
      <c r="S930" s="149"/>
      <c r="T930" s="149"/>
      <c r="U930" s="149"/>
      <c r="V930" s="149"/>
      <c r="W930" s="149"/>
      <c r="X930" s="149"/>
      <c r="Y930" s="149"/>
      <c r="Z930" s="149"/>
      <c r="AA930" s="149"/>
      <c r="AB930" s="149"/>
      <c r="AC930" s="149"/>
      <c r="AD930" s="148"/>
      <c r="AE930" s="148"/>
      <c r="AF930" s="148"/>
      <c r="DB930" s="149"/>
    </row>
    <row r="931" spans="2:106">
      <c r="B931" s="149"/>
      <c r="C931" s="149"/>
      <c r="D931" s="149"/>
      <c r="E931" s="149"/>
      <c r="F931" s="149"/>
      <c r="G931" s="149"/>
      <c r="H931" s="149"/>
      <c r="I931" s="149"/>
      <c r="J931" s="149"/>
      <c r="K931" s="149"/>
      <c r="L931" s="149"/>
      <c r="M931" s="149"/>
      <c r="N931" s="149"/>
      <c r="O931" s="149"/>
      <c r="P931" s="149"/>
      <c r="Q931" s="149"/>
      <c r="R931" s="149"/>
      <c r="S931" s="149"/>
      <c r="T931" s="149"/>
      <c r="U931" s="149"/>
      <c r="V931" s="149"/>
      <c r="W931" s="149"/>
      <c r="X931" s="149"/>
      <c r="Y931" s="149"/>
      <c r="Z931" s="149"/>
      <c r="AA931" s="149"/>
      <c r="AB931" s="149"/>
      <c r="AC931" s="149"/>
      <c r="AD931" s="148"/>
      <c r="AE931" s="148"/>
      <c r="AF931" s="148"/>
      <c r="DB931" s="149"/>
    </row>
    <row r="932" spans="2:106">
      <c r="B932" s="149"/>
      <c r="C932" s="149"/>
      <c r="D932" s="149"/>
      <c r="E932" s="149"/>
      <c r="F932" s="149"/>
      <c r="G932" s="149"/>
      <c r="H932" s="149"/>
      <c r="I932" s="149"/>
      <c r="J932" s="149"/>
      <c r="K932" s="149"/>
      <c r="L932" s="149"/>
      <c r="M932" s="149"/>
      <c r="N932" s="149"/>
      <c r="O932" s="149"/>
      <c r="P932" s="149"/>
      <c r="Q932" s="149"/>
      <c r="R932" s="149"/>
      <c r="S932" s="149"/>
      <c r="T932" s="149"/>
      <c r="U932" s="149"/>
      <c r="V932" s="149"/>
      <c r="W932" s="149"/>
      <c r="X932" s="149"/>
      <c r="Y932" s="149"/>
      <c r="Z932" s="149"/>
      <c r="AA932" s="149"/>
      <c r="AB932" s="149"/>
      <c r="AC932" s="149"/>
      <c r="AD932" s="148"/>
      <c r="AE932" s="148"/>
      <c r="AF932" s="148"/>
      <c r="DB932" s="149"/>
    </row>
    <row r="933" spans="2:106">
      <c r="B933" s="149"/>
      <c r="C933" s="149"/>
      <c r="D933" s="149"/>
      <c r="E933" s="149"/>
      <c r="F933" s="149"/>
      <c r="G933" s="149"/>
      <c r="H933" s="149"/>
      <c r="I933" s="149"/>
      <c r="J933" s="149"/>
      <c r="K933" s="149"/>
      <c r="L933" s="149"/>
      <c r="M933" s="149"/>
      <c r="N933" s="149"/>
      <c r="O933" s="149"/>
      <c r="P933" s="149"/>
      <c r="Q933" s="149"/>
      <c r="R933" s="149"/>
      <c r="S933" s="149"/>
      <c r="T933" s="149"/>
      <c r="U933" s="149"/>
      <c r="V933" s="149"/>
      <c r="W933" s="149"/>
      <c r="X933" s="149"/>
      <c r="Y933" s="149"/>
      <c r="Z933" s="149"/>
      <c r="AA933" s="149"/>
      <c r="AB933" s="149"/>
      <c r="AC933" s="149"/>
      <c r="AD933" s="148"/>
      <c r="AE933" s="148"/>
      <c r="AF933" s="148"/>
      <c r="DB933" s="149"/>
    </row>
    <row r="934" spans="2:106">
      <c r="B934" s="149"/>
      <c r="C934" s="149"/>
      <c r="D934" s="149"/>
      <c r="E934" s="149"/>
      <c r="F934" s="149"/>
      <c r="G934" s="149"/>
      <c r="H934" s="149"/>
      <c r="I934" s="149"/>
      <c r="J934" s="149"/>
      <c r="K934" s="149"/>
      <c r="L934" s="149"/>
      <c r="M934" s="149"/>
      <c r="N934" s="149"/>
      <c r="O934" s="149"/>
      <c r="P934" s="149"/>
      <c r="Q934" s="149"/>
      <c r="R934" s="149"/>
      <c r="S934" s="149"/>
      <c r="T934" s="149"/>
      <c r="U934" s="149"/>
      <c r="V934" s="149"/>
      <c r="W934" s="149"/>
      <c r="X934" s="149"/>
      <c r="Y934" s="149"/>
      <c r="Z934" s="149"/>
      <c r="AA934" s="149"/>
      <c r="AB934" s="149"/>
      <c r="AC934" s="149"/>
      <c r="AD934" s="148"/>
      <c r="AE934" s="148"/>
      <c r="AF934" s="148"/>
      <c r="DB934" s="149"/>
    </row>
    <row r="935" spans="2:106">
      <c r="B935" s="149"/>
      <c r="C935" s="149"/>
      <c r="D935" s="149"/>
      <c r="E935" s="149"/>
      <c r="F935" s="149"/>
      <c r="G935" s="149"/>
      <c r="H935" s="149"/>
      <c r="I935" s="149"/>
      <c r="J935" s="149"/>
      <c r="K935" s="149"/>
      <c r="L935" s="149"/>
      <c r="M935" s="149"/>
      <c r="N935" s="149"/>
      <c r="O935" s="149"/>
      <c r="P935" s="149"/>
      <c r="Q935" s="149"/>
      <c r="R935" s="149"/>
      <c r="S935" s="149"/>
      <c r="T935" s="149"/>
      <c r="U935" s="149"/>
      <c r="V935" s="149"/>
      <c r="W935" s="149"/>
      <c r="X935" s="149"/>
      <c r="Y935" s="149"/>
      <c r="Z935" s="149"/>
      <c r="AA935" s="149"/>
      <c r="AB935" s="149"/>
      <c r="AC935" s="149"/>
      <c r="AD935" s="148"/>
      <c r="AE935" s="148"/>
      <c r="AF935" s="148"/>
      <c r="DB935" s="149"/>
    </row>
    <row r="936" spans="2:106">
      <c r="B936" s="149"/>
      <c r="C936" s="149"/>
      <c r="D936" s="149"/>
      <c r="E936" s="149"/>
      <c r="F936" s="149"/>
      <c r="G936" s="149"/>
      <c r="H936" s="149"/>
      <c r="I936" s="149"/>
      <c r="J936" s="149"/>
      <c r="K936" s="149"/>
      <c r="L936" s="149"/>
      <c r="M936" s="149"/>
      <c r="N936" s="149"/>
      <c r="O936" s="149"/>
      <c r="P936" s="149"/>
      <c r="Q936" s="149"/>
      <c r="R936" s="149"/>
      <c r="S936" s="149"/>
      <c r="T936" s="149"/>
      <c r="U936" s="149"/>
      <c r="V936" s="149"/>
      <c r="W936" s="149"/>
      <c r="X936" s="149"/>
      <c r="Y936" s="149"/>
      <c r="Z936" s="149"/>
      <c r="AA936" s="149"/>
      <c r="AB936" s="149"/>
      <c r="AC936" s="149"/>
      <c r="AD936" s="148"/>
      <c r="AE936" s="148"/>
      <c r="AF936" s="148"/>
      <c r="DB936" s="149"/>
    </row>
    <row r="937" spans="2:106">
      <c r="B937" s="149"/>
      <c r="C937" s="149"/>
      <c r="D937" s="149"/>
      <c r="E937" s="149"/>
      <c r="F937" s="149"/>
      <c r="G937" s="149"/>
      <c r="H937" s="149"/>
      <c r="I937" s="149"/>
      <c r="J937" s="149"/>
      <c r="K937" s="149"/>
      <c r="L937" s="149"/>
      <c r="M937" s="149"/>
      <c r="N937" s="149"/>
      <c r="O937" s="149"/>
      <c r="P937" s="149"/>
      <c r="Q937" s="149"/>
      <c r="R937" s="149"/>
      <c r="S937" s="149"/>
      <c r="T937" s="149"/>
      <c r="U937" s="149"/>
      <c r="V937" s="149"/>
      <c r="W937" s="149"/>
      <c r="X937" s="149"/>
      <c r="Y937" s="149"/>
      <c r="Z937" s="149"/>
      <c r="AA937" s="149"/>
      <c r="AB937" s="149"/>
      <c r="AC937" s="149"/>
      <c r="AD937" s="148"/>
      <c r="AE937" s="148"/>
      <c r="AF937" s="148"/>
      <c r="DB937" s="149"/>
    </row>
    <row r="938" spans="2:106">
      <c r="B938" s="149"/>
      <c r="C938" s="149"/>
      <c r="D938" s="149"/>
      <c r="E938" s="149"/>
      <c r="F938" s="149"/>
      <c r="G938" s="149"/>
      <c r="H938" s="149"/>
      <c r="I938" s="149"/>
      <c r="J938" s="149"/>
      <c r="K938" s="149"/>
      <c r="L938" s="149"/>
      <c r="M938" s="149"/>
      <c r="N938" s="149"/>
      <c r="O938" s="149"/>
      <c r="P938" s="149"/>
      <c r="Q938" s="149"/>
      <c r="R938" s="149"/>
      <c r="S938" s="149"/>
      <c r="T938" s="149"/>
      <c r="U938" s="149"/>
      <c r="V938" s="149"/>
      <c r="W938" s="149"/>
      <c r="X938" s="149"/>
      <c r="Y938" s="149"/>
      <c r="Z938" s="149"/>
      <c r="AA938" s="149"/>
      <c r="AB938" s="149"/>
      <c r="AC938" s="149"/>
      <c r="AD938" s="148"/>
      <c r="AE938" s="148"/>
      <c r="AF938" s="148"/>
      <c r="DB938" s="149"/>
    </row>
    <row r="939" spans="2:106">
      <c r="B939" s="149"/>
      <c r="C939" s="149"/>
      <c r="D939" s="149"/>
      <c r="E939" s="149"/>
      <c r="F939" s="149"/>
      <c r="G939" s="149"/>
      <c r="H939" s="149"/>
      <c r="I939" s="149"/>
      <c r="J939" s="149"/>
      <c r="K939" s="149"/>
      <c r="L939" s="149"/>
      <c r="M939" s="149"/>
      <c r="N939" s="149"/>
      <c r="O939" s="149"/>
      <c r="P939" s="149"/>
      <c r="Q939" s="149"/>
      <c r="R939" s="149"/>
      <c r="S939" s="149"/>
      <c r="T939" s="149"/>
      <c r="U939" s="149"/>
      <c r="V939" s="149"/>
      <c r="W939" s="149"/>
      <c r="X939" s="149"/>
      <c r="Y939" s="149"/>
      <c r="Z939" s="149"/>
      <c r="AA939" s="149"/>
      <c r="AB939" s="149"/>
      <c r="AC939" s="149"/>
      <c r="AD939" s="148"/>
      <c r="AE939" s="148"/>
      <c r="AF939" s="148"/>
      <c r="DB939" s="149"/>
    </row>
    <row r="940" spans="2:106">
      <c r="B940" s="149"/>
      <c r="C940" s="149"/>
      <c r="D940" s="149"/>
      <c r="E940" s="149"/>
      <c r="F940" s="149"/>
      <c r="G940" s="149"/>
      <c r="H940" s="149"/>
      <c r="I940" s="149"/>
      <c r="J940" s="149"/>
      <c r="K940" s="149"/>
      <c r="L940" s="149"/>
      <c r="M940" s="149"/>
      <c r="N940" s="149"/>
      <c r="O940" s="149"/>
      <c r="P940" s="149"/>
      <c r="Q940" s="149"/>
      <c r="R940" s="149"/>
      <c r="S940" s="149"/>
      <c r="T940" s="149"/>
      <c r="U940" s="149"/>
      <c r="V940" s="149"/>
      <c r="W940" s="149"/>
      <c r="X940" s="149"/>
      <c r="Y940" s="149"/>
      <c r="Z940" s="149"/>
      <c r="AA940" s="149"/>
      <c r="AB940" s="149"/>
      <c r="AC940" s="149"/>
      <c r="AD940" s="148"/>
      <c r="AE940" s="148"/>
      <c r="AF940" s="148"/>
      <c r="DB940" s="149"/>
    </row>
    <row r="941" spans="2:106">
      <c r="B941" s="149"/>
      <c r="C941" s="149"/>
      <c r="D941" s="149"/>
      <c r="E941" s="149"/>
      <c r="F941" s="149"/>
      <c r="G941" s="149"/>
      <c r="H941" s="149"/>
      <c r="I941" s="149"/>
      <c r="J941" s="149"/>
      <c r="K941" s="149"/>
      <c r="L941" s="149"/>
      <c r="M941" s="149"/>
      <c r="N941" s="149"/>
      <c r="O941" s="149"/>
      <c r="P941" s="149"/>
      <c r="Q941" s="149"/>
      <c r="R941" s="149"/>
      <c r="S941" s="149"/>
      <c r="T941" s="149"/>
      <c r="U941" s="149"/>
      <c r="V941" s="149"/>
      <c r="W941" s="149"/>
      <c r="X941" s="149"/>
      <c r="Y941" s="149"/>
      <c r="Z941" s="149"/>
      <c r="AA941" s="149"/>
      <c r="AB941" s="149"/>
      <c r="AC941" s="149"/>
      <c r="AD941" s="148"/>
      <c r="AE941" s="148"/>
      <c r="AF941" s="148"/>
      <c r="DB941" s="149"/>
    </row>
    <row r="942" spans="2:106">
      <c r="B942" s="149"/>
      <c r="C942" s="149"/>
      <c r="D942" s="149"/>
      <c r="E942" s="149"/>
      <c r="F942" s="149"/>
      <c r="G942" s="149"/>
      <c r="H942" s="149"/>
      <c r="I942" s="149"/>
      <c r="J942" s="149"/>
      <c r="K942" s="149"/>
      <c r="L942" s="149"/>
      <c r="M942" s="149"/>
      <c r="N942" s="149"/>
      <c r="O942" s="149"/>
      <c r="P942" s="149"/>
      <c r="Q942" s="149"/>
      <c r="R942" s="149"/>
      <c r="S942" s="149"/>
      <c r="T942" s="149"/>
      <c r="U942" s="149"/>
      <c r="V942" s="149"/>
      <c r="W942" s="149"/>
      <c r="X942" s="149"/>
      <c r="Y942" s="149"/>
      <c r="Z942" s="149"/>
      <c r="AA942" s="149"/>
      <c r="AB942" s="149"/>
      <c r="AC942" s="149"/>
      <c r="AD942" s="148"/>
      <c r="AE942" s="148"/>
      <c r="AF942" s="148"/>
      <c r="DB942" s="149"/>
    </row>
    <row r="943" spans="2:106">
      <c r="B943" s="149"/>
      <c r="C943" s="149"/>
      <c r="D943" s="149"/>
      <c r="E943" s="149"/>
      <c r="F943" s="149"/>
      <c r="G943" s="149"/>
      <c r="H943" s="149"/>
      <c r="I943" s="149"/>
      <c r="J943" s="149"/>
      <c r="K943" s="149"/>
      <c r="L943" s="149"/>
      <c r="M943" s="149"/>
      <c r="N943" s="149"/>
      <c r="O943" s="149"/>
      <c r="P943" s="149"/>
      <c r="Q943" s="149"/>
      <c r="R943" s="149"/>
      <c r="S943" s="149"/>
      <c r="T943" s="149"/>
      <c r="U943" s="149"/>
      <c r="V943" s="149"/>
      <c r="W943" s="149"/>
      <c r="X943" s="149"/>
      <c r="Y943" s="149"/>
      <c r="Z943" s="149"/>
      <c r="AA943" s="149"/>
      <c r="AB943" s="149"/>
      <c r="AC943" s="149"/>
      <c r="AD943" s="148"/>
      <c r="AE943" s="148"/>
      <c r="AF943" s="148"/>
      <c r="DB943" s="149"/>
    </row>
    <row r="944" spans="2:106">
      <c r="B944" s="149"/>
      <c r="C944" s="149"/>
      <c r="D944" s="149"/>
      <c r="E944" s="149"/>
      <c r="F944" s="149"/>
      <c r="G944" s="149"/>
      <c r="H944" s="149"/>
      <c r="I944" s="149"/>
      <c r="J944" s="149"/>
      <c r="K944" s="149"/>
      <c r="L944" s="149"/>
      <c r="M944" s="149"/>
      <c r="N944" s="149"/>
      <c r="O944" s="149"/>
      <c r="P944" s="149"/>
      <c r="Q944" s="149"/>
      <c r="R944" s="149"/>
      <c r="S944" s="149"/>
      <c r="T944" s="149"/>
      <c r="U944" s="149"/>
      <c r="V944" s="149"/>
      <c r="W944" s="149"/>
      <c r="X944" s="149"/>
      <c r="Y944" s="149"/>
      <c r="Z944" s="149"/>
      <c r="AA944" s="149"/>
      <c r="AB944" s="149"/>
      <c r="AC944" s="149"/>
      <c r="AD944" s="148"/>
      <c r="AE944" s="148"/>
      <c r="AF944" s="148"/>
      <c r="DB944" s="149"/>
    </row>
    <row r="945" spans="2:106">
      <c r="B945" s="149"/>
      <c r="C945" s="149"/>
      <c r="D945" s="149"/>
      <c r="E945" s="149"/>
      <c r="F945" s="149"/>
      <c r="G945" s="149"/>
      <c r="H945" s="149"/>
      <c r="I945" s="149"/>
      <c r="J945" s="149"/>
      <c r="K945" s="149"/>
      <c r="L945" s="149"/>
      <c r="M945" s="149"/>
      <c r="N945" s="149"/>
      <c r="O945" s="149"/>
      <c r="P945" s="149"/>
      <c r="Q945" s="149"/>
      <c r="R945" s="149"/>
      <c r="S945" s="149"/>
      <c r="T945" s="149"/>
      <c r="U945" s="149"/>
      <c r="V945" s="149"/>
      <c r="W945" s="149"/>
      <c r="X945" s="149"/>
      <c r="Y945" s="149"/>
      <c r="Z945" s="149"/>
      <c r="AA945" s="149"/>
      <c r="AB945" s="149"/>
      <c r="AC945" s="149"/>
      <c r="AD945" s="148"/>
      <c r="AE945" s="148"/>
      <c r="AF945" s="148"/>
      <c r="DB945" s="149"/>
    </row>
    <row r="946" spans="2:106">
      <c r="B946" s="149"/>
      <c r="C946" s="149"/>
      <c r="D946" s="149"/>
      <c r="E946" s="149"/>
      <c r="F946" s="149"/>
      <c r="G946" s="149"/>
      <c r="H946" s="149"/>
      <c r="I946" s="149"/>
      <c r="J946" s="149"/>
      <c r="K946" s="149"/>
      <c r="L946" s="149"/>
      <c r="M946" s="149"/>
      <c r="N946" s="149"/>
      <c r="O946" s="149"/>
      <c r="P946" s="149"/>
      <c r="Q946" s="149"/>
      <c r="R946" s="149"/>
      <c r="S946" s="149"/>
      <c r="T946" s="149"/>
      <c r="U946" s="149"/>
      <c r="V946" s="149"/>
      <c r="W946" s="149"/>
      <c r="X946" s="149"/>
      <c r="Y946" s="149"/>
      <c r="Z946" s="149"/>
      <c r="AA946" s="149"/>
      <c r="AB946" s="149"/>
      <c r="AC946" s="149"/>
      <c r="AD946" s="148"/>
      <c r="AE946" s="148"/>
      <c r="AF946" s="148"/>
      <c r="DB946" s="149"/>
    </row>
    <row r="947" spans="2:106">
      <c r="B947" s="149"/>
      <c r="C947" s="149"/>
      <c r="D947" s="149"/>
      <c r="E947" s="149"/>
      <c r="F947" s="149"/>
      <c r="G947" s="149"/>
      <c r="H947" s="149"/>
      <c r="I947" s="149"/>
      <c r="J947" s="149"/>
      <c r="K947" s="149"/>
      <c r="L947" s="149"/>
      <c r="M947" s="149"/>
      <c r="N947" s="149"/>
      <c r="O947" s="149"/>
      <c r="P947" s="149"/>
      <c r="Q947" s="149"/>
      <c r="R947" s="149"/>
      <c r="S947" s="149"/>
      <c r="T947" s="149"/>
      <c r="U947" s="149"/>
      <c r="V947" s="149"/>
      <c r="W947" s="149"/>
      <c r="X947" s="149"/>
      <c r="Y947" s="149"/>
      <c r="Z947" s="149"/>
      <c r="AA947" s="149"/>
      <c r="AB947" s="149"/>
      <c r="AC947" s="149"/>
      <c r="AD947" s="148"/>
      <c r="AE947" s="148"/>
      <c r="AF947" s="148"/>
      <c r="DB947" s="149"/>
    </row>
    <row r="948" spans="2:106">
      <c r="B948" s="149"/>
      <c r="C948" s="149"/>
      <c r="D948" s="149"/>
      <c r="E948" s="149"/>
      <c r="F948" s="149"/>
      <c r="G948" s="149"/>
      <c r="H948" s="149"/>
      <c r="I948" s="149"/>
      <c r="J948" s="149"/>
      <c r="K948" s="149"/>
      <c r="L948" s="149"/>
      <c r="M948" s="149"/>
      <c r="N948" s="149"/>
      <c r="O948" s="149"/>
      <c r="P948" s="149"/>
      <c r="Q948" s="149"/>
      <c r="R948" s="149"/>
      <c r="S948" s="149"/>
      <c r="T948" s="149"/>
      <c r="U948" s="149"/>
      <c r="V948" s="149"/>
      <c r="W948" s="149"/>
      <c r="X948" s="149"/>
      <c r="Y948" s="149"/>
      <c r="Z948" s="149"/>
      <c r="AA948" s="149"/>
      <c r="AB948" s="149"/>
      <c r="AC948" s="149"/>
      <c r="AD948" s="148"/>
      <c r="AE948" s="148"/>
      <c r="AF948" s="148"/>
      <c r="DB948" s="149"/>
    </row>
    <row r="949" spans="2:106">
      <c r="B949" s="149"/>
      <c r="C949" s="149"/>
      <c r="D949" s="149"/>
      <c r="E949" s="149"/>
      <c r="F949" s="149"/>
      <c r="G949" s="149"/>
      <c r="H949" s="149"/>
      <c r="I949" s="149"/>
      <c r="J949" s="149"/>
      <c r="K949" s="149"/>
      <c r="L949" s="149"/>
      <c r="M949" s="149"/>
      <c r="N949" s="149"/>
      <c r="O949" s="149"/>
      <c r="P949" s="149"/>
      <c r="Q949" s="149"/>
      <c r="R949" s="149"/>
      <c r="S949" s="149"/>
      <c r="T949" s="149"/>
      <c r="U949" s="149"/>
      <c r="V949" s="149"/>
      <c r="W949" s="149"/>
      <c r="X949" s="149"/>
      <c r="Y949" s="149"/>
      <c r="Z949" s="149"/>
      <c r="AA949" s="149"/>
      <c r="AB949" s="149"/>
      <c r="AC949" s="149"/>
      <c r="AD949" s="148"/>
      <c r="AE949" s="148"/>
      <c r="AF949" s="148"/>
      <c r="DB949" s="149"/>
    </row>
    <row r="950" spans="2:106">
      <c r="B950" s="149"/>
      <c r="C950" s="149"/>
      <c r="D950" s="149"/>
      <c r="E950" s="149"/>
      <c r="F950" s="149"/>
      <c r="G950" s="149"/>
      <c r="H950" s="149"/>
      <c r="I950" s="149"/>
      <c r="J950" s="149"/>
      <c r="K950" s="149"/>
      <c r="L950" s="149"/>
      <c r="M950" s="149"/>
      <c r="N950" s="149"/>
      <c r="O950" s="149"/>
      <c r="P950" s="149"/>
      <c r="Q950" s="149"/>
      <c r="R950" s="149"/>
      <c r="S950" s="149"/>
      <c r="T950" s="149"/>
      <c r="U950" s="149"/>
      <c r="V950" s="149"/>
      <c r="W950" s="149"/>
      <c r="X950" s="149"/>
      <c r="Y950" s="149"/>
      <c r="Z950" s="149"/>
      <c r="AA950" s="149"/>
      <c r="AB950" s="149"/>
      <c r="AC950" s="149"/>
      <c r="AD950" s="148"/>
      <c r="AE950" s="148"/>
      <c r="AF950" s="148"/>
      <c r="DB950" s="149"/>
    </row>
    <row r="951" spans="2:106">
      <c r="B951" s="149"/>
      <c r="C951" s="149"/>
      <c r="D951" s="149"/>
      <c r="E951" s="149"/>
      <c r="F951" s="149"/>
      <c r="G951" s="149"/>
      <c r="H951" s="149"/>
      <c r="I951" s="149"/>
      <c r="J951" s="149"/>
      <c r="K951" s="149"/>
      <c r="L951" s="149"/>
      <c r="M951" s="149"/>
      <c r="N951" s="149"/>
      <c r="O951" s="149"/>
      <c r="P951" s="149"/>
      <c r="Q951" s="149"/>
      <c r="R951" s="149"/>
      <c r="S951" s="149"/>
      <c r="T951" s="149"/>
      <c r="U951" s="149"/>
      <c r="V951" s="149"/>
      <c r="W951" s="149"/>
      <c r="X951" s="149"/>
      <c r="Y951" s="149"/>
      <c r="Z951" s="149"/>
      <c r="AA951" s="149"/>
      <c r="AB951" s="149"/>
      <c r="AC951" s="149"/>
      <c r="AD951" s="148"/>
      <c r="AE951" s="148"/>
      <c r="AF951" s="148"/>
      <c r="DB951" s="149"/>
    </row>
    <row r="952" spans="2:106">
      <c r="B952" s="149"/>
      <c r="C952" s="149"/>
      <c r="D952" s="149"/>
      <c r="E952" s="149"/>
      <c r="F952" s="149"/>
      <c r="G952" s="149"/>
      <c r="H952" s="149"/>
      <c r="I952" s="149"/>
      <c r="J952" s="149"/>
      <c r="K952" s="149"/>
      <c r="L952" s="149"/>
      <c r="M952" s="149"/>
      <c r="N952" s="149"/>
      <c r="O952" s="149"/>
      <c r="P952" s="149"/>
      <c r="Q952" s="149"/>
      <c r="R952" s="149"/>
      <c r="S952" s="149"/>
      <c r="T952" s="149"/>
      <c r="U952" s="149"/>
      <c r="V952" s="149"/>
      <c r="W952" s="149"/>
      <c r="X952" s="149"/>
      <c r="Y952" s="149"/>
      <c r="Z952" s="149"/>
      <c r="AA952" s="149"/>
      <c r="AB952" s="149"/>
      <c r="AC952" s="149"/>
      <c r="AD952" s="148"/>
      <c r="AE952" s="148"/>
      <c r="AF952" s="148"/>
      <c r="DB952" s="149"/>
    </row>
    <row r="953" spans="2:106">
      <c r="B953" s="149"/>
      <c r="C953" s="149"/>
      <c r="D953" s="149"/>
      <c r="E953" s="149"/>
      <c r="F953" s="149"/>
      <c r="G953" s="149"/>
      <c r="H953" s="149"/>
      <c r="I953" s="149"/>
      <c r="J953" s="149"/>
      <c r="K953" s="149"/>
      <c r="L953" s="149"/>
      <c r="M953" s="149"/>
      <c r="N953" s="149"/>
      <c r="O953" s="149"/>
      <c r="P953" s="149"/>
      <c r="Q953" s="149"/>
      <c r="R953" s="149"/>
      <c r="S953" s="149"/>
      <c r="T953" s="149"/>
      <c r="U953" s="149"/>
      <c r="V953" s="149"/>
      <c r="W953" s="149"/>
      <c r="X953" s="149"/>
      <c r="Y953" s="149"/>
      <c r="Z953" s="149"/>
      <c r="AA953" s="149"/>
      <c r="AB953" s="149"/>
      <c r="AC953" s="149"/>
      <c r="AD953" s="148"/>
      <c r="AE953" s="148"/>
      <c r="AF953" s="148"/>
      <c r="DB953" s="149"/>
    </row>
    <row r="954" spans="2:106">
      <c r="B954" s="149"/>
      <c r="C954" s="149"/>
      <c r="D954" s="149"/>
      <c r="E954" s="149"/>
      <c r="F954" s="149"/>
      <c r="G954" s="149"/>
      <c r="H954" s="149"/>
      <c r="I954" s="149"/>
      <c r="J954" s="149"/>
      <c r="K954" s="149"/>
      <c r="L954" s="149"/>
      <c r="M954" s="149"/>
      <c r="N954" s="149"/>
      <c r="O954" s="149"/>
      <c r="P954" s="149"/>
      <c r="Q954" s="149"/>
      <c r="R954" s="149"/>
      <c r="S954" s="149"/>
      <c r="T954" s="149"/>
      <c r="U954" s="149"/>
      <c r="V954" s="149"/>
      <c r="W954" s="149"/>
      <c r="X954" s="149"/>
      <c r="Y954" s="149"/>
      <c r="Z954" s="149"/>
      <c r="AA954" s="149"/>
      <c r="AB954" s="149"/>
      <c r="AC954" s="149"/>
      <c r="AD954" s="148"/>
      <c r="AE954" s="148"/>
      <c r="AF954" s="148"/>
      <c r="DB954" s="149"/>
    </row>
    <row r="955" spans="2:106">
      <c r="B955" s="149"/>
      <c r="C955" s="149"/>
      <c r="D955" s="149"/>
      <c r="E955" s="149"/>
      <c r="F955" s="149"/>
      <c r="G955" s="149"/>
      <c r="H955" s="149"/>
      <c r="I955" s="149"/>
      <c r="J955" s="149"/>
      <c r="K955" s="149"/>
      <c r="L955" s="149"/>
      <c r="M955" s="149"/>
      <c r="N955" s="149"/>
      <c r="O955" s="149"/>
      <c r="P955" s="149"/>
      <c r="Q955" s="149"/>
      <c r="R955" s="149"/>
      <c r="S955" s="149"/>
      <c r="T955" s="149"/>
      <c r="U955" s="149"/>
      <c r="V955" s="149"/>
      <c r="W955" s="149"/>
      <c r="X955" s="149"/>
      <c r="Y955" s="149"/>
      <c r="Z955" s="149"/>
      <c r="AA955" s="149"/>
      <c r="AB955" s="149"/>
      <c r="AC955" s="149"/>
      <c r="AD955" s="148"/>
      <c r="AE955" s="148"/>
      <c r="AF955" s="148"/>
      <c r="DB955" s="149"/>
    </row>
    <row r="956" spans="2:106">
      <c r="B956" s="149"/>
      <c r="C956" s="149"/>
      <c r="D956" s="149"/>
      <c r="E956" s="149"/>
      <c r="F956" s="149"/>
      <c r="G956" s="149"/>
      <c r="H956" s="149"/>
      <c r="I956" s="149"/>
      <c r="J956" s="149"/>
      <c r="K956" s="149"/>
      <c r="L956" s="149"/>
      <c r="M956" s="149"/>
      <c r="N956" s="149"/>
      <c r="O956" s="149"/>
      <c r="P956" s="149"/>
      <c r="Q956" s="149"/>
      <c r="R956" s="149"/>
      <c r="S956" s="149"/>
      <c r="T956" s="149"/>
      <c r="U956" s="149"/>
      <c r="V956" s="149"/>
      <c r="W956" s="149"/>
      <c r="X956" s="149"/>
      <c r="Y956" s="149"/>
      <c r="Z956" s="149"/>
      <c r="AA956" s="149"/>
      <c r="AB956" s="149"/>
      <c r="AC956" s="149"/>
      <c r="AD956" s="148"/>
      <c r="AE956" s="148"/>
      <c r="AF956" s="148"/>
      <c r="DB956" s="149"/>
    </row>
    <row r="957" spans="2:106">
      <c r="B957" s="149"/>
      <c r="C957" s="149"/>
      <c r="D957" s="149"/>
      <c r="E957" s="149"/>
      <c r="F957" s="149"/>
      <c r="G957" s="149"/>
      <c r="H957" s="149"/>
      <c r="I957" s="149"/>
      <c r="J957" s="149"/>
      <c r="K957" s="149"/>
      <c r="L957" s="149"/>
      <c r="M957" s="149"/>
      <c r="N957" s="149"/>
      <c r="O957" s="149"/>
      <c r="P957" s="149"/>
      <c r="Q957" s="149"/>
      <c r="R957" s="149"/>
      <c r="S957" s="149"/>
      <c r="T957" s="149"/>
      <c r="U957" s="149"/>
      <c r="V957" s="149"/>
      <c r="W957" s="149"/>
      <c r="X957" s="149"/>
      <c r="Y957" s="149"/>
      <c r="Z957" s="149"/>
      <c r="AA957" s="149"/>
      <c r="AB957" s="149"/>
      <c r="AC957" s="149"/>
      <c r="AD957" s="148"/>
      <c r="AE957" s="148"/>
      <c r="AF957" s="148"/>
      <c r="DB957" s="149"/>
    </row>
    <row r="958" spans="2:106">
      <c r="B958" s="149"/>
      <c r="C958" s="149"/>
      <c r="D958" s="149"/>
      <c r="E958" s="149"/>
      <c r="F958" s="149"/>
      <c r="G958" s="149"/>
      <c r="H958" s="149"/>
      <c r="I958" s="149"/>
      <c r="J958" s="149"/>
      <c r="K958" s="149"/>
      <c r="L958" s="149"/>
      <c r="M958" s="149"/>
      <c r="N958" s="149"/>
      <c r="O958" s="149"/>
      <c r="P958" s="149"/>
      <c r="Q958" s="149"/>
      <c r="R958" s="149"/>
      <c r="S958" s="149"/>
      <c r="T958" s="149"/>
      <c r="U958" s="149"/>
      <c r="V958" s="149"/>
      <c r="W958" s="149"/>
      <c r="X958" s="149"/>
      <c r="Y958" s="149"/>
      <c r="Z958" s="149"/>
      <c r="AA958" s="149"/>
      <c r="AB958" s="149"/>
      <c r="AC958" s="149"/>
      <c r="AD958" s="148"/>
      <c r="AE958" s="148"/>
      <c r="AF958" s="148"/>
      <c r="DB958" s="149"/>
    </row>
    <row r="959" spans="2:106">
      <c r="B959" s="149"/>
      <c r="C959" s="149"/>
      <c r="D959" s="149"/>
      <c r="E959" s="149"/>
      <c r="F959" s="149"/>
      <c r="G959" s="149"/>
      <c r="H959" s="149"/>
      <c r="I959" s="149"/>
      <c r="J959" s="149"/>
      <c r="K959" s="149"/>
      <c r="L959" s="149"/>
      <c r="M959" s="149"/>
      <c r="N959" s="149"/>
      <c r="O959" s="149"/>
      <c r="P959" s="149"/>
      <c r="Q959" s="149"/>
      <c r="R959" s="149"/>
      <c r="S959" s="149"/>
      <c r="T959" s="149"/>
      <c r="U959" s="149"/>
      <c r="V959" s="149"/>
      <c r="W959" s="149"/>
      <c r="X959" s="149"/>
      <c r="Y959" s="149"/>
      <c r="Z959" s="149"/>
      <c r="AA959" s="149"/>
      <c r="AB959" s="149"/>
      <c r="AC959" s="149"/>
      <c r="AD959" s="148"/>
      <c r="AE959" s="148"/>
      <c r="AF959" s="148"/>
      <c r="DB959" s="149"/>
    </row>
    <row r="960" spans="2:106">
      <c r="B960" s="149"/>
      <c r="C960" s="149"/>
      <c r="D960" s="149"/>
      <c r="E960" s="149"/>
      <c r="F960" s="149"/>
      <c r="G960" s="149"/>
      <c r="H960" s="149"/>
      <c r="I960" s="149"/>
      <c r="J960" s="149"/>
      <c r="K960" s="149"/>
      <c r="L960" s="149"/>
      <c r="M960" s="149"/>
      <c r="N960" s="149"/>
      <c r="O960" s="149"/>
      <c r="P960" s="149"/>
      <c r="Q960" s="149"/>
      <c r="R960" s="149"/>
      <c r="S960" s="149"/>
      <c r="T960" s="149"/>
      <c r="U960" s="149"/>
      <c r="V960" s="149"/>
      <c r="W960" s="149"/>
      <c r="X960" s="149"/>
      <c r="Y960" s="149"/>
      <c r="Z960" s="149"/>
      <c r="AA960" s="149"/>
      <c r="AB960" s="149"/>
      <c r="AC960" s="149"/>
      <c r="AD960" s="148"/>
      <c r="AE960" s="148"/>
      <c r="AF960" s="148"/>
      <c r="DB960" s="149"/>
    </row>
    <row r="961" spans="2:106">
      <c r="B961" s="149"/>
      <c r="C961" s="149"/>
      <c r="D961" s="149"/>
      <c r="E961" s="149"/>
      <c r="F961" s="149"/>
      <c r="G961" s="149"/>
      <c r="H961" s="149"/>
      <c r="I961" s="149"/>
      <c r="J961" s="149"/>
      <c r="K961" s="149"/>
      <c r="L961" s="149"/>
      <c r="M961" s="149"/>
      <c r="N961" s="149"/>
      <c r="O961" s="149"/>
      <c r="P961" s="149"/>
      <c r="Q961" s="149"/>
      <c r="R961" s="149"/>
      <c r="S961" s="149"/>
      <c r="T961" s="149"/>
      <c r="U961" s="149"/>
      <c r="V961" s="149"/>
      <c r="W961" s="149"/>
      <c r="X961" s="149"/>
      <c r="Y961" s="149"/>
      <c r="Z961" s="149"/>
      <c r="AA961" s="149"/>
      <c r="AB961" s="149"/>
      <c r="AC961" s="149"/>
      <c r="AD961" s="148"/>
      <c r="AE961" s="148"/>
      <c r="AF961" s="148"/>
      <c r="DB961" s="149"/>
    </row>
    <row r="962" spans="2:106">
      <c r="B962" s="149"/>
      <c r="C962" s="149"/>
      <c r="D962" s="149"/>
      <c r="E962" s="149"/>
      <c r="F962" s="149"/>
      <c r="G962" s="149"/>
      <c r="H962" s="149"/>
      <c r="I962" s="149"/>
      <c r="J962" s="149"/>
      <c r="K962" s="149"/>
      <c r="L962" s="149"/>
      <c r="M962" s="149"/>
      <c r="N962" s="149"/>
      <c r="O962" s="149"/>
      <c r="P962" s="149"/>
      <c r="Q962" s="149"/>
      <c r="R962" s="149"/>
      <c r="S962" s="149"/>
      <c r="T962" s="149"/>
      <c r="U962" s="149"/>
      <c r="V962" s="149"/>
      <c r="W962" s="149"/>
      <c r="X962" s="149"/>
      <c r="Y962" s="149"/>
      <c r="Z962" s="149"/>
      <c r="AA962" s="149"/>
      <c r="AB962" s="149"/>
      <c r="AC962" s="149"/>
      <c r="AD962" s="148"/>
      <c r="AE962" s="148"/>
      <c r="AF962" s="148"/>
      <c r="DB962" s="149"/>
    </row>
    <row r="963" spans="2:106">
      <c r="B963" s="149"/>
      <c r="C963" s="149"/>
      <c r="D963" s="149"/>
      <c r="E963" s="149"/>
      <c r="F963" s="149"/>
      <c r="G963" s="149"/>
      <c r="H963" s="149"/>
      <c r="I963" s="149"/>
      <c r="J963" s="149"/>
      <c r="K963" s="149"/>
      <c r="L963" s="149"/>
      <c r="M963" s="149"/>
      <c r="N963" s="149"/>
      <c r="O963" s="149"/>
      <c r="P963" s="149"/>
      <c r="Q963" s="149"/>
      <c r="R963" s="149"/>
      <c r="S963" s="149"/>
      <c r="T963" s="149"/>
      <c r="U963" s="149"/>
      <c r="V963" s="149"/>
      <c r="W963" s="149"/>
      <c r="X963" s="149"/>
      <c r="Y963" s="149"/>
      <c r="Z963" s="149"/>
      <c r="AA963" s="149"/>
      <c r="AB963" s="149"/>
      <c r="AC963" s="149"/>
      <c r="AD963" s="148"/>
      <c r="AE963" s="148"/>
      <c r="AF963" s="148"/>
      <c r="DB963" s="149"/>
    </row>
    <row r="964" spans="2:106">
      <c r="B964" s="149"/>
      <c r="C964" s="149"/>
      <c r="D964" s="149"/>
      <c r="E964" s="149"/>
      <c r="F964" s="149"/>
      <c r="G964" s="149"/>
      <c r="H964" s="149"/>
      <c r="I964" s="149"/>
      <c r="J964" s="149"/>
      <c r="K964" s="149"/>
      <c r="L964" s="149"/>
      <c r="M964" s="149"/>
      <c r="N964" s="149"/>
      <c r="O964" s="149"/>
      <c r="P964" s="149"/>
      <c r="Q964" s="149"/>
      <c r="R964" s="149"/>
      <c r="S964" s="149"/>
      <c r="T964" s="149"/>
      <c r="U964" s="149"/>
      <c r="V964" s="149"/>
      <c r="W964" s="149"/>
      <c r="X964" s="149"/>
      <c r="Y964" s="149"/>
      <c r="Z964" s="149"/>
      <c r="AA964" s="149"/>
      <c r="AB964" s="149"/>
      <c r="AC964" s="149"/>
      <c r="AD964" s="148"/>
      <c r="AE964" s="148"/>
      <c r="AF964" s="148"/>
      <c r="DB964" s="149"/>
    </row>
    <row r="965" spans="2:106">
      <c r="B965" s="149"/>
      <c r="C965" s="149"/>
      <c r="D965" s="149"/>
      <c r="E965" s="149"/>
      <c r="F965" s="149"/>
      <c r="G965" s="149"/>
      <c r="H965" s="149"/>
      <c r="I965" s="149"/>
      <c r="J965" s="149"/>
      <c r="K965" s="149"/>
      <c r="L965" s="149"/>
      <c r="M965" s="149"/>
      <c r="N965" s="149"/>
      <c r="O965" s="149"/>
      <c r="P965" s="149"/>
      <c r="Q965" s="149"/>
      <c r="R965" s="149"/>
      <c r="S965" s="149"/>
      <c r="T965" s="149"/>
      <c r="U965" s="149"/>
      <c r="V965" s="149"/>
      <c r="W965" s="149"/>
      <c r="X965" s="149"/>
      <c r="Y965" s="149"/>
      <c r="Z965" s="149"/>
      <c r="AA965" s="149"/>
      <c r="AB965" s="149"/>
      <c r="AC965" s="149"/>
      <c r="AD965" s="148"/>
      <c r="AE965" s="148"/>
      <c r="AF965" s="148"/>
      <c r="DB965" s="149"/>
    </row>
    <row r="966" spans="2:106">
      <c r="B966" s="149"/>
      <c r="C966" s="149"/>
      <c r="D966" s="149"/>
      <c r="E966" s="149"/>
      <c r="F966" s="149"/>
      <c r="G966" s="149"/>
      <c r="H966" s="149"/>
      <c r="I966" s="149"/>
      <c r="J966" s="149"/>
      <c r="K966" s="149"/>
      <c r="L966" s="149"/>
      <c r="M966" s="149"/>
      <c r="N966" s="149"/>
      <c r="O966" s="149"/>
      <c r="P966" s="149"/>
      <c r="Q966" s="149"/>
      <c r="R966" s="149"/>
      <c r="S966" s="149"/>
      <c r="T966" s="149"/>
      <c r="U966" s="149"/>
      <c r="V966" s="149"/>
      <c r="W966" s="149"/>
      <c r="X966" s="149"/>
      <c r="Y966" s="149"/>
      <c r="Z966" s="149"/>
      <c r="AA966" s="149"/>
      <c r="AB966" s="149"/>
      <c r="AC966" s="149"/>
      <c r="AD966" s="148"/>
      <c r="AE966" s="148"/>
      <c r="AF966" s="148"/>
      <c r="DB966" s="149"/>
    </row>
    <row r="967" spans="2:106">
      <c r="B967" s="149"/>
      <c r="C967" s="149"/>
      <c r="D967" s="149"/>
      <c r="E967" s="149"/>
      <c r="F967" s="149"/>
      <c r="G967" s="149"/>
      <c r="H967" s="149"/>
      <c r="I967" s="149"/>
      <c r="J967" s="149"/>
      <c r="K967" s="149"/>
      <c r="L967" s="149"/>
      <c r="M967" s="149"/>
      <c r="N967" s="149"/>
      <c r="O967" s="149"/>
      <c r="P967" s="149"/>
      <c r="Q967" s="149"/>
      <c r="R967" s="149"/>
      <c r="S967" s="149"/>
      <c r="T967" s="149"/>
      <c r="U967" s="149"/>
      <c r="V967" s="149"/>
      <c r="W967" s="149"/>
      <c r="X967" s="149"/>
      <c r="Y967" s="149"/>
      <c r="Z967" s="149"/>
      <c r="AA967" s="149"/>
      <c r="AB967" s="149"/>
      <c r="AC967" s="149"/>
      <c r="AD967" s="148"/>
      <c r="AE967" s="148"/>
      <c r="AF967" s="148"/>
      <c r="DB967" s="149"/>
    </row>
    <row r="968" spans="2:106">
      <c r="B968" s="149"/>
      <c r="C968" s="149"/>
      <c r="D968" s="149"/>
      <c r="E968" s="149"/>
      <c r="F968" s="149"/>
      <c r="G968" s="149"/>
      <c r="H968" s="149"/>
      <c r="I968" s="149"/>
      <c r="J968" s="149"/>
      <c r="K968" s="149"/>
      <c r="L968" s="149"/>
      <c r="M968" s="149"/>
      <c r="N968" s="149"/>
      <c r="O968" s="149"/>
      <c r="P968" s="149"/>
      <c r="Q968" s="149"/>
      <c r="R968" s="149"/>
      <c r="S968" s="149"/>
      <c r="T968" s="149"/>
      <c r="U968" s="149"/>
      <c r="V968" s="149"/>
      <c r="W968" s="149"/>
      <c r="X968" s="149"/>
      <c r="Y968" s="149"/>
      <c r="Z968" s="149"/>
      <c r="AA968" s="149"/>
      <c r="AB968" s="149"/>
      <c r="AC968" s="149"/>
      <c r="AD968" s="148"/>
      <c r="AE968" s="148"/>
      <c r="AF968" s="148"/>
      <c r="DB968" s="149"/>
    </row>
    <row r="969" spans="2:106">
      <c r="B969" s="149"/>
      <c r="C969" s="149"/>
      <c r="D969" s="149"/>
      <c r="E969" s="149"/>
      <c r="F969" s="149"/>
      <c r="G969" s="149"/>
      <c r="H969" s="149"/>
      <c r="I969" s="149"/>
      <c r="J969" s="149"/>
      <c r="K969" s="149"/>
      <c r="L969" s="149"/>
      <c r="M969" s="149"/>
      <c r="N969" s="149"/>
      <c r="O969" s="149"/>
      <c r="P969" s="149"/>
      <c r="Q969" s="149"/>
      <c r="R969" s="149"/>
      <c r="S969" s="149"/>
      <c r="T969" s="149"/>
      <c r="U969" s="149"/>
      <c r="V969" s="149"/>
      <c r="W969" s="149"/>
      <c r="X969" s="149"/>
      <c r="Y969" s="149"/>
      <c r="Z969" s="149"/>
      <c r="AA969" s="149"/>
      <c r="AB969" s="149"/>
      <c r="AC969" s="149"/>
      <c r="AD969" s="148"/>
      <c r="AE969" s="148"/>
      <c r="AF969" s="148"/>
      <c r="DB969" s="149"/>
    </row>
    <row r="970" spans="2:106">
      <c r="B970" s="149"/>
      <c r="C970" s="149"/>
      <c r="D970" s="149"/>
      <c r="E970" s="149"/>
      <c r="F970" s="149"/>
      <c r="G970" s="149"/>
      <c r="H970" s="149"/>
      <c r="I970" s="149"/>
      <c r="J970" s="149"/>
      <c r="K970" s="149"/>
      <c r="L970" s="149"/>
      <c r="M970" s="149"/>
      <c r="N970" s="149"/>
      <c r="O970" s="149"/>
      <c r="P970" s="149"/>
      <c r="Q970" s="149"/>
      <c r="R970" s="149"/>
      <c r="S970" s="149"/>
      <c r="T970" s="149"/>
      <c r="U970" s="149"/>
      <c r="V970" s="149"/>
      <c r="W970" s="149"/>
      <c r="X970" s="149"/>
      <c r="Y970" s="149"/>
      <c r="Z970" s="149"/>
      <c r="AA970" s="149"/>
      <c r="AB970" s="149"/>
      <c r="AC970" s="149"/>
      <c r="AD970" s="148"/>
      <c r="AE970" s="148"/>
      <c r="AF970" s="148"/>
      <c r="DB970" s="149"/>
    </row>
    <row r="971" spans="2:106">
      <c r="B971" s="149"/>
      <c r="C971" s="149"/>
      <c r="D971" s="149"/>
      <c r="E971" s="149"/>
      <c r="F971" s="149"/>
      <c r="G971" s="149"/>
      <c r="H971" s="149"/>
      <c r="I971" s="149"/>
      <c r="J971" s="149"/>
      <c r="K971" s="149"/>
      <c r="L971" s="149"/>
      <c r="M971" s="149"/>
      <c r="N971" s="149"/>
      <c r="O971" s="149"/>
      <c r="P971" s="149"/>
      <c r="Q971" s="149"/>
      <c r="R971" s="149"/>
      <c r="S971" s="149"/>
      <c r="T971" s="149"/>
      <c r="U971" s="149"/>
      <c r="V971" s="149"/>
      <c r="W971" s="149"/>
      <c r="X971" s="149"/>
      <c r="Y971" s="149"/>
      <c r="Z971" s="149"/>
      <c r="AA971" s="149"/>
      <c r="AB971" s="149"/>
      <c r="AC971" s="149"/>
      <c r="AD971" s="148"/>
      <c r="AE971" s="148"/>
      <c r="AF971" s="148"/>
      <c r="DB971" s="149"/>
    </row>
    <row r="972" spans="2:106">
      <c r="B972" s="149"/>
      <c r="C972" s="149"/>
      <c r="D972" s="149"/>
      <c r="E972" s="149"/>
      <c r="F972" s="149"/>
      <c r="G972" s="149"/>
      <c r="H972" s="149"/>
      <c r="I972" s="149"/>
      <c r="J972" s="149"/>
      <c r="K972" s="149"/>
      <c r="L972" s="149"/>
      <c r="M972" s="149"/>
      <c r="N972" s="149"/>
      <c r="O972" s="149"/>
      <c r="P972" s="149"/>
      <c r="Q972" s="149"/>
      <c r="R972" s="149"/>
      <c r="S972" s="149"/>
      <c r="T972" s="149"/>
      <c r="U972" s="149"/>
      <c r="V972" s="149"/>
      <c r="W972" s="149"/>
      <c r="X972" s="149"/>
      <c r="Y972" s="149"/>
      <c r="Z972" s="149"/>
      <c r="AA972" s="149"/>
      <c r="AB972" s="149"/>
      <c r="AC972" s="149"/>
      <c r="AD972" s="148"/>
      <c r="AE972" s="148"/>
      <c r="AF972" s="148"/>
      <c r="DB972" s="149"/>
    </row>
    <row r="973" spans="2:106">
      <c r="B973" s="149"/>
      <c r="C973" s="149"/>
      <c r="D973" s="149"/>
      <c r="E973" s="149"/>
      <c r="F973" s="149"/>
      <c r="G973" s="149"/>
      <c r="H973" s="149"/>
      <c r="I973" s="149"/>
      <c r="J973" s="149"/>
      <c r="K973" s="149"/>
      <c r="L973" s="149"/>
      <c r="M973" s="149"/>
      <c r="N973" s="149"/>
      <c r="O973" s="149"/>
      <c r="P973" s="149"/>
      <c r="Q973" s="149"/>
      <c r="R973" s="149"/>
      <c r="S973" s="149"/>
      <c r="T973" s="149"/>
      <c r="U973" s="149"/>
      <c r="V973" s="149"/>
      <c r="W973" s="149"/>
      <c r="X973" s="149"/>
      <c r="Y973" s="149"/>
      <c r="Z973" s="149"/>
      <c r="AA973" s="149"/>
      <c r="AB973" s="149"/>
      <c r="AC973" s="149"/>
      <c r="AD973" s="148"/>
      <c r="AE973" s="148"/>
      <c r="AF973" s="148"/>
      <c r="DB973" s="149"/>
    </row>
    <row r="974" spans="2:106">
      <c r="B974" s="149"/>
      <c r="C974" s="149"/>
      <c r="D974" s="149"/>
      <c r="E974" s="149"/>
      <c r="F974" s="149"/>
      <c r="G974" s="149"/>
      <c r="H974" s="149"/>
      <c r="I974" s="149"/>
      <c r="J974" s="149"/>
      <c r="K974" s="149"/>
      <c r="L974" s="149"/>
      <c r="M974" s="149"/>
      <c r="N974" s="149"/>
      <c r="O974" s="149"/>
      <c r="P974" s="149"/>
      <c r="Q974" s="149"/>
      <c r="R974" s="149"/>
      <c r="S974" s="149"/>
      <c r="T974" s="149"/>
      <c r="U974" s="149"/>
      <c r="V974" s="149"/>
      <c r="W974" s="149"/>
      <c r="X974" s="149"/>
      <c r="Y974" s="149"/>
      <c r="Z974" s="149"/>
      <c r="AA974" s="149"/>
      <c r="AB974" s="149"/>
      <c r="AC974" s="149"/>
      <c r="AD974" s="148"/>
      <c r="AE974" s="148"/>
      <c r="AF974" s="148"/>
      <c r="DB974" s="149"/>
    </row>
    <row r="975" spans="2:106">
      <c r="B975" s="149"/>
      <c r="C975" s="149"/>
      <c r="D975" s="149"/>
      <c r="E975" s="149"/>
      <c r="F975" s="149"/>
      <c r="G975" s="149"/>
      <c r="H975" s="149"/>
      <c r="I975" s="149"/>
      <c r="J975" s="149"/>
      <c r="K975" s="149"/>
      <c r="L975" s="149"/>
      <c r="M975" s="149"/>
      <c r="N975" s="149"/>
      <c r="O975" s="149"/>
      <c r="P975" s="149"/>
      <c r="Q975" s="149"/>
      <c r="R975" s="149"/>
      <c r="S975" s="149"/>
      <c r="T975" s="149"/>
      <c r="U975" s="149"/>
      <c r="V975" s="149"/>
      <c r="W975" s="149"/>
      <c r="X975" s="149"/>
      <c r="Y975" s="149"/>
      <c r="Z975" s="149"/>
      <c r="AA975" s="149"/>
      <c r="AB975" s="149"/>
      <c r="AC975" s="149"/>
      <c r="AD975" s="148"/>
      <c r="AE975" s="148"/>
      <c r="AF975" s="148"/>
      <c r="DB975" s="149"/>
    </row>
    <row r="976" spans="2:106">
      <c r="B976" s="149"/>
      <c r="C976" s="149"/>
      <c r="D976" s="149"/>
      <c r="E976" s="149"/>
      <c r="F976" s="149"/>
      <c r="G976" s="149"/>
      <c r="H976" s="149"/>
      <c r="I976" s="149"/>
      <c r="J976" s="149"/>
      <c r="K976" s="149"/>
      <c r="L976" s="149"/>
      <c r="M976" s="149"/>
      <c r="N976" s="149"/>
      <c r="O976" s="149"/>
      <c r="P976" s="149"/>
      <c r="Q976" s="149"/>
      <c r="R976" s="149"/>
      <c r="S976" s="149"/>
      <c r="T976" s="149"/>
      <c r="U976" s="149"/>
      <c r="V976" s="149"/>
      <c r="W976" s="149"/>
      <c r="X976" s="149"/>
      <c r="Y976" s="149"/>
      <c r="Z976" s="149"/>
      <c r="AA976" s="149"/>
      <c r="AB976" s="149"/>
      <c r="AC976" s="149"/>
      <c r="AD976" s="148"/>
      <c r="AE976" s="148"/>
      <c r="AF976" s="148"/>
      <c r="DB976" s="149"/>
    </row>
    <row r="977" spans="2:106">
      <c r="B977" s="149"/>
      <c r="C977" s="149"/>
      <c r="D977" s="149"/>
      <c r="E977" s="149"/>
      <c r="F977" s="149"/>
      <c r="G977" s="149"/>
      <c r="H977" s="149"/>
      <c r="I977" s="149"/>
      <c r="J977" s="149"/>
      <c r="K977" s="149"/>
      <c r="L977" s="149"/>
      <c r="M977" s="149"/>
      <c r="N977" s="149"/>
      <c r="O977" s="149"/>
      <c r="P977" s="149"/>
      <c r="Q977" s="149"/>
      <c r="R977" s="149"/>
      <c r="S977" s="149"/>
      <c r="T977" s="149"/>
      <c r="U977" s="149"/>
      <c r="V977" s="149"/>
      <c r="W977" s="149"/>
      <c r="X977" s="149"/>
      <c r="Y977" s="149"/>
      <c r="Z977" s="149"/>
      <c r="AA977" s="149"/>
      <c r="AB977" s="149"/>
      <c r="AC977" s="149"/>
      <c r="AD977" s="148"/>
      <c r="AE977" s="148"/>
      <c r="AF977" s="148"/>
      <c r="DB977" s="149"/>
    </row>
    <row r="978" spans="2:106">
      <c r="B978" s="149"/>
      <c r="C978" s="149"/>
      <c r="D978" s="149"/>
      <c r="E978" s="149"/>
      <c r="F978" s="149"/>
      <c r="G978" s="149"/>
      <c r="H978" s="149"/>
      <c r="I978" s="149"/>
      <c r="J978" s="149"/>
      <c r="K978" s="149"/>
      <c r="L978" s="149"/>
      <c r="M978" s="149"/>
      <c r="N978" s="149"/>
      <c r="O978" s="149"/>
      <c r="P978" s="149"/>
      <c r="Q978" s="149"/>
      <c r="R978" s="149"/>
      <c r="S978" s="149"/>
      <c r="T978" s="149"/>
      <c r="U978" s="149"/>
      <c r="V978" s="149"/>
      <c r="W978" s="149"/>
      <c r="X978" s="149"/>
      <c r="Y978" s="149"/>
      <c r="Z978" s="149"/>
      <c r="AA978" s="149"/>
      <c r="AB978" s="149"/>
      <c r="AC978" s="149"/>
      <c r="AD978" s="148"/>
      <c r="AE978" s="148"/>
      <c r="AF978" s="148"/>
      <c r="DB978" s="149"/>
    </row>
    <row r="979" spans="2:106">
      <c r="B979" s="149"/>
      <c r="C979" s="149"/>
      <c r="D979" s="149"/>
      <c r="E979" s="149"/>
      <c r="F979" s="149"/>
      <c r="G979" s="149"/>
      <c r="H979" s="149"/>
      <c r="I979" s="149"/>
      <c r="J979" s="149"/>
      <c r="K979" s="149"/>
      <c r="L979" s="149"/>
      <c r="M979" s="149"/>
      <c r="N979" s="149"/>
      <c r="O979" s="149"/>
      <c r="P979" s="149"/>
      <c r="Q979" s="149"/>
      <c r="R979" s="149"/>
      <c r="S979" s="149"/>
      <c r="T979" s="149"/>
      <c r="U979" s="149"/>
      <c r="V979" s="149"/>
      <c r="W979" s="149"/>
      <c r="X979" s="149"/>
      <c r="Y979" s="149"/>
      <c r="Z979" s="149"/>
      <c r="AA979" s="149"/>
      <c r="AB979" s="149"/>
      <c r="AC979" s="149"/>
      <c r="AD979" s="148"/>
      <c r="AE979" s="148"/>
      <c r="AF979" s="148"/>
      <c r="DB979" s="149"/>
    </row>
    <row r="980" spans="2:106">
      <c r="B980" s="149"/>
      <c r="C980" s="149"/>
      <c r="D980" s="149"/>
      <c r="E980" s="149"/>
      <c r="F980" s="149"/>
      <c r="G980" s="149"/>
      <c r="H980" s="149"/>
      <c r="I980" s="149"/>
      <c r="J980" s="149"/>
      <c r="K980" s="149"/>
      <c r="L980" s="149"/>
      <c r="M980" s="149"/>
      <c r="N980" s="149"/>
      <c r="O980" s="149"/>
      <c r="P980" s="149"/>
      <c r="Q980" s="149"/>
      <c r="R980" s="149"/>
      <c r="S980" s="149"/>
      <c r="T980" s="149"/>
      <c r="U980" s="149"/>
      <c r="V980" s="149"/>
      <c r="W980" s="149"/>
      <c r="X980" s="149"/>
      <c r="Y980" s="149"/>
      <c r="Z980" s="149"/>
      <c r="AA980" s="149"/>
      <c r="AB980" s="149"/>
      <c r="AC980" s="149"/>
      <c r="AD980" s="148"/>
      <c r="AE980" s="148"/>
      <c r="AF980" s="148"/>
      <c r="DB980" s="149"/>
    </row>
    <row r="981" spans="2:106">
      <c r="B981" s="149"/>
      <c r="C981" s="149"/>
      <c r="D981" s="149"/>
      <c r="E981" s="149"/>
      <c r="F981" s="149"/>
      <c r="G981" s="149"/>
      <c r="H981" s="149"/>
      <c r="I981" s="149"/>
      <c r="J981" s="149"/>
      <c r="K981" s="149"/>
      <c r="L981" s="149"/>
      <c r="M981" s="149"/>
      <c r="N981" s="149"/>
      <c r="O981" s="149"/>
      <c r="P981" s="149"/>
      <c r="Q981" s="149"/>
      <c r="R981" s="149"/>
      <c r="S981" s="149"/>
      <c r="T981" s="149"/>
      <c r="U981" s="149"/>
      <c r="V981" s="149"/>
      <c r="W981" s="149"/>
      <c r="X981" s="149"/>
      <c r="Y981" s="149"/>
      <c r="Z981" s="149"/>
      <c r="AA981" s="149"/>
      <c r="AB981" s="149"/>
      <c r="AC981" s="149"/>
      <c r="AD981" s="148"/>
      <c r="AE981" s="148"/>
      <c r="AF981" s="148"/>
      <c r="DB981" s="149"/>
    </row>
    <row r="982" spans="2:106">
      <c r="B982" s="149"/>
      <c r="C982" s="149"/>
      <c r="D982" s="149"/>
      <c r="E982" s="149"/>
      <c r="F982" s="149"/>
      <c r="G982" s="149"/>
      <c r="H982" s="149"/>
      <c r="I982" s="149"/>
      <c r="J982" s="149"/>
      <c r="K982" s="149"/>
      <c r="L982" s="149"/>
      <c r="M982" s="149"/>
      <c r="N982" s="149"/>
      <c r="O982" s="149"/>
      <c r="P982" s="149"/>
      <c r="Q982" s="149"/>
      <c r="R982" s="149"/>
      <c r="S982" s="149"/>
      <c r="T982" s="149"/>
      <c r="U982" s="149"/>
      <c r="V982" s="149"/>
      <c r="W982" s="149"/>
      <c r="X982" s="149"/>
      <c r="Y982" s="149"/>
      <c r="Z982" s="149"/>
      <c r="AA982" s="149"/>
      <c r="AB982" s="149"/>
      <c r="AC982" s="149"/>
      <c r="AD982" s="148"/>
      <c r="AE982" s="148"/>
      <c r="AF982" s="148"/>
      <c r="DB982" s="149"/>
    </row>
    <row r="983" spans="2:106">
      <c r="B983" s="149"/>
      <c r="C983" s="149"/>
      <c r="D983" s="149"/>
      <c r="E983" s="149"/>
      <c r="F983" s="149"/>
      <c r="G983" s="149"/>
      <c r="H983" s="149"/>
      <c r="I983" s="149"/>
      <c r="J983" s="149"/>
      <c r="K983" s="149"/>
      <c r="L983" s="149"/>
      <c r="M983" s="149"/>
      <c r="N983" s="149"/>
      <c r="O983" s="149"/>
      <c r="P983" s="149"/>
      <c r="Q983" s="149"/>
      <c r="R983" s="149"/>
      <c r="S983" s="149"/>
      <c r="T983" s="149"/>
      <c r="U983" s="149"/>
      <c r="V983" s="149"/>
      <c r="W983" s="149"/>
      <c r="X983" s="149"/>
      <c r="Y983" s="149"/>
      <c r="Z983" s="149"/>
      <c r="AA983" s="149"/>
      <c r="AB983" s="149"/>
      <c r="AC983" s="149"/>
      <c r="AD983" s="148"/>
      <c r="AE983" s="148"/>
      <c r="AF983" s="148"/>
      <c r="DB983" s="149"/>
    </row>
    <row r="984" spans="2:106">
      <c r="B984" s="149"/>
      <c r="C984" s="149"/>
      <c r="D984" s="149"/>
      <c r="E984" s="149"/>
      <c r="F984" s="149"/>
      <c r="G984" s="149"/>
      <c r="H984" s="149"/>
      <c r="I984" s="149"/>
      <c r="J984" s="149"/>
      <c r="K984" s="149"/>
      <c r="L984" s="149"/>
      <c r="M984" s="149"/>
      <c r="N984" s="149"/>
      <c r="O984" s="149"/>
      <c r="P984" s="149"/>
      <c r="Q984" s="149"/>
      <c r="R984" s="149"/>
      <c r="S984" s="149"/>
      <c r="T984" s="149"/>
      <c r="U984" s="149"/>
      <c r="V984" s="149"/>
      <c r="W984" s="149"/>
      <c r="X984" s="149"/>
      <c r="Y984" s="149"/>
      <c r="Z984" s="149"/>
      <c r="AA984" s="149"/>
      <c r="AB984" s="149"/>
      <c r="AC984" s="149"/>
      <c r="AD984" s="148"/>
      <c r="AE984" s="148"/>
      <c r="AF984" s="148"/>
      <c r="DB984" s="149"/>
    </row>
    <row r="985" spans="2:106">
      <c r="B985" s="149"/>
      <c r="C985" s="149"/>
      <c r="D985" s="149"/>
      <c r="E985" s="149"/>
      <c r="F985" s="149"/>
      <c r="G985" s="149"/>
      <c r="H985" s="149"/>
      <c r="I985" s="149"/>
      <c r="J985" s="149"/>
      <c r="K985" s="149"/>
      <c r="L985" s="149"/>
      <c r="M985" s="149"/>
      <c r="N985" s="149"/>
      <c r="O985" s="149"/>
      <c r="P985" s="149"/>
      <c r="Q985" s="149"/>
      <c r="R985" s="149"/>
      <c r="S985" s="149"/>
      <c r="T985" s="149"/>
      <c r="U985" s="149"/>
      <c r="V985" s="149"/>
      <c r="W985" s="149"/>
      <c r="X985" s="149"/>
      <c r="Y985" s="149"/>
      <c r="Z985" s="149"/>
      <c r="AA985" s="149"/>
      <c r="AB985" s="149"/>
      <c r="AC985" s="149"/>
      <c r="AD985" s="148"/>
      <c r="AE985" s="148"/>
      <c r="AF985" s="148"/>
      <c r="DB985" s="149"/>
    </row>
    <row r="986" spans="2:106">
      <c r="B986" s="149"/>
      <c r="C986" s="149"/>
      <c r="D986" s="149"/>
      <c r="E986" s="149"/>
      <c r="F986" s="149"/>
      <c r="G986" s="149"/>
      <c r="H986" s="149"/>
      <c r="I986" s="149"/>
      <c r="J986" s="149"/>
      <c r="K986" s="149"/>
      <c r="L986" s="149"/>
      <c r="M986" s="149"/>
      <c r="N986" s="149"/>
      <c r="O986" s="149"/>
      <c r="P986" s="149"/>
      <c r="Q986" s="149"/>
      <c r="R986" s="149"/>
      <c r="S986" s="149"/>
      <c r="T986" s="149"/>
      <c r="U986" s="149"/>
      <c r="V986" s="149"/>
      <c r="W986" s="149"/>
      <c r="X986" s="149"/>
      <c r="Y986" s="149"/>
      <c r="Z986" s="149"/>
      <c r="AA986" s="149"/>
      <c r="AB986" s="149"/>
      <c r="AC986" s="149"/>
      <c r="AD986" s="148"/>
      <c r="AE986" s="148"/>
      <c r="AF986" s="148"/>
      <c r="DB986" s="149"/>
    </row>
    <row r="987" spans="2:106">
      <c r="B987" s="149"/>
      <c r="C987" s="149"/>
      <c r="D987" s="149"/>
      <c r="E987" s="149"/>
      <c r="F987" s="149"/>
      <c r="G987" s="149"/>
      <c r="H987" s="149"/>
      <c r="I987" s="149"/>
      <c r="J987" s="149"/>
      <c r="K987" s="149"/>
      <c r="L987" s="149"/>
      <c r="M987" s="149"/>
      <c r="N987" s="149"/>
      <c r="O987" s="149"/>
      <c r="P987" s="149"/>
      <c r="Q987" s="149"/>
      <c r="R987" s="149"/>
      <c r="S987" s="149"/>
      <c r="T987" s="149"/>
      <c r="U987" s="149"/>
      <c r="V987" s="149"/>
      <c r="W987" s="149"/>
      <c r="X987" s="149"/>
      <c r="Y987" s="149"/>
      <c r="Z987" s="149"/>
      <c r="AA987" s="149"/>
      <c r="AB987" s="149"/>
      <c r="AC987" s="149"/>
      <c r="AD987" s="148"/>
      <c r="AE987" s="148"/>
      <c r="AF987" s="148"/>
      <c r="DB987" s="149"/>
    </row>
    <row r="988" spans="2:106">
      <c r="B988" s="149"/>
      <c r="C988" s="149"/>
      <c r="D988" s="149"/>
      <c r="E988" s="149"/>
      <c r="F988" s="149"/>
      <c r="G988" s="149"/>
      <c r="H988" s="149"/>
      <c r="I988" s="149"/>
      <c r="J988" s="149"/>
      <c r="K988" s="149"/>
      <c r="L988" s="149"/>
      <c r="M988" s="149"/>
      <c r="N988" s="149"/>
      <c r="O988" s="149"/>
      <c r="P988" s="149"/>
      <c r="Q988" s="149"/>
      <c r="R988" s="149"/>
      <c r="S988" s="149"/>
      <c r="T988" s="149"/>
      <c r="U988" s="149"/>
      <c r="V988" s="149"/>
      <c r="W988" s="149"/>
      <c r="X988" s="149"/>
      <c r="Y988" s="149"/>
      <c r="Z988" s="149"/>
      <c r="AA988" s="149"/>
      <c r="AB988" s="149"/>
      <c r="AC988" s="149"/>
      <c r="AD988" s="148"/>
      <c r="AE988" s="148"/>
      <c r="AF988" s="148"/>
      <c r="DB988" s="149"/>
    </row>
    <row r="989" spans="2:106">
      <c r="B989" s="149"/>
      <c r="C989" s="149"/>
      <c r="D989" s="149"/>
      <c r="E989" s="149"/>
      <c r="F989" s="149"/>
      <c r="G989" s="149"/>
      <c r="H989" s="149"/>
      <c r="I989" s="149"/>
      <c r="J989" s="149"/>
      <c r="K989" s="149"/>
      <c r="L989" s="149"/>
      <c r="M989" s="149"/>
      <c r="N989" s="149"/>
      <c r="O989" s="149"/>
      <c r="P989" s="149"/>
      <c r="Q989" s="149"/>
      <c r="R989" s="149"/>
      <c r="S989" s="149"/>
      <c r="T989" s="149"/>
      <c r="U989" s="149"/>
      <c r="V989" s="149"/>
      <c r="W989" s="149"/>
      <c r="X989" s="149"/>
      <c r="Y989" s="149"/>
      <c r="Z989" s="149"/>
      <c r="AA989" s="149"/>
      <c r="AB989" s="149"/>
      <c r="AC989" s="149"/>
      <c r="AD989" s="148"/>
      <c r="AE989" s="148"/>
      <c r="AF989" s="148"/>
      <c r="DB989" s="149"/>
    </row>
    <row r="990" spans="2:106">
      <c r="B990" s="149"/>
      <c r="C990" s="149"/>
      <c r="D990" s="149"/>
      <c r="E990" s="149"/>
      <c r="F990" s="149"/>
      <c r="G990" s="149"/>
      <c r="H990" s="149"/>
      <c r="I990" s="149"/>
      <c r="J990" s="149"/>
      <c r="K990" s="149"/>
      <c r="L990" s="149"/>
      <c r="M990" s="149"/>
      <c r="N990" s="149"/>
      <c r="O990" s="149"/>
      <c r="P990" s="149"/>
      <c r="Q990" s="149"/>
      <c r="R990" s="149"/>
      <c r="S990" s="149"/>
      <c r="T990" s="149"/>
      <c r="U990" s="149"/>
      <c r="V990" s="149"/>
      <c r="W990" s="149"/>
      <c r="X990" s="149"/>
      <c r="Y990" s="149"/>
      <c r="Z990" s="149"/>
      <c r="AA990" s="149"/>
      <c r="AB990" s="149"/>
      <c r="AC990" s="149"/>
      <c r="AD990" s="148"/>
      <c r="AE990" s="148"/>
      <c r="AF990" s="148"/>
      <c r="DB990" s="149"/>
    </row>
    <row r="991" spans="2:106">
      <c r="B991" s="149"/>
      <c r="C991" s="149"/>
      <c r="D991" s="149"/>
      <c r="E991" s="149"/>
      <c r="F991" s="149"/>
      <c r="G991" s="149"/>
      <c r="H991" s="149"/>
      <c r="I991" s="149"/>
      <c r="J991" s="149"/>
      <c r="K991" s="149"/>
      <c r="L991" s="149"/>
      <c r="M991" s="149"/>
      <c r="N991" s="149"/>
      <c r="O991" s="149"/>
      <c r="P991" s="149"/>
      <c r="Q991" s="149"/>
      <c r="R991" s="149"/>
      <c r="S991" s="149"/>
      <c r="T991" s="149"/>
      <c r="U991" s="149"/>
      <c r="V991" s="149"/>
      <c r="W991" s="149"/>
      <c r="X991" s="149"/>
      <c r="Y991" s="149"/>
      <c r="Z991" s="149"/>
      <c r="AA991" s="149"/>
      <c r="AB991" s="149"/>
      <c r="AC991" s="149"/>
      <c r="AD991" s="148"/>
      <c r="AE991" s="148"/>
      <c r="AF991" s="148"/>
      <c r="DB991" s="149"/>
    </row>
    <row r="992" spans="2:106">
      <c r="B992" s="149"/>
      <c r="C992" s="149"/>
      <c r="D992" s="149"/>
      <c r="E992" s="149"/>
      <c r="F992" s="149"/>
      <c r="G992" s="149"/>
      <c r="H992" s="149"/>
      <c r="I992" s="149"/>
      <c r="J992" s="149"/>
      <c r="K992" s="149"/>
      <c r="L992" s="149"/>
      <c r="M992" s="149"/>
      <c r="N992" s="149"/>
      <c r="O992" s="149"/>
      <c r="P992" s="149"/>
      <c r="Q992" s="149"/>
      <c r="R992" s="149"/>
      <c r="S992" s="149"/>
      <c r="T992" s="149"/>
      <c r="U992" s="149"/>
      <c r="V992" s="149"/>
      <c r="W992" s="149"/>
      <c r="X992" s="149"/>
      <c r="Y992" s="149"/>
      <c r="Z992" s="149"/>
      <c r="AA992" s="149"/>
      <c r="AB992" s="149"/>
      <c r="AC992" s="149"/>
      <c r="AD992" s="148"/>
      <c r="AE992" s="148"/>
      <c r="AF992" s="148"/>
      <c r="DB992" s="149"/>
    </row>
    <row r="993" spans="2:106">
      <c r="B993" s="149"/>
      <c r="C993" s="149"/>
      <c r="D993" s="149"/>
      <c r="E993" s="149"/>
      <c r="F993" s="149"/>
      <c r="G993" s="149"/>
      <c r="H993" s="149"/>
      <c r="I993" s="149"/>
      <c r="J993" s="149"/>
      <c r="K993" s="149"/>
      <c r="L993" s="149"/>
      <c r="M993" s="149"/>
      <c r="N993" s="149"/>
      <c r="O993" s="149"/>
      <c r="P993" s="149"/>
      <c r="Q993" s="149"/>
      <c r="R993" s="149"/>
      <c r="S993" s="149"/>
      <c r="T993" s="149"/>
      <c r="U993" s="149"/>
      <c r="V993" s="149"/>
      <c r="W993" s="149"/>
      <c r="X993" s="149"/>
      <c r="Y993" s="149"/>
      <c r="Z993" s="149"/>
      <c r="AA993" s="149"/>
      <c r="AB993" s="149"/>
      <c r="AC993" s="149"/>
      <c r="AD993" s="148"/>
      <c r="AE993" s="148"/>
      <c r="AF993" s="148"/>
      <c r="DB993" s="149"/>
    </row>
    <row r="994" spans="2:106">
      <c r="B994" s="149"/>
      <c r="C994" s="149"/>
      <c r="D994" s="149"/>
      <c r="E994" s="149"/>
      <c r="F994" s="149"/>
      <c r="G994" s="149"/>
      <c r="H994" s="149"/>
      <c r="I994" s="149"/>
      <c r="J994" s="149"/>
      <c r="K994" s="149"/>
      <c r="L994" s="149"/>
      <c r="M994" s="149"/>
      <c r="N994" s="149"/>
      <c r="O994" s="149"/>
      <c r="P994" s="149"/>
      <c r="Q994" s="149"/>
      <c r="R994" s="149"/>
      <c r="S994" s="149"/>
      <c r="T994" s="149"/>
      <c r="U994" s="149"/>
      <c r="V994" s="149"/>
      <c r="W994" s="149"/>
      <c r="X994" s="149"/>
      <c r="Y994" s="149"/>
      <c r="Z994" s="149"/>
      <c r="AA994" s="149"/>
      <c r="AB994" s="149"/>
      <c r="AC994" s="149"/>
      <c r="AD994" s="148"/>
      <c r="AE994" s="148"/>
      <c r="AF994" s="148"/>
      <c r="DB994" s="149"/>
    </row>
    <row r="995" spans="2:106">
      <c r="B995" s="149"/>
      <c r="C995" s="149"/>
      <c r="D995" s="149"/>
      <c r="E995" s="149"/>
      <c r="F995" s="149"/>
      <c r="G995" s="149"/>
      <c r="H995" s="149"/>
      <c r="I995" s="149"/>
      <c r="J995" s="149"/>
      <c r="K995" s="149"/>
      <c r="L995" s="149"/>
      <c r="M995" s="149"/>
      <c r="N995" s="149"/>
      <c r="O995" s="149"/>
      <c r="P995" s="149"/>
      <c r="Q995" s="149"/>
      <c r="R995" s="149"/>
      <c r="S995" s="149"/>
      <c r="T995" s="149"/>
      <c r="U995" s="149"/>
      <c r="V995" s="149"/>
      <c r="W995" s="149"/>
      <c r="X995" s="149"/>
      <c r="Y995" s="149"/>
      <c r="Z995" s="149"/>
      <c r="AA995" s="149"/>
      <c r="AB995" s="149"/>
      <c r="AC995" s="149"/>
      <c r="AD995" s="148"/>
      <c r="AE995" s="148"/>
      <c r="AF995" s="148"/>
      <c r="DB995" s="149"/>
    </row>
    <row r="996" spans="2:106">
      <c r="B996" s="149"/>
      <c r="C996" s="149"/>
      <c r="D996" s="149"/>
      <c r="E996" s="149"/>
      <c r="F996" s="149"/>
      <c r="G996" s="149"/>
      <c r="H996" s="149"/>
      <c r="I996" s="149"/>
      <c r="J996" s="149"/>
      <c r="K996" s="149"/>
      <c r="L996" s="149"/>
      <c r="M996" s="149"/>
      <c r="N996" s="149"/>
      <c r="O996" s="149"/>
      <c r="P996" s="149"/>
      <c r="Q996" s="149"/>
      <c r="R996" s="149"/>
      <c r="S996" s="149"/>
      <c r="T996" s="149"/>
      <c r="U996" s="149"/>
      <c r="V996" s="149"/>
      <c r="W996" s="149"/>
      <c r="X996" s="149"/>
      <c r="Y996" s="149"/>
      <c r="Z996" s="149"/>
      <c r="AA996" s="149"/>
      <c r="AB996" s="149"/>
      <c r="AC996" s="149"/>
      <c r="AD996" s="148"/>
      <c r="AE996" s="148"/>
      <c r="AF996" s="148"/>
      <c r="DB996" s="149"/>
    </row>
    <row r="997" spans="2:106">
      <c r="B997" s="149"/>
      <c r="C997" s="149"/>
      <c r="D997" s="149"/>
      <c r="E997" s="149"/>
      <c r="F997" s="149"/>
      <c r="G997" s="149"/>
      <c r="H997" s="149"/>
      <c r="I997" s="149"/>
      <c r="J997" s="149"/>
      <c r="K997" s="149"/>
      <c r="L997" s="149"/>
      <c r="M997" s="149"/>
      <c r="N997" s="149"/>
      <c r="O997" s="149"/>
      <c r="P997" s="149"/>
      <c r="Q997" s="149"/>
      <c r="R997" s="149"/>
      <c r="S997" s="149"/>
      <c r="T997" s="149"/>
      <c r="U997" s="149"/>
      <c r="V997" s="149"/>
      <c r="W997" s="149"/>
      <c r="X997" s="149"/>
      <c r="Y997" s="149"/>
      <c r="Z997" s="149"/>
      <c r="AA997" s="149"/>
      <c r="AB997" s="149"/>
      <c r="AC997" s="149"/>
      <c r="AD997" s="148"/>
      <c r="AE997" s="148"/>
      <c r="AF997" s="148"/>
      <c r="DB997" s="149"/>
    </row>
    <row r="998" spans="2:106">
      <c r="B998" s="149"/>
      <c r="C998" s="149"/>
      <c r="D998" s="149"/>
      <c r="E998" s="149"/>
      <c r="F998" s="149"/>
      <c r="G998" s="149"/>
      <c r="H998" s="149"/>
      <c r="I998" s="149"/>
      <c r="J998" s="149"/>
      <c r="K998" s="149"/>
      <c r="L998" s="149"/>
      <c r="M998" s="149"/>
      <c r="N998" s="149"/>
      <c r="O998" s="149"/>
      <c r="P998" s="149"/>
      <c r="Q998" s="149"/>
      <c r="R998" s="149"/>
      <c r="S998" s="149"/>
      <c r="T998" s="149"/>
      <c r="U998" s="149"/>
      <c r="V998" s="149"/>
      <c r="W998" s="149"/>
      <c r="X998" s="149"/>
      <c r="Y998" s="149"/>
      <c r="Z998" s="149"/>
      <c r="AA998" s="149"/>
      <c r="AB998" s="149"/>
      <c r="AC998" s="149"/>
      <c r="AD998" s="148"/>
      <c r="AE998" s="148"/>
      <c r="AF998" s="148"/>
      <c r="DB998" s="149"/>
    </row>
    <row r="999" spans="2:106">
      <c r="B999" s="149"/>
      <c r="C999" s="149"/>
      <c r="D999" s="149"/>
      <c r="E999" s="149"/>
      <c r="F999" s="149"/>
      <c r="G999" s="149"/>
      <c r="H999" s="149"/>
      <c r="I999" s="149"/>
      <c r="J999" s="149"/>
      <c r="K999" s="149"/>
      <c r="L999" s="149"/>
      <c r="M999" s="149"/>
      <c r="N999" s="149"/>
      <c r="O999" s="149"/>
      <c r="P999" s="149"/>
      <c r="Q999" s="149"/>
      <c r="R999" s="149"/>
      <c r="S999" s="149"/>
      <c r="T999" s="149"/>
      <c r="U999" s="149"/>
      <c r="V999" s="149"/>
      <c r="W999" s="149"/>
      <c r="X999" s="149"/>
      <c r="Y999" s="149"/>
      <c r="Z999" s="149"/>
      <c r="AA999" s="149"/>
      <c r="AB999" s="149"/>
      <c r="AC999" s="149"/>
      <c r="AD999" s="148"/>
      <c r="AE999" s="148"/>
      <c r="AF999" s="148"/>
      <c r="DB999" s="149"/>
    </row>
    <row r="1000" spans="2:106">
      <c r="B1000" s="149"/>
      <c r="C1000" s="149"/>
      <c r="D1000" s="149"/>
      <c r="E1000" s="149"/>
      <c r="F1000" s="149"/>
      <c r="G1000" s="149"/>
      <c r="H1000" s="149"/>
      <c r="I1000" s="149"/>
      <c r="J1000" s="149"/>
      <c r="K1000" s="149"/>
      <c r="L1000" s="149"/>
      <c r="M1000" s="149"/>
      <c r="N1000" s="149"/>
      <c r="O1000" s="149"/>
      <c r="P1000" s="149"/>
      <c r="Q1000" s="149"/>
      <c r="R1000" s="149"/>
      <c r="S1000" s="149"/>
      <c r="T1000" s="149"/>
      <c r="U1000" s="149"/>
      <c r="V1000" s="149"/>
      <c r="W1000" s="149"/>
      <c r="X1000" s="149"/>
      <c r="Y1000" s="149"/>
      <c r="Z1000" s="149"/>
      <c r="AA1000" s="149"/>
      <c r="AB1000" s="149"/>
      <c r="AC1000" s="149"/>
      <c r="AD1000" s="148"/>
      <c r="AE1000" s="148"/>
      <c r="AF1000" s="148"/>
      <c r="DB1000" s="149"/>
    </row>
    <row r="1001" spans="2:106">
      <c r="B1001" s="149"/>
      <c r="C1001" s="149"/>
      <c r="D1001" s="149"/>
      <c r="E1001" s="149"/>
      <c r="F1001" s="149"/>
      <c r="G1001" s="149"/>
      <c r="H1001" s="149"/>
      <c r="I1001" s="149"/>
      <c r="J1001" s="149"/>
      <c r="K1001" s="149"/>
      <c r="L1001" s="149"/>
      <c r="M1001" s="149"/>
      <c r="N1001" s="149"/>
      <c r="O1001" s="149"/>
      <c r="P1001" s="149"/>
      <c r="Q1001" s="149"/>
      <c r="R1001" s="149"/>
      <c r="S1001" s="149"/>
      <c r="T1001" s="149"/>
      <c r="U1001" s="149"/>
      <c r="V1001" s="149"/>
      <c r="W1001" s="149"/>
      <c r="X1001" s="149"/>
      <c r="Y1001" s="149"/>
      <c r="Z1001" s="149"/>
      <c r="AA1001" s="149"/>
      <c r="AB1001" s="149"/>
      <c r="AC1001" s="149"/>
      <c r="AD1001" s="148"/>
      <c r="AE1001" s="148"/>
      <c r="AF1001" s="148"/>
      <c r="DB1001" s="149"/>
    </row>
    <row r="1002" spans="2:106">
      <c r="B1002" s="149"/>
      <c r="C1002" s="149"/>
      <c r="D1002" s="149"/>
      <c r="E1002" s="149"/>
      <c r="F1002" s="149"/>
      <c r="G1002" s="149"/>
      <c r="H1002" s="149"/>
      <c r="I1002" s="149"/>
      <c r="J1002" s="149"/>
      <c r="K1002" s="149"/>
      <c r="L1002" s="149"/>
      <c r="M1002" s="149"/>
      <c r="N1002" s="149"/>
      <c r="O1002" s="149"/>
      <c r="P1002" s="149"/>
      <c r="Q1002" s="149"/>
      <c r="R1002" s="149"/>
      <c r="S1002" s="149"/>
      <c r="T1002" s="149"/>
      <c r="U1002" s="149"/>
      <c r="V1002" s="149"/>
      <c r="W1002" s="149"/>
      <c r="X1002" s="149"/>
      <c r="Y1002" s="149"/>
      <c r="Z1002" s="149"/>
      <c r="AA1002" s="149"/>
      <c r="AB1002" s="149"/>
      <c r="AC1002" s="149"/>
      <c r="AD1002" s="148"/>
      <c r="AE1002" s="148"/>
      <c r="AF1002" s="148"/>
      <c r="DB1002" s="149"/>
    </row>
    <row r="1003" spans="2:106">
      <c r="B1003" s="149"/>
      <c r="C1003" s="149"/>
      <c r="D1003" s="149"/>
      <c r="E1003" s="149"/>
      <c r="F1003" s="149"/>
      <c r="G1003" s="149"/>
      <c r="H1003" s="149"/>
      <c r="I1003" s="149"/>
      <c r="J1003" s="149"/>
      <c r="K1003" s="149"/>
      <c r="L1003" s="149"/>
      <c r="M1003" s="149"/>
      <c r="N1003" s="149"/>
      <c r="O1003" s="149"/>
      <c r="P1003" s="149"/>
      <c r="Q1003" s="149"/>
      <c r="R1003" s="149"/>
      <c r="S1003" s="149"/>
      <c r="T1003" s="149"/>
      <c r="U1003" s="149"/>
      <c r="V1003" s="149"/>
      <c r="W1003" s="149"/>
      <c r="X1003" s="149"/>
      <c r="Y1003" s="149"/>
      <c r="Z1003" s="149"/>
      <c r="AA1003" s="149"/>
      <c r="AB1003" s="149"/>
      <c r="AC1003" s="149"/>
      <c r="AD1003" s="148"/>
      <c r="AE1003" s="148"/>
      <c r="AF1003" s="148"/>
      <c r="DB1003" s="149"/>
    </row>
    <row r="1004" spans="2:106">
      <c r="B1004" s="149"/>
      <c r="C1004" s="149"/>
      <c r="D1004" s="149"/>
      <c r="E1004" s="149"/>
      <c r="F1004" s="149"/>
      <c r="G1004" s="149"/>
      <c r="H1004" s="149"/>
      <c r="I1004" s="149"/>
      <c r="J1004" s="149"/>
      <c r="K1004" s="149"/>
      <c r="L1004" s="149"/>
      <c r="M1004" s="149"/>
      <c r="N1004" s="149"/>
      <c r="O1004" s="149"/>
      <c r="P1004" s="149"/>
      <c r="Q1004" s="149"/>
      <c r="R1004" s="149"/>
      <c r="S1004" s="149"/>
      <c r="T1004" s="149"/>
      <c r="U1004" s="149"/>
      <c r="V1004" s="149"/>
      <c r="W1004" s="149"/>
      <c r="X1004" s="149"/>
      <c r="Y1004" s="149"/>
      <c r="Z1004" s="149"/>
      <c r="AA1004" s="149"/>
      <c r="AB1004" s="149"/>
      <c r="AC1004" s="149"/>
      <c r="AD1004" s="148"/>
      <c r="AE1004" s="148"/>
      <c r="AF1004" s="148"/>
      <c r="DB1004" s="149"/>
    </row>
    <row r="1005" spans="2:106">
      <c r="B1005" s="149"/>
      <c r="C1005" s="149"/>
      <c r="D1005" s="149"/>
      <c r="E1005" s="149"/>
      <c r="F1005" s="149"/>
      <c r="G1005" s="149"/>
      <c r="H1005" s="149"/>
      <c r="I1005" s="149"/>
      <c r="J1005" s="149"/>
      <c r="K1005" s="149"/>
      <c r="L1005" s="149"/>
      <c r="M1005" s="149"/>
      <c r="N1005" s="149"/>
      <c r="O1005" s="149"/>
      <c r="P1005" s="149"/>
      <c r="Q1005" s="149"/>
      <c r="R1005" s="149"/>
      <c r="S1005" s="149"/>
      <c r="T1005" s="149"/>
      <c r="U1005" s="149"/>
      <c r="V1005" s="149"/>
      <c r="W1005" s="149"/>
      <c r="X1005" s="149"/>
      <c r="Y1005" s="149"/>
      <c r="Z1005" s="149"/>
      <c r="AA1005" s="149"/>
      <c r="AB1005" s="149"/>
      <c r="AC1005" s="149"/>
      <c r="AD1005" s="148"/>
      <c r="AE1005" s="148"/>
      <c r="AF1005" s="148"/>
      <c r="DB1005" s="149"/>
    </row>
    <row r="1006" spans="2:106">
      <c r="B1006" s="149"/>
      <c r="C1006" s="149"/>
      <c r="D1006" s="149"/>
      <c r="E1006" s="149"/>
      <c r="F1006" s="149"/>
      <c r="G1006" s="149"/>
      <c r="H1006" s="149"/>
      <c r="I1006" s="149"/>
      <c r="J1006" s="149"/>
      <c r="K1006" s="149"/>
      <c r="L1006" s="149"/>
      <c r="M1006" s="149"/>
      <c r="N1006" s="149"/>
      <c r="O1006" s="149"/>
      <c r="P1006" s="149"/>
      <c r="Q1006" s="149"/>
      <c r="R1006" s="149"/>
      <c r="S1006" s="149"/>
      <c r="T1006" s="149"/>
      <c r="U1006" s="149"/>
      <c r="V1006" s="149"/>
      <c r="W1006" s="149"/>
      <c r="X1006" s="149"/>
      <c r="Y1006" s="149"/>
      <c r="Z1006" s="149"/>
      <c r="AA1006" s="149"/>
      <c r="AB1006" s="149"/>
      <c r="AC1006" s="149"/>
      <c r="AD1006" s="148"/>
      <c r="AE1006" s="148"/>
      <c r="AF1006" s="148"/>
      <c r="DB1006" s="149"/>
    </row>
    <row r="1007" spans="2:106">
      <c r="B1007" s="149"/>
      <c r="C1007" s="149"/>
      <c r="D1007" s="149"/>
      <c r="E1007" s="149"/>
      <c r="F1007" s="149"/>
      <c r="G1007" s="149"/>
      <c r="H1007" s="149"/>
      <c r="I1007" s="149"/>
      <c r="J1007" s="149"/>
      <c r="K1007" s="149"/>
      <c r="L1007" s="149"/>
      <c r="M1007" s="149"/>
      <c r="N1007" s="149"/>
      <c r="O1007" s="149"/>
      <c r="P1007" s="149"/>
      <c r="Q1007" s="149"/>
      <c r="R1007" s="149"/>
      <c r="S1007" s="149"/>
      <c r="T1007" s="149"/>
      <c r="U1007" s="149"/>
      <c r="V1007" s="149"/>
      <c r="W1007" s="149"/>
      <c r="X1007" s="149"/>
      <c r="Y1007" s="149"/>
      <c r="Z1007" s="149"/>
      <c r="AA1007" s="149"/>
      <c r="AB1007" s="149"/>
      <c r="AC1007" s="149"/>
      <c r="AD1007" s="148"/>
      <c r="AE1007" s="148"/>
      <c r="AF1007" s="148"/>
      <c r="DB1007" s="149"/>
    </row>
    <row r="1008" spans="2:106">
      <c r="B1008" s="149"/>
      <c r="C1008" s="149"/>
      <c r="D1008" s="149"/>
      <c r="E1008" s="149"/>
      <c r="F1008" s="149"/>
      <c r="G1008" s="149"/>
      <c r="H1008" s="149"/>
      <c r="I1008" s="149"/>
      <c r="J1008" s="149"/>
      <c r="K1008" s="149"/>
      <c r="L1008" s="149"/>
      <c r="M1008" s="149"/>
      <c r="N1008" s="149"/>
      <c r="O1008" s="149"/>
      <c r="P1008" s="149"/>
      <c r="Q1008" s="149"/>
      <c r="R1008" s="149"/>
      <c r="S1008" s="149"/>
      <c r="T1008" s="149"/>
      <c r="U1008" s="149"/>
      <c r="V1008" s="149"/>
      <c r="W1008" s="149"/>
      <c r="X1008" s="149"/>
      <c r="Y1008" s="149"/>
      <c r="Z1008" s="149"/>
      <c r="AA1008" s="149"/>
      <c r="AB1008" s="149"/>
      <c r="AC1008" s="149"/>
      <c r="AD1008" s="148"/>
      <c r="AE1008" s="148"/>
      <c r="AF1008" s="148"/>
      <c r="DB1008" s="149"/>
    </row>
    <row r="1009" spans="2:106">
      <c r="B1009" s="149"/>
      <c r="C1009" s="149"/>
      <c r="D1009" s="149"/>
      <c r="E1009" s="149"/>
      <c r="F1009" s="149"/>
      <c r="G1009" s="149"/>
      <c r="H1009" s="149"/>
      <c r="I1009" s="149"/>
      <c r="J1009" s="149"/>
      <c r="K1009" s="149"/>
      <c r="L1009" s="149"/>
      <c r="M1009" s="149"/>
      <c r="N1009" s="149"/>
      <c r="O1009" s="149"/>
      <c r="P1009" s="149"/>
      <c r="Q1009" s="149"/>
      <c r="R1009" s="149"/>
      <c r="S1009" s="149"/>
      <c r="T1009" s="149"/>
      <c r="U1009" s="149"/>
      <c r="V1009" s="149"/>
      <c r="W1009" s="149"/>
      <c r="X1009" s="149"/>
      <c r="Y1009" s="149"/>
      <c r="Z1009" s="149"/>
      <c r="AA1009" s="149"/>
      <c r="AB1009" s="149"/>
      <c r="AC1009" s="149"/>
      <c r="AD1009" s="148"/>
      <c r="AE1009" s="148"/>
      <c r="AF1009" s="148"/>
      <c r="DB1009" s="149"/>
    </row>
    <row r="1010" spans="2:106">
      <c r="B1010" s="149"/>
      <c r="C1010" s="149"/>
      <c r="D1010" s="149"/>
      <c r="E1010" s="149"/>
      <c r="F1010" s="149"/>
      <c r="G1010" s="149"/>
      <c r="H1010" s="149"/>
      <c r="I1010" s="149"/>
      <c r="J1010" s="149"/>
      <c r="K1010" s="149"/>
      <c r="L1010" s="149"/>
      <c r="M1010" s="149"/>
      <c r="N1010" s="149"/>
      <c r="O1010" s="149"/>
      <c r="P1010" s="149"/>
      <c r="Q1010" s="149"/>
      <c r="R1010" s="149"/>
      <c r="S1010" s="149"/>
      <c r="T1010" s="149"/>
      <c r="U1010" s="149"/>
      <c r="V1010" s="149"/>
      <c r="W1010" s="149"/>
      <c r="X1010" s="149"/>
      <c r="Y1010" s="149"/>
      <c r="Z1010" s="149"/>
      <c r="AA1010" s="149"/>
      <c r="AB1010" s="149"/>
      <c r="AC1010" s="149"/>
      <c r="AD1010" s="148"/>
      <c r="AE1010" s="148"/>
      <c r="AF1010" s="148"/>
      <c r="DB1010" s="149"/>
    </row>
    <row r="1011" spans="2:106">
      <c r="B1011" s="149"/>
      <c r="C1011" s="149"/>
      <c r="D1011" s="149"/>
      <c r="E1011" s="149"/>
      <c r="F1011" s="149"/>
      <c r="G1011" s="149"/>
      <c r="H1011" s="149"/>
      <c r="I1011" s="149"/>
      <c r="J1011" s="149"/>
      <c r="K1011" s="149"/>
      <c r="L1011" s="149"/>
      <c r="M1011" s="149"/>
      <c r="N1011" s="149"/>
      <c r="O1011" s="149"/>
      <c r="P1011" s="149"/>
      <c r="Q1011" s="149"/>
      <c r="R1011" s="149"/>
      <c r="S1011" s="149"/>
      <c r="T1011" s="149"/>
      <c r="U1011" s="149"/>
      <c r="V1011" s="149"/>
      <c r="W1011" s="149"/>
      <c r="X1011" s="149"/>
      <c r="Y1011" s="149"/>
      <c r="Z1011" s="149"/>
      <c r="AA1011" s="149"/>
      <c r="AB1011" s="149"/>
      <c r="AC1011" s="149"/>
      <c r="AD1011" s="148"/>
      <c r="AE1011" s="148"/>
      <c r="AF1011" s="148"/>
      <c r="DB1011" s="149"/>
    </row>
    <row r="1012" spans="2:106">
      <c r="B1012" s="149"/>
      <c r="C1012" s="149"/>
      <c r="D1012" s="149"/>
      <c r="E1012" s="149"/>
      <c r="F1012" s="149"/>
      <c r="G1012" s="149"/>
      <c r="H1012" s="149"/>
      <c r="I1012" s="149"/>
      <c r="J1012" s="149"/>
      <c r="K1012" s="149"/>
      <c r="L1012" s="149"/>
      <c r="M1012" s="149"/>
      <c r="N1012" s="149"/>
      <c r="O1012" s="149"/>
      <c r="P1012" s="149"/>
      <c r="Q1012" s="149"/>
      <c r="R1012" s="149"/>
      <c r="S1012" s="149"/>
      <c r="T1012" s="149"/>
      <c r="U1012" s="149"/>
      <c r="V1012" s="149"/>
      <c r="W1012" s="149"/>
      <c r="X1012" s="149"/>
      <c r="Y1012" s="149"/>
      <c r="Z1012" s="149"/>
      <c r="AA1012" s="149"/>
      <c r="AB1012" s="149"/>
      <c r="AC1012" s="149"/>
      <c r="AD1012" s="148"/>
      <c r="AE1012" s="148"/>
      <c r="AF1012" s="148"/>
      <c r="DB1012" s="149"/>
    </row>
    <row r="1013" spans="2:106">
      <c r="B1013" s="149"/>
      <c r="C1013" s="149"/>
      <c r="D1013" s="149"/>
      <c r="E1013" s="149"/>
      <c r="F1013" s="149"/>
      <c r="G1013" s="149"/>
      <c r="H1013" s="149"/>
      <c r="I1013" s="149"/>
      <c r="J1013" s="149"/>
      <c r="K1013" s="149"/>
      <c r="L1013" s="149"/>
      <c r="M1013" s="149"/>
      <c r="N1013" s="149"/>
      <c r="O1013" s="149"/>
      <c r="P1013" s="149"/>
      <c r="Q1013" s="149"/>
      <c r="R1013" s="149"/>
      <c r="S1013" s="149"/>
      <c r="T1013" s="149"/>
      <c r="U1013" s="149"/>
      <c r="V1013" s="149"/>
      <c r="W1013" s="149"/>
      <c r="X1013" s="149"/>
      <c r="Y1013" s="149"/>
      <c r="Z1013" s="149"/>
      <c r="AA1013" s="149"/>
      <c r="AB1013" s="149"/>
      <c r="AC1013" s="149"/>
      <c r="AD1013" s="148"/>
      <c r="AE1013" s="148"/>
      <c r="AF1013" s="148"/>
      <c r="DB1013" s="149"/>
    </row>
    <row r="1014" spans="2:106">
      <c r="B1014" s="149"/>
      <c r="C1014" s="149"/>
      <c r="D1014" s="149"/>
      <c r="E1014" s="149"/>
      <c r="F1014" s="149"/>
      <c r="G1014" s="149"/>
      <c r="H1014" s="149"/>
      <c r="I1014" s="149"/>
      <c r="J1014" s="149"/>
      <c r="K1014" s="149"/>
      <c r="L1014" s="149"/>
      <c r="M1014" s="149"/>
      <c r="N1014" s="149"/>
      <c r="O1014" s="149"/>
      <c r="P1014" s="149"/>
      <c r="Q1014" s="149"/>
      <c r="R1014" s="149"/>
      <c r="S1014" s="149"/>
      <c r="T1014" s="149"/>
      <c r="U1014" s="149"/>
      <c r="V1014" s="149"/>
      <c r="W1014" s="149"/>
      <c r="X1014" s="149"/>
      <c r="Y1014" s="149"/>
      <c r="Z1014" s="149"/>
      <c r="AA1014" s="149"/>
      <c r="AB1014" s="149"/>
      <c r="AC1014" s="149"/>
      <c r="AD1014" s="148"/>
      <c r="AE1014" s="148"/>
      <c r="AF1014" s="148"/>
      <c r="DB1014" s="149"/>
    </row>
    <row r="1015" spans="2:106">
      <c r="B1015" s="149"/>
      <c r="C1015" s="149"/>
      <c r="D1015" s="149"/>
      <c r="E1015" s="149"/>
      <c r="F1015" s="149"/>
      <c r="G1015" s="149"/>
      <c r="H1015" s="149"/>
      <c r="I1015" s="149"/>
      <c r="J1015" s="149"/>
      <c r="K1015" s="149"/>
      <c r="L1015" s="149"/>
      <c r="M1015" s="149"/>
      <c r="N1015" s="149"/>
      <c r="O1015" s="149"/>
      <c r="P1015" s="149"/>
      <c r="Q1015" s="149"/>
      <c r="R1015" s="149"/>
      <c r="S1015" s="149"/>
      <c r="T1015" s="149"/>
      <c r="U1015" s="149"/>
      <c r="V1015" s="149"/>
      <c r="W1015" s="149"/>
      <c r="X1015" s="149"/>
      <c r="Y1015" s="149"/>
      <c r="Z1015" s="149"/>
      <c r="AA1015" s="149"/>
      <c r="AB1015" s="149"/>
      <c r="AC1015" s="149"/>
      <c r="AD1015" s="148"/>
      <c r="AE1015" s="148"/>
      <c r="AF1015" s="148"/>
      <c r="DB1015" s="149"/>
    </row>
    <row r="1016" spans="2:106">
      <c r="B1016" s="149"/>
      <c r="C1016" s="149"/>
      <c r="D1016" s="149"/>
      <c r="E1016" s="149"/>
      <c r="F1016" s="149"/>
      <c r="G1016" s="149"/>
      <c r="H1016" s="149"/>
      <c r="I1016" s="149"/>
      <c r="J1016" s="149"/>
      <c r="K1016" s="149"/>
      <c r="L1016" s="149"/>
      <c r="M1016" s="149"/>
      <c r="N1016" s="149"/>
      <c r="O1016" s="149"/>
      <c r="P1016" s="149"/>
      <c r="Q1016" s="149"/>
      <c r="R1016" s="149"/>
      <c r="S1016" s="149"/>
      <c r="T1016" s="149"/>
      <c r="U1016" s="149"/>
      <c r="V1016" s="149"/>
      <c r="W1016" s="149"/>
      <c r="X1016" s="149"/>
      <c r="Y1016" s="149"/>
      <c r="Z1016" s="149"/>
      <c r="AA1016" s="149"/>
      <c r="AB1016" s="149"/>
      <c r="AC1016" s="149"/>
      <c r="AD1016" s="148"/>
      <c r="AE1016" s="148"/>
      <c r="AF1016" s="148"/>
      <c r="DB1016" s="149"/>
    </row>
    <row r="1017" spans="2:106">
      <c r="B1017" s="149"/>
      <c r="C1017" s="149"/>
      <c r="D1017" s="149"/>
      <c r="E1017" s="149"/>
      <c r="F1017" s="149"/>
      <c r="G1017" s="149"/>
      <c r="H1017" s="149"/>
      <c r="I1017" s="149"/>
      <c r="J1017" s="149"/>
      <c r="K1017" s="149"/>
      <c r="L1017" s="149"/>
      <c r="M1017" s="149"/>
      <c r="N1017" s="149"/>
      <c r="O1017" s="149"/>
      <c r="P1017" s="149"/>
      <c r="Q1017" s="149"/>
      <c r="R1017" s="149"/>
      <c r="S1017" s="149"/>
      <c r="T1017" s="149"/>
      <c r="U1017" s="149"/>
      <c r="V1017" s="149"/>
      <c r="W1017" s="149"/>
      <c r="X1017" s="149"/>
      <c r="Y1017" s="149"/>
      <c r="Z1017" s="149"/>
      <c r="AA1017" s="149"/>
      <c r="AB1017" s="149"/>
      <c r="AC1017" s="149"/>
      <c r="AD1017" s="148"/>
      <c r="AE1017" s="148"/>
      <c r="AF1017" s="148"/>
      <c r="DB1017" s="149"/>
    </row>
    <row r="1018" spans="2:106">
      <c r="B1018" s="149"/>
      <c r="C1018" s="149"/>
      <c r="D1018" s="149"/>
      <c r="E1018" s="149"/>
      <c r="F1018" s="149"/>
      <c r="G1018" s="149"/>
      <c r="H1018" s="149"/>
      <c r="I1018" s="149"/>
      <c r="J1018" s="149"/>
      <c r="K1018" s="149"/>
      <c r="L1018" s="149"/>
      <c r="M1018" s="149"/>
      <c r="N1018" s="149"/>
      <c r="O1018" s="149"/>
      <c r="P1018" s="149"/>
      <c r="Q1018" s="149"/>
      <c r="R1018" s="149"/>
      <c r="S1018" s="149"/>
      <c r="T1018" s="149"/>
      <c r="U1018" s="149"/>
      <c r="V1018" s="149"/>
      <c r="W1018" s="149"/>
      <c r="X1018" s="149"/>
      <c r="Y1018" s="149"/>
      <c r="Z1018" s="149"/>
      <c r="AA1018" s="149"/>
      <c r="AB1018" s="149"/>
      <c r="AC1018" s="149"/>
      <c r="AD1018" s="148"/>
      <c r="AE1018" s="148"/>
      <c r="AF1018" s="148"/>
      <c r="DB1018" s="149"/>
    </row>
    <row r="1019" spans="2:106">
      <c r="B1019" s="149"/>
      <c r="C1019" s="149"/>
      <c r="D1019" s="149"/>
      <c r="E1019" s="149"/>
      <c r="F1019" s="149"/>
      <c r="G1019" s="149"/>
      <c r="H1019" s="149"/>
      <c r="I1019" s="149"/>
      <c r="J1019" s="149"/>
      <c r="K1019" s="149"/>
      <c r="L1019" s="149"/>
      <c r="M1019" s="149"/>
      <c r="N1019" s="149"/>
      <c r="O1019" s="149"/>
      <c r="P1019" s="149"/>
      <c r="Q1019" s="149"/>
      <c r="R1019" s="149"/>
      <c r="S1019" s="149"/>
      <c r="T1019" s="149"/>
      <c r="U1019" s="149"/>
      <c r="V1019" s="149"/>
      <c r="W1019" s="149"/>
      <c r="X1019" s="149"/>
      <c r="Y1019" s="149"/>
      <c r="Z1019" s="149"/>
      <c r="AA1019" s="149"/>
      <c r="AB1019" s="149"/>
      <c r="AC1019" s="149"/>
      <c r="AD1019" s="148"/>
      <c r="AE1019" s="148"/>
      <c r="AF1019" s="148"/>
      <c r="DB1019" s="149"/>
    </row>
    <row r="1020" spans="2:106">
      <c r="B1020" s="149"/>
      <c r="C1020" s="149"/>
      <c r="D1020" s="149"/>
      <c r="E1020" s="149"/>
      <c r="F1020" s="149"/>
      <c r="G1020" s="149"/>
      <c r="H1020" s="149"/>
      <c r="I1020" s="149"/>
      <c r="J1020" s="149"/>
      <c r="K1020" s="149"/>
      <c r="L1020" s="149"/>
      <c r="M1020" s="149"/>
      <c r="N1020" s="149"/>
      <c r="O1020" s="149"/>
      <c r="P1020" s="149"/>
      <c r="Q1020" s="149"/>
      <c r="R1020" s="149"/>
      <c r="S1020" s="149"/>
      <c r="T1020" s="149"/>
      <c r="U1020" s="149"/>
      <c r="V1020" s="149"/>
      <c r="W1020" s="149"/>
      <c r="X1020" s="149"/>
      <c r="Y1020" s="149"/>
      <c r="Z1020" s="149"/>
      <c r="AA1020" s="149"/>
      <c r="AB1020" s="149"/>
      <c r="AC1020" s="149"/>
      <c r="AD1020" s="148"/>
      <c r="AE1020" s="148"/>
      <c r="AF1020" s="148"/>
      <c r="DB1020" s="149"/>
    </row>
    <row r="1021" spans="2:106">
      <c r="B1021" s="149"/>
      <c r="C1021" s="149"/>
      <c r="D1021" s="149"/>
      <c r="E1021" s="149"/>
      <c r="F1021" s="149"/>
      <c r="G1021" s="149"/>
      <c r="H1021" s="149"/>
      <c r="I1021" s="149"/>
      <c r="J1021" s="149"/>
      <c r="K1021" s="149"/>
      <c r="L1021" s="149"/>
      <c r="M1021" s="149"/>
      <c r="N1021" s="149"/>
      <c r="O1021" s="149"/>
      <c r="P1021" s="149"/>
      <c r="Q1021" s="149"/>
      <c r="R1021" s="149"/>
      <c r="S1021" s="149"/>
      <c r="T1021" s="149"/>
      <c r="U1021" s="149"/>
      <c r="V1021" s="149"/>
      <c r="W1021" s="149"/>
      <c r="X1021" s="149"/>
      <c r="Y1021" s="149"/>
      <c r="Z1021" s="149"/>
      <c r="AA1021" s="149"/>
      <c r="AB1021" s="149"/>
      <c r="AC1021" s="149"/>
      <c r="AD1021" s="148"/>
      <c r="AE1021" s="148"/>
      <c r="AF1021" s="148"/>
      <c r="DB1021" s="149"/>
    </row>
    <row r="1022" spans="2:106">
      <c r="B1022" s="149"/>
      <c r="C1022" s="149"/>
      <c r="D1022" s="149"/>
      <c r="E1022" s="149"/>
      <c r="F1022" s="149"/>
      <c r="G1022" s="149"/>
      <c r="H1022" s="149"/>
      <c r="I1022" s="149"/>
      <c r="J1022" s="149"/>
      <c r="K1022" s="149"/>
      <c r="L1022" s="149"/>
      <c r="M1022" s="149"/>
      <c r="N1022" s="149"/>
      <c r="O1022" s="149"/>
      <c r="P1022" s="149"/>
      <c r="Q1022" s="149"/>
      <c r="R1022" s="149"/>
      <c r="S1022" s="149"/>
      <c r="T1022" s="149"/>
      <c r="U1022" s="149"/>
      <c r="V1022" s="149"/>
      <c r="W1022" s="149"/>
      <c r="X1022" s="149"/>
      <c r="Y1022" s="149"/>
      <c r="Z1022" s="149"/>
      <c r="AA1022" s="149"/>
      <c r="AB1022" s="149"/>
      <c r="AC1022" s="149"/>
      <c r="AD1022" s="148"/>
      <c r="AE1022" s="148"/>
      <c r="AF1022" s="148"/>
      <c r="DB1022" s="149"/>
    </row>
    <row r="1023" spans="2:106">
      <c r="B1023" s="149"/>
      <c r="C1023" s="149"/>
      <c r="D1023" s="149"/>
      <c r="E1023" s="149"/>
      <c r="F1023" s="149"/>
      <c r="G1023" s="149"/>
      <c r="H1023" s="149"/>
      <c r="I1023" s="149"/>
      <c r="J1023" s="149"/>
      <c r="K1023" s="149"/>
      <c r="L1023" s="149"/>
      <c r="M1023" s="149"/>
      <c r="N1023" s="149"/>
      <c r="O1023" s="149"/>
      <c r="P1023" s="149"/>
      <c r="Q1023" s="149"/>
      <c r="R1023" s="149"/>
      <c r="S1023" s="149"/>
      <c r="T1023" s="149"/>
      <c r="U1023" s="149"/>
      <c r="V1023" s="149"/>
      <c r="W1023" s="149"/>
      <c r="X1023" s="149"/>
      <c r="Y1023" s="149"/>
      <c r="Z1023" s="149"/>
      <c r="AA1023" s="149"/>
      <c r="AB1023" s="149"/>
      <c r="AC1023" s="149"/>
      <c r="AD1023" s="148"/>
      <c r="AE1023" s="148"/>
      <c r="AF1023" s="148"/>
      <c r="DB1023" s="149"/>
    </row>
    <row r="1024" spans="2:106">
      <c r="B1024" s="149"/>
      <c r="C1024" s="149"/>
      <c r="D1024" s="149"/>
      <c r="E1024" s="149"/>
      <c r="F1024" s="149"/>
      <c r="G1024" s="149"/>
      <c r="H1024" s="149"/>
      <c r="I1024" s="149"/>
      <c r="J1024" s="149"/>
      <c r="K1024" s="149"/>
      <c r="L1024" s="149"/>
      <c r="M1024" s="149"/>
      <c r="N1024" s="149"/>
      <c r="O1024" s="149"/>
      <c r="P1024" s="149"/>
      <c r="Q1024" s="149"/>
      <c r="R1024" s="149"/>
      <c r="S1024" s="149"/>
      <c r="T1024" s="149"/>
      <c r="U1024" s="149"/>
      <c r="V1024" s="149"/>
      <c r="W1024" s="149"/>
      <c r="X1024" s="149"/>
      <c r="Y1024" s="149"/>
      <c r="Z1024" s="149"/>
      <c r="AA1024" s="149"/>
      <c r="AB1024" s="149"/>
      <c r="AC1024" s="149"/>
      <c r="AD1024" s="148"/>
      <c r="AE1024" s="148"/>
      <c r="AF1024" s="148"/>
      <c r="DB1024" s="149"/>
    </row>
    <row r="1025" spans="2:106">
      <c r="B1025" s="149"/>
      <c r="C1025" s="149"/>
      <c r="D1025" s="149"/>
      <c r="E1025" s="149"/>
      <c r="F1025" s="149"/>
      <c r="G1025" s="149"/>
      <c r="H1025" s="149"/>
      <c r="I1025" s="149"/>
      <c r="J1025" s="149"/>
      <c r="K1025" s="149"/>
      <c r="L1025" s="149"/>
      <c r="M1025" s="149"/>
      <c r="N1025" s="149"/>
      <c r="O1025" s="149"/>
      <c r="P1025" s="149"/>
      <c r="Q1025" s="149"/>
      <c r="R1025" s="149"/>
      <c r="S1025" s="149"/>
      <c r="T1025" s="149"/>
      <c r="U1025" s="149"/>
      <c r="V1025" s="149"/>
      <c r="W1025" s="149"/>
      <c r="X1025" s="149"/>
      <c r="Y1025" s="149"/>
      <c r="Z1025" s="149"/>
      <c r="AA1025" s="149"/>
      <c r="AB1025" s="149"/>
      <c r="AC1025" s="149"/>
      <c r="AD1025" s="148"/>
      <c r="AE1025" s="148"/>
      <c r="AF1025" s="148"/>
      <c r="DB1025" s="149"/>
    </row>
    <row r="1026" spans="2:106">
      <c r="B1026" s="149"/>
      <c r="C1026" s="149"/>
      <c r="D1026" s="149"/>
      <c r="E1026" s="149"/>
      <c r="F1026" s="149"/>
      <c r="G1026" s="149"/>
      <c r="H1026" s="149"/>
      <c r="I1026" s="149"/>
      <c r="J1026" s="149"/>
      <c r="K1026" s="149"/>
      <c r="L1026" s="149"/>
      <c r="M1026" s="149"/>
      <c r="N1026" s="149"/>
      <c r="O1026" s="149"/>
      <c r="P1026" s="149"/>
      <c r="Q1026" s="149"/>
      <c r="R1026" s="149"/>
      <c r="S1026" s="149"/>
      <c r="T1026" s="149"/>
      <c r="U1026" s="149"/>
      <c r="V1026" s="149"/>
      <c r="W1026" s="149"/>
      <c r="X1026" s="149"/>
      <c r="Y1026" s="149"/>
      <c r="Z1026" s="149"/>
      <c r="AA1026" s="149"/>
      <c r="AB1026" s="149"/>
      <c r="AC1026" s="149"/>
      <c r="AD1026" s="148"/>
      <c r="AE1026" s="148"/>
      <c r="AF1026" s="148"/>
      <c r="DB1026" s="149"/>
    </row>
    <row r="1027" spans="2:106">
      <c r="B1027" s="149"/>
      <c r="C1027" s="149"/>
      <c r="D1027" s="149"/>
      <c r="E1027" s="149"/>
      <c r="F1027" s="149"/>
      <c r="G1027" s="149"/>
      <c r="H1027" s="149"/>
      <c r="I1027" s="149"/>
      <c r="J1027" s="149"/>
      <c r="K1027" s="149"/>
      <c r="L1027" s="149"/>
      <c r="M1027" s="149"/>
      <c r="N1027" s="149"/>
      <c r="O1027" s="149"/>
      <c r="P1027" s="149"/>
      <c r="Q1027" s="149"/>
      <c r="R1027" s="149"/>
      <c r="S1027" s="149"/>
      <c r="T1027" s="149"/>
      <c r="U1027" s="149"/>
      <c r="V1027" s="149"/>
      <c r="W1027" s="149"/>
      <c r="X1027" s="149"/>
      <c r="Y1027" s="149"/>
      <c r="Z1027" s="149"/>
      <c r="AA1027" s="149"/>
      <c r="AB1027" s="149"/>
      <c r="AC1027" s="149"/>
      <c r="AD1027" s="148"/>
      <c r="AE1027" s="148"/>
      <c r="AF1027" s="148"/>
      <c r="DB1027" s="149"/>
    </row>
    <row r="1028" spans="2:106">
      <c r="B1028" s="149"/>
      <c r="C1028" s="149"/>
      <c r="D1028" s="149"/>
      <c r="E1028" s="149"/>
      <c r="F1028" s="149"/>
      <c r="G1028" s="149"/>
      <c r="H1028" s="149"/>
      <c r="I1028" s="149"/>
      <c r="J1028" s="149"/>
      <c r="K1028" s="149"/>
      <c r="L1028" s="149"/>
      <c r="M1028" s="149"/>
      <c r="N1028" s="149"/>
      <c r="O1028" s="149"/>
      <c r="P1028" s="149"/>
      <c r="Q1028" s="149"/>
      <c r="R1028" s="149"/>
      <c r="S1028" s="149"/>
      <c r="T1028" s="149"/>
      <c r="U1028" s="149"/>
      <c r="V1028" s="149"/>
      <c r="W1028" s="149"/>
      <c r="X1028" s="149"/>
      <c r="Y1028" s="149"/>
      <c r="Z1028" s="149"/>
      <c r="AA1028" s="149"/>
      <c r="AB1028" s="149"/>
      <c r="AC1028" s="149"/>
      <c r="AD1028" s="148"/>
      <c r="AE1028" s="148"/>
      <c r="AF1028" s="148"/>
      <c r="DB1028" s="149"/>
    </row>
    <row r="1029" spans="2:106">
      <c r="B1029" s="149"/>
      <c r="C1029" s="149"/>
      <c r="D1029" s="149"/>
      <c r="E1029" s="149"/>
      <c r="F1029" s="149"/>
      <c r="G1029" s="149"/>
      <c r="H1029" s="149"/>
      <c r="I1029" s="149"/>
      <c r="J1029" s="149"/>
      <c r="K1029" s="149"/>
      <c r="L1029" s="149"/>
      <c r="M1029" s="149"/>
      <c r="N1029" s="149"/>
      <c r="O1029" s="149"/>
      <c r="P1029" s="149"/>
      <c r="Q1029" s="149"/>
      <c r="R1029" s="149"/>
      <c r="S1029" s="149"/>
      <c r="T1029" s="149"/>
      <c r="U1029" s="149"/>
      <c r="V1029" s="149"/>
      <c r="W1029" s="149"/>
      <c r="X1029" s="149"/>
      <c r="Y1029" s="149"/>
      <c r="Z1029" s="149"/>
      <c r="AA1029" s="149"/>
      <c r="AB1029" s="149"/>
      <c r="AC1029" s="149"/>
      <c r="AD1029" s="148"/>
      <c r="AE1029" s="148"/>
      <c r="AF1029" s="148"/>
      <c r="DB1029" s="149"/>
    </row>
    <row r="1030" spans="2:106">
      <c r="B1030" s="149"/>
      <c r="C1030" s="149"/>
      <c r="D1030" s="149"/>
      <c r="E1030" s="149"/>
      <c r="F1030" s="149"/>
      <c r="G1030" s="149"/>
      <c r="H1030" s="149"/>
      <c r="I1030" s="149"/>
      <c r="J1030" s="149"/>
      <c r="K1030" s="149"/>
      <c r="L1030" s="149"/>
      <c r="M1030" s="149"/>
      <c r="N1030" s="149"/>
      <c r="O1030" s="149"/>
      <c r="P1030" s="149"/>
      <c r="Q1030" s="149"/>
      <c r="R1030" s="149"/>
      <c r="S1030" s="149"/>
      <c r="T1030" s="149"/>
      <c r="U1030" s="149"/>
      <c r="V1030" s="149"/>
      <c r="W1030" s="149"/>
      <c r="X1030" s="149"/>
      <c r="Y1030" s="149"/>
      <c r="Z1030" s="149"/>
      <c r="AA1030" s="149"/>
      <c r="AB1030" s="149"/>
      <c r="AC1030" s="149"/>
      <c r="AD1030" s="148"/>
      <c r="AE1030" s="148"/>
      <c r="AF1030" s="148"/>
      <c r="DB1030" s="149"/>
    </row>
    <row r="1031" spans="2:106">
      <c r="B1031" s="149"/>
      <c r="C1031" s="149"/>
      <c r="D1031" s="149"/>
      <c r="E1031" s="149"/>
      <c r="F1031" s="149"/>
      <c r="G1031" s="149"/>
      <c r="H1031" s="149"/>
      <c r="I1031" s="149"/>
      <c r="J1031" s="149"/>
      <c r="K1031" s="149"/>
      <c r="L1031" s="149"/>
      <c r="M1031" s="149"/>
      <c r="N1031" s="149"/>
      <c r="O1031" s="149"/>
      <c r="P1031" s="149"/>
      <c r="Q1031" s="149"/>
      <c r="R1031" s="149"/>
      <c r="S1031" s="149"/>
      <c r="T1031" s="149"/>
      <c r="U1031" s="149"/>
      <c r="V1031" s="149"/>
      <c r="W1031" s="149"/>
      <c r="X1031" s="149"/>
      <c r="Y1031" s="149"/>
      <c r="Z1031" s="149"/>
      <c r="AA1031" s="149"/>
      <c r="AB1031" s="149"/>
      <c r="AC1031" s="149"/>
      <c r="AD1031" s="148"/>
      <c r="AE1031" s="148"/>
      <c r="AF1031" s="148"/>
      <c r="DB1031" s="149"/>
    </row>
    <row r="1032" spans="2:106">
      <c r="B1032" s="149"/>
      <c r="C1032" s="149"/>
      <c r="D1032" s="149"/>
      <c r="E1032" s="149"/>
      <c r="F1032" s="149"/>
      <c r="G1032" s="149"/>
      <c r="H1032" s="149"/>
      <c r="I1032" s="149"/>
      <c r="J1032" s="149"/>
      <c r="K1032" s="149"/>
      <c r="L1032" s="149"/>
      <c r="M1032" s="149"/>
      <c r="N1032" s="149"/>
      <c r="O1032" s="149"/>
      <c r="P1032" s="149"/>
      <c r="Q1032" s="149"/>
      <c r="R1032" s="149"/>
      <c r="S1032" s="149"/>
      <c r="T1032" s="149"/>
      <c r="U1032" s="149"/>
      <c r="V1032" s="149"/>
      <c r="W1032" s="149"/>
      <c r="X1032" s="149"/>
      <c r="Y1032" s="149"/>
      <c r="Z1032" s="149"/>
      <c r="AA1032" s="149"/>
      <c r="AB1032" s="149"/>
      <c r="AC1032" s="149"/>
      <c r="AD1032" s="148"/>
      <c r="AE1032" s="148"/>
      <c r="AF1032" s="148"/>
      <c r="DB1032" s="149"/>
    </row>
    <row r="1033" spans="2:106">
      <c r="B1033" s="149"/>
      <c r="C1033" s="149"/>
      <c r="D1033" s="149"/>
      <c r="E1033" s="149"/>
      <c r="F1033" s="149"/>
      <c r="G1033" s="149"/>
      <c r="H1033" s="149"/>
      <c r="I1033" s="149"/>
      <c r="J1033" s="149"/>
      <c r="K1033" s="149"/>
      <c r="L1033" s="149"/>
      <c r="M1033" s="149"/>
      <c r="N1033" s="149"/>
      <c r="O1033" s="149"/>
      <c r="P1033" s="149"/>
      <c r="Q1033" s="149"/>
      <c r="R1033" s="149"/>
      <c r="S1033" s="149"/>
      <c r="T1033" s="149"/>
      <c r="U1033" s="149"/>
      <c r="V1033" s="149"/>
      <c r="W1033" s="149"/>
      <c r="X1033" s="149"/>
      <c r="Y1033" s="149"/>
      <c r="Z1033" s="149"/>
      <c r="AA1033" s="149"/>
      <c r="AB1033" s="149"/>
      <c r="AC1033" s="149"/>
      <c r="AD1033" s="148"/>
      <c r="AE1033" s="148"/>
      <c r="AF1033" s="148"/>
      <c r="DB1033" s="149"/>
    </row>
    <row r="1034" spans="2:106">
      <c r="B1034" s="149"/>
      <c r="C1034" s="149"/>
      <c r="D1034" s="149"/>
      <c r="E1034" s="149"/>
      <c r="F1034" s="149"/>
      <c r="G1034" s="149"/>
      <c r="H1034" s="149"/>
      <c r="I1034" s="149"/>
      <c r="J1034" s="149"/>
      <c r="K1034" s="149"/>
      <c r="L1034" s="149"/>
      <c r="M1034" s="149"/>
      <c r="N1034" s="149"/>
      <c r="O1034" s="149"/>
      <c r="P1034" s="149"/>
      <c r="Q1034" s="149"/>
      <c r="R1034" s="149"/>
      <c r="S1034" s="149"/>
      <c r="T1034" s="149"/>
      <c r="U1034" s="149"/>
      <c r="V1034" s="149"/>
      <c r="W1034" s="149"/>
      <c r="X1034" s="149"/>
      <c r="Y1034" s="149"/>
      <c r="Z1034" s="149"/>
      <c r="AA1034" s="149"/>
      <c r="AB1034" s="149"/>
      <c r="AC1034" s="149"/>
      <c r="AD1034" s="148"/>
      <c r="AE1034" s="148"/>
      <c r="AF1034" s="148"/>
      <c r="DB1034" s="149"/>
    </row>
    <row r="1035" spans="2:106">
      <c r="B1035" s="149"/>
      <c r="C1035" s="149"/>
      <c r="D1035" s="149"/>
      <c r="E1035" s="149"/>
      <c r="F1035" s="149"/>
      <c r="G1035" s="149"/>
      <c r="H1035" s="149"/>
      <c r="I1035" s="149"/>
      <c r="J1035" s="149"/>
      <c r="K1035" s="149"/>
      <c r="L1035" s="149"/>
      <c r="M1035" s="149"/>
      <c r="N1035" s="149"/>
      <c r="O1035" s="149"/>
      <c r="P1035" s="149"/>
      <c r="Q1035" s="149"/>
      <c r="R1035" s="149"/>
      <c r="S1035" s="149"/>
      <c r="T1035" s="149"/>
      <c r="U1035" s="149"/>
      <c r="V1035" s="149"/>
      <c r="W1035" s="149"/>
      <c r="X1035" s="149"/>
      <c r="Y1035" s="149"/>
      <c r="Z1035" s="149"/>
      <c r="AA1035" s="149"/>
      <c r="AB1035" s="149"/>
      <c r="AC1035" s="149"/>
      <c r="AD1035" s="148"/>
      <c r="AE1035" s="148"/>
      <c r="AF1035" s="148"/>
      <c r="DB1035" s="149"/>
    </row>
    <row r="1036" spans="2:106">
      <c r="B1036" s="149"/>
      <c r="C1036" s="149"/>
      <c r="D1036" s="149"/>
      <c r="E1036" s="149"/>
      <c r="F1036" s="149"/>
      <c r="G1036" s="149"/>
      <c r="H1036" s="149"/>
      <c r="I1036" s="149"/>
      <c r="J1036" s="149"/>
      <c r="K1036" s="149"/>
      <c r="L1036" s="149"/>
      <c r="M1036" s="149"/>
      <c r="N1036" s="149"/>
      <c r="O1036" s="149"/>
      <c r="P1036" s="149"/>
      <c r="Q1036" s="149"/>
      <c r="R1036" s="149"/>
      <c r="S1036" s="149"/>
      <c r="T1036" s="149"/>
      <c r="U1036" s="149"/>
      <c r="V1036" s="149"/>
      <c r="W1036" s="149"/>
      <c r="X1036" s="149"/>
      <c r="Y1036" s="149"/>
      <c r="Z1036" s="149"/>
      <c r="AA1036" s="149"/>
      <c r="AB1036" s="149"/>
      <c r="AC1036" s="149"/>
      <c r="AD1036" s="148"/>
      <c r="AE1036" s="148"/>
      <c r="AF1036" s="148"/>
      <c r="DB1036" s="149"/>
    </row>
    <row r="1037" spans="2:106">
      <c r="B1037" s="149"/>
      <c r="C1037" s="149"/>
      <c r="D1037" s="149"/>
      <c r="E1037" s="149"/>
      <c r="F1037" s="149"/>
      <c r="G1037" s="149"/>
      <c r="H1037" s="149"/>
      <c r="I1037" s="149"/>
      <c r="J1037" s="149"/>
      <c r="K1037" s="149"/>
      <c r="L1037" s="149"/>
      <c r="M1037" s="149"/>
      <c r="N1037" s="149"/>
      <c r="O1037" s="149"/>
      <c r="P1037" s="149"/>
      <c r="Q1037" s="149"/>
      <c r="R1037" s="149"/>
      <c r="S1037" s="149"/>
      <c r="T1037" s="149"/>
      <c r="U1037" s="149"/>
      <c r="V1037" s="149"/>
      <c r="W1037" s="149"/>
      <c r="X1037" s="149"/>
      <c r="Y1037" s="149"/>
      <c r="Z1037" s="149"/>
      <c r="AA1037" s="149"/>
      <c r="AB1037" s="149"/>
      <c r="AC1037" s="149"/>
      <c r="AD1037" s="148"/>
      <c r="AE1037" s="148"/>
      <c r="AF1037" s="148"/>
      <c r="DB1037" s="149"/>
    </row>
    <row r="1038" spans="2:106">
      <c r="B1038" s="149"/>
      <c r="C1038" s="149"/>
      <c r="D1038" s="149"/>
      <c r="E1038" s="149"/>
      <c r="F1038" s="149"/>
      <c r="G1038" s="149"/>
      <c r="H1038" s="149"/>
      <c r="I1038" s="149"/>
      <c r="J1038" s="149"/>
      <c r="K1038" s="149"/>
      <c r="L1038" s="149"/>
      <c r="M1038" s="149"/>
      <c r="N1038" s="149"/>
      <c r="O1038" s="149"/>
      <c r="P1038" s="149"/>
      <c r="Q1038" s="149"/>
      <c r="R1038" s="149"/>
      <c r="S1038" s="149"/>
      <c r="T1038" s="149"/>
      <c r="U1038" s="149"/>
      <c r="V1038" s="149"/>
      <c r="W1038" s="149"/>
      <c r="X1038" s="149"/>
      <c r="Y1038" s="149"/>
      <c r="Z1038" s="149"/>
      <c r="AA1038" s="149"/>
      <c r="AB1038" s="149"/>
      <c r="AC1038" s="149"/>
      <c r="AD1038" s="148"/>
      <c r="AE1038" s="148"/>
      <c r="AF1038" s="148"/>
      <c r="DB1038" s="149"/>
    </row>
    <row r="1039" spans="2:106">
      <c r="B1039" s="149"/>
      <c r="C1039" s="149"/>
      <c r="D1039" s="149"/>
      <c r="E1039" s="149"/>
      <c r="F1039" s="149"/>
      <c r="G1039" s="149"/>
      <c r="H1039" s="149"/>
      <c r="I1039" s="149"/>
      <c r="J1039" s="149"/>
      <c r="K1039" s="149"/>
      <c r="L1039" s="149"/>
      <c r="M1039" s="149"/>
      <c r="N1039" s="149"/>
      <c r="O1039" s="149"/>
      <c r="P1039" s="149"/>
      <c r="Q1039" s="149"/>
      <c r="R1039" s="149"/>
      <c r="S1039" s="149"/>
      <c r="T1039" s="149"/>
      <c r="U1039" s="149"/>
      <c r="V1039" s="149"/>
      <c r="W1039" s="149"/>
      <c r="X1039" s="149"/>
      <c r="Y1039" s="149"/>
      <c r="Z1039" s="149"/>
      <c r="AA1039" s="149"/>
      <c r="AB1039" s="149"/>
      <c r="AC1039" s="149"/>
      <c r="AD1039" s="148"/>
      <c r="AE1039" s="148"/>
      <c r="AF1039" s="148"/>
      <c r="DB1039" s="149"/>
    </row>
    <row r="1040" spans="2:106">
      <c r="B1040" s="149"/>
      <c r="C1040" s="149"/>
      <c r="D1040" s="149"/>
      <c r="E1040" s="149"/>
      <c r="F1040" s="149"/>
      <c r="G1040" s="149"/>
      <c r="H1040" s="149"/>
      <c r="I1040" s="149"/>
      <c r="J1040" s="149"/>
      <c r="K1040" s="149"/>
      <c r="L1040" s="149"/>
      <c r="M1040" s="149"/>
      <c r="N1040" s="149"/>
      <c r="O1040" s="149"/>
      <c r="P1040" s="149"/>
      <c r="Q1040" s="149"/>
      <c r="R1040" s="149"/>
      <c r="S1040" s="149"/>
      <c r="T1040" s="149"/>
      <c r="U1040" s="149"/>
      <c r="V1040" s="149"/>
      <c r="W1040" s="149"/>
      <c r="X1040" s="149"/>
      <c r="Y1040" s="149"/>
      <c r="Z1040" s="149"/>
      <c r="AA1040" s="149"/>
      <c r="AB1040" s="149"/>
      <c r="AC1040" s="149"/>
      <c r="AD1040" s="148"/>
      <c r="AE1040" s="148"/>
      <c r="AF1040" s="148"/>
      <c r="DB1040" s="149"/>
    </row>
    <row r="1041" spans="2:106">
      <c r="B1041" s="149"/>
      <c r="C1041" s="149"/>
      <c r="D1041" s="149"/>
      <c r="E1041" s="149"/>
      <c r="F1041" s="149"/>
      <c r="G1041" s="149"/>
      <c r="H1041" s="149"/>
      <c r="I1041" s="149"/>
      <c r="J1041" s="149"/>
      <c r="K1041" s="149"/>
      <c r="L1041" s="149"/>
      <c r="M1041" s="149"/>
      <c r="N1041" s="149"/>
      <c r="O1041" s="149"/>
      <c r="P1041" s="149"/>
      <c r="Q1041" s="149"/>
      <c r="R1041" s="149"/>
      <c r="S1041" s="149"/>
      <c r="T1041" s="149"/>
      <c r="U1041" s="149"/>
      <c r="V1041" s="149"/>
      <c r="W1041" s="149"/>
      <c r="X1041" s="149"/>
      <c r="Y1041" s="149"/>
      <c r="Z1041" s="149"/>
      <c r="AA1041" s="149"/>
      <c r="AB1041" s="149"/>
      <c r="AC1041" s="149"/>
      <c r="AD1041" s="148"/>
      <c r="AE1041" s="148"/>
      <c r="AF1041" s="148"/>
      <c r="DB1041" s="149"/>
    </row>
    <row r="1042" spans="2:106">
      <c r="B1042" s="149"/>
      <c r="C1042" s="149"/>
      <c r="D1042" s="149"/>
      <c r="E1042" s="149"/>
      <c r="F1042" s="149"/>
      <c r="G1042" s="149"/>
      <c r="H1042" s="149"/>
      <c r="I1042" s="149"/>
      <c r="J1042" s="149"/>
      <c r="K1042" s="149"/>
      <c r="L1042" s="149"/>
      <c r="M1042" s="149"/>
      <c r="N1042" s="149"/>
      <c r="O1042" s="149"/>
      <c r="P1042" s="149"/>
      <c r="Q1042" s="149"/>
      <c r="R1042" s="149"/>
      <c r="S1042" s="149"/>
      <c r="T1042" s="149"/>
      <c r="U1042" s="149"/>
      <c r="V1042" s="149"/>
      <c r="W1042" s="149"/>
      <c r="X1042" s="149"/>
      <c r="Y1042" s="149"/>
      <c r="Z1042" s="149"/>
      <c r="AA1042" s="149"/>
      <c r="AB1042" s="149"/>
      <c r="AC1042" s="149"/>
      <c r="AD1042" s="148"/>
      <c r="AE1042" s="148"/>
      <c r="AF1042" s="148"/>
      <c r="DB1042" s="149"/>
    </row>
    <row r="1043" spans="2:106">
      <c r="B1043" s="149"/>
      <c r="C1043" s="149"/>
      <c r="D1043" s="149"/>
      <c r="E1043" s="149"/>
      <c r="F1043" s="149"/>
      <c r="G1043" s="149"/>
      <c r="H1043" s="149"/>
      <c r="I1043" s="149"/>
      <c r="J1043" s="149"/>
      <c r="K1043" s="149"/>
      <c r="L1043" s="149"/>
      <c r="M1043" s="149"/>
      <c r="N1043" s="149"/>
      <c r="O1043" s="149"/>
      <c r="P1043" s="149"/>
      <c r="Q1043" s="149"/>
      <c r="R1043" s="149"/>
      <c r="S1043" s="149"/>
      <c r="T1043" s="149"/>
      <c r="U1043" s="149"/>
      <c r="V1043" s="149"/>
      <c r="W1043" s="149"/>
      <c r="X1043" s="149"/>
      <c r="Y1043" s="149"/>
      <c r="Z1043" s="149"/>
      <c r="AA1043" s="149"/>
      <c r="AB1043" s="149"/>
      <c r="AC1043" s="149"/>
      <c r="AD1043" s="148"/>
      <c r="AE1043" s="148"/>
      <c r="AF1043" s="148"/>
      <c r="DB1043" s="149"/>
    </row>
    <row r="1044" spans="2:106">
      <c r="B1044" s="149"/>
      <c r="C1044" s="149"/>
      <c r="D1044" s="149"/>
      <c r="E1044" s="149"/>
      <c r="F1044" s="149"/>
      <c r="G1044" s="149"/>
      <c r="H1044" s="149"/>
      <c r="I1044" s="149"/>
      <c r="J1044" s="149"/>
      <c r="K1044" s="149"/>
      <c r="L1044" s="149"/>
      <c r="M1044" s="149"/>
      <c r="N1044" s="149"/>
      <c r="O1044" s="149"/>
      <c r="P1044" s="149"/>
      <c r="Q1044" s="149"/>
      <c r="R1044" s="149"/>
      <c r="S1044" s="149"/>
      <c r="T1044" s="149"/>
      <c r="U1044" s="149"/>
      <c r="V1044" s="149"/>
      <c r="W1044" s="149"/>
      <c r="X1044" s="149"/>
      <c r="Y1044" s="149"/>
      <c r="Z1044" s="149"/>
      <c r="AA1044" s="149"/>
      <c r="AB1044" s="149"/>
      <c r="AC1044" s="149"/>
      <c r="AD1044" s="148"/>
      <c r="AE1044" s="148"/>
      <c r="AF1044" s="148"/>
      <c r="DB1044" s="149"/>
    </row>
    <row r="1045" spans="2:106">
      <c r="B1045" s="149"/>
      <c r="C1045" s="149"/>
      <c r="D1045" s="149"/>
      <c r="E1045" s="149"/>
      <c r="F1045" s="149"/>
      <c r="G1045" s="149"/>
      <c r="H1045" s="149"/>
      <c r="I1045" s="149"/>
      <c r="J1045" s="149"/>
      <c r="K1045" s="149"/>
      <c r="L1045" s="149"/>
      <c r="M1045" s="149"/>
      <c r="N1045" s="149"/>
      <c r="O1045" s="149"/>
      <c r="P1045" s="149"/>
      <c r="Q1045" s="149"/>
      <c r="R1045" s="149"/>
      <c r="S1045" s="149"/>
      <c r="T1045" s="149"/>
      <c r="U1045" s="149"/>
      <c r="V1045" s="149"/>
      <c r="W1045" s="149"/>
      <c r="X1045" s="149"/>
      <c r="Y1045" s="149"/>
      <c r="Z1045" s="149"/>
      <c r="AA1045" s="149"/>
      <c r="AB1045" s="149"/>
      <c r="AC1045" s="149"/>
      <c r="AD1045" s="148"/>
      <c r="AE1045" s="148"/>
      <c r="AF1045" s="148"/>
      <c r="DB1045" s="149"/>
    </row>
    <row r="1046" spans="2:106">
      <c r="B1046" s="149"/>
      <c r="C1046" s="149"/>
      <c r="D1046" s="149"/>
      <c r="E1046" s="149"/>
      <c r="F1046" s="149"/>
      <c r="G1046" s="149"/>
      <c r="H1046" s="149"/>
      <c r="I1046" s="149"/>
      <c r="J1046" s="149"/>
      <c r="K1046" s="149"/>
      <c r="L1046" s="149"/>
      <c r="M1046" s="149"/>
      <c r="N1046" s="149"/>
      <c r="O1046" s="149"/>
      <c r="P1046" s="149"/>
      <c r="Q1046" s="149"/>
      <c r="R1046" s="149"/>
      <c r="S1046" s="149"/>
      <c r="T1046" s="149"/>
      <c r="U1046" s="149"/>
      <c r="V1046" s="149"/>
      <c r="W1046" s="149"/>
      <c r="X1046" s="149"/>
      <c r="Y1046" s="149"/>
      <c r="Z1046" s="149"/>
      <c r="AA1046" s="149"/>
      <c r="AB1046" s="149"/>
      <c r="AC1046" s="149"/>
      <c r="AD1046" s="148"/>
      <c r="AE1046" s="148"/>
      <c r="AF1046" s="148"/>
      <c r="DB1046" s="149"/>
    </row>
    <row r="1047" spans="2:106">
      <c r="B1047" s="149"/>
      <c r="C1047" s="149"/>
      <c r="D1047" s="149"/>
      <c r="E1047" s="149"/>
      <c r="F1047" s="149"/>
      <c r="G1047" s="149"/>
      <c r="H1047" s="149"/>
      <c r="I1047" s="149"/>
      <c r="J1047" s="149"/>
      <c r="K1047" s="149"/>
      <c r="L1047" s="149"/>
      <c r="M1047" s="149"/>
      <c r="N1047" s="149"/>
      <c r="O1047" s="149"/>
      <c r="P1047" s="149"/>
      <c r="Q1047" s="149"/>
      <c r="R1047" s="149"/>
      <c r="S1047" s="149"/>
      <c r="T1047" s="149"/>
      <c r="U1047" s="149"/>
      <c r="V1047" s="149"/>
      <c r="W1047" s="149"/>
      <c r="X1047" s="149"/>
      <c r="Y1047" s="149"/>
      <c r="Z1047" s="149"/>
      <c r="AA1047" s="149"/>
      <c r="AB1047" s="149"/>
      <c r="AC1047" s="149"/>
      <c r="AD1047" s="148"/>
      <c r="AE1047" s="148"/>
      <c r="AF1047" s="148"/>
      <c r="DB1047" s="149"/>
    </row>
    <row r="1048" spans="2:106">
      <c r="B1048" s="149"/>
      <c r="C1048" s="149"/>
      <c r="D1048" s="149"/>
      <c r="E1048" s="149"/>
      <c r="F1048" s="149"/>
      <c r="G1048" s="149"/>
      <c r="H1048" s="149"/>
      <c r="I1048" s="149"/>
      <c r="J1048" s="149"/>
      <c r="K1048" s="149"/>
      <c r="L1048" s="149"/>
      <c r="M1048" s="149"/>
      <c r="N1048" s="149"/>
      <c r="O1048" s="149"/>
      <c r="P1048" s="149"/>
      <c r="Q1048" s="149"/>
      <c r="R1048" s="149"/>
      <c r="S1048" s="149"/>
      <c r="T1048" s="149"/>
      <c r="U1048" s="149"/>
      <c r="V1048" s="149"/>
      <c r="W1048" s="149"/>
      <c r="X1048" s="149"/>
      <c r="Y1048" s="149"/>
      <c r="Z1048" s="149"/>
      <c r="AA1048" s="149"/>
      <c r="AB1048" s="149"/>
      <c r="AC1048" s="149"/>
      <c r="AD1048" s="148"/>
      <c r="AE1048" s="148"/>
      <c r="AF1048" s="148"/>
      <c r="DB1048" s="149"/>
    </row>
    <row r="1049" spans="2:106">
      <c r="B1049" s="149"/>
      <c r="C1049" s="149"/>
      <c r="D1049" s="149"/>
      <c r="E1049" s="149"/>
      <c r="F1049" s="149"/>
      <c r="G1049" s="149"/>
      <c r="H1049" s="149"/>
      <c r="I1049" s="149"/>
      <c r="J1049" s="149"/>
      <c r="K1049" s="149"/>
      <c r="L1049" s="149"/>
      <c r="M1049" s="149"/>
      <c r="N1049" s="149"/>
      <c r="O1049" s="149"/>
      <c r="P1049" s="149"/>
      <c r="Q1049" s="149"/>
      <c r="R1049" s="149"/>
      <c r="S1049" s="149"/>
      <c r="T1049" s="149"/>
      <c r="U1049" s="149"/>
      <c r="V1049" s="149"/>
      <c r="W1049" s="149"/>
      <c r="X1049" s="149"/>
      <c r="Y1049" s="149"/>
      <c r="Z1049" s="149"/>
      <c r="AA1049" s="149"/>
      <c r="AB1049" s="149"/>
      <c r="AC1049" s="149"/>
      <c r="AD1049" s="148"/>
      <c r="AE1049" s="148"/>
      <c r="AF1049" s="148"/>
      <c r="DB1049" s="149"/>
    </row>
    <row r="1050" spans="2:106">
      <c r="B1050" s="149"/>
      <c r="C1050" s="149"/>
      <c r="D1050" s="149"/>
      <c r="E1050" s="149"/>
      <c r="F1050" s="149"/>
      <c r="G1050" s="149"/>
      <c r="H1050" s="149"/>
      <c r="I1050" s="149"/>
      <c r="J1050" s="149"/>
      <c r="K1050" s="149"/>
      <c r="L1050" s="149"/>
      <c r="M1050" s="149"/>
      <c r="N1050" s="149"/>
      <c r="O1050" s="149"/>
      <c r="P1050" s="149"/>
      <c r="Q1050" s="149"/>
      <c r="R1050" s="149"/>
      <c r="S1050" s="149"/>
      <c r="T1050" s="149"/>
      <c r="U1050" s="149"/>
      <c r="V1050" s="149"/>
      <c r="W1050" s="149"/>
      <c r="X1050" s="149"/>
      <c r="Y1050" s="149"/>
      <c r="Z1050" s="149"/>
      <c r="AA1050" s="149"/>
      <c r="AB1050" s="149"/>
      <c r="AC1050" s="149"/>
      <c r="AD1050" s="148"/>
      <c r="AE1050" s="148"/>
      <c r="AF1050" s="148"/>
      <c r="DB1050" s="149"/>
    </row>
    <row r="1051" spans="2:106">
      <c r="B1051" s="149"/>
      <c r="C1051" s="149"/>
      <c r="D1051" s="149"/>
      <c r="E1051" s="149"/>
      <c r="F1051" s="149"/>
      <c r="G1051" s="149"/>
      <c r="H1051" s="149"/>
      <c r="I1051" s="149"/>
      <c r="J1051" s="149"/>
      <c r="K1051" s="149"/>
      <c r="L1051" s="149"/>
      <c r="M1051" s="149"/>
      <c r="N1051" s="149"/>
      <c r="O1051" s="149"/>
      <c r="P1051" s="149"/>
      <c r="Q1051" s="149"/>
      <c r="R1051" s="149"/>
      <c r="S1051" s="149"/>
      <c r="T1051" s="149"/>
      <c r="U1051" s="149"/>
      <c r="V1051" s="149"/>
      <c r="W1051" s="149"/>
      <c r="X1051" s="149"/>
      <c r="Y1051" s="149"/>
      <c r="Z1051" s="149"/>
      <c r="AA1051" s="149"/>
      <c r="AB1051" s="149"/>
      <c r="AC1051" s="149"/>
      <c r="AD1051" s="148"/>
      <c r="AE1051" s="148"/>
      <c r="AF1051" s="148"/>
      <c r="DB1051" s="149"/>
    </row>
    <row r="1052" spans="2:106">
      <c r="B1052" s="149"/>
      <c r="C1052" s="149"/>
      <c r="D1052" s="149"/>
      <c r="E1052" s="149"/>
      <c r="F1052" s="149"/>
      <c r="G1052" s="149"/>
      <c r="H1052" s="149"/>
      <c r="I1052" s="149"/>
      <c r="J1052" s="149"/>
      <c r="K1052" s="149"/>
      <c r="L1052" s="149"/>
      <c r="M1052" s="149"/>
      <c r="N1052" s="149"/>
      <c r="O1052" s="149"/>
      <c r="P1052" s="149"/>
      <c r="Q1052" s="149"/>
      <c r="R1052" s="149"/>
      <c r="S1052" s="149"/>
      <c r="T1052" s="149"/>
      <c r="U1052" s="149"/>
      <c r="V1052" s="149"/>
      <c r="W1052" s="149"/>
      <c r="X1052" s="149"/>
      <c r="Y1052" s="149"/>
      <c r="Z1052" s="149"/>
      <c r="AA1052" s="149"/>
      <c r="AB1052" s="149"/>
      <c r="AC1052" s="149"/>
      <c r="AD1052" s="148"/>
      <c r="AE1052" s="148"/>
      <c r="AF1052" s="148"/>
      <c r="DB1052" s="149"/>
    </row>
    <row r="1053" spans="2:106">
      <c r="B1053" s="149"/>
      <c r="C1053" s="149"/>
      <c r="D1053" s="149"/>
      <c r="E1053" s="149"/>
      <c r="F1053" s="149"/>
      <c r="G1053" s="149"/>
      <c r="H1053" s="149"/>
      <c r="I1053" s="149"/>
      <c r="J1053" s="149"/>
      <c r="K1053" s="149"/>
      <c r="L1053" s="149"/>
      <c r="M1053" s="149"/>
      <c r="N1053" s="149"/>
      <c r="O1053" s="149"/>
      <c r="P1053" s="149"/>
      <c r="Q1053" s="149"/>
      <c r="R1053" s="149"/>
      <c r="S1053" s="149"/>
      <c r="T1053" s="149"/>
      <c r="U1053" s="149"/>
      <c r="V1053" s="149"/>
      <c r="W1053" s="149"/>
      <c r="X1053" s="149"/>
      <c r="Y1053" s="149"/>
      <c r="Z1053" s="149"/>
      <c r="AA1053" s="149"/>
      <c r="AB1053" s="149"/>
      <c r="AC1053" s="149"/>
      <c r="AD1053" s="148"/>
      <c r="AE1053" s="148"/>
      <c r="AF1053" s="148"/>
      <c r="DB1053" s="149"/>
    </row>
    <row r="1054" spans="2:106">
      <c r="B1054" s="149"/>
      <c r="C1054" s="149"/>
      <c r="D1054" s="149"/>
      <c r="E1054" s="149"/>
      <c r="F1054" s="149"/>
      <c r="G1054" s="149"/>
      <c r="H1054" s="149"/>
      <c r="I1054" s="149"/>
      <c r="J1054" s="149"/>
      <c r="K1054" s="149"/>
      <c r="L1054" s="149"/>
      <c r="M1054" s="149"/>
      <c r="N1054" s="149"/>
      <c r="O1054" s="149"/>
      <c r="P1054" s="149"/>
      <c r="Q1054" s="149"/>
      <c r="R1054" s="149"/>
      <c r="S1054" s="149"/>
      <c r="T1054" s="149"/>
      <c r="U1054" s="149"/>
      <c r="V1054" s="149"/>
      <c r="W1054" s="149"/>
      <c r="X1054" s="149"/>
      <c r="Y1054" s="149"/>
      <c r="Z1054" s="149"/>
      <c r="AA1054" s="149"/>
      <c r="AB1054" s="149"/>
      <c r="AC1054" s="149"/>
      <c r="AD1054" s="148"/>
      <c r="AE1054" s="148"/>
      <c r="AF1054" s="148"/>
      <c r="DB1054" s="149"/>
    </row>
    <row r="1055" spans="2:106">
      <c r="B1055" s="149"/>
      <c r="C1055" s="149"/>
      <c r="D1055" s="149"/>
      <c r="E1055" s="149"/>
      <c r="F1055" s="149"/>
      <c r="G1055" s="149"/>
      <c r="H1055" s="149"/>
      <c r="I1055" s="149"/>
      <c r="J1055" s="149"/>
      <c r="K1055" s="149"/>
      <c r="L1055" s="149"/>
      <c r="M1055" s="149"/>
      <c r="N1055" s="149"/>
      <c r="O1055" s="149"/>
      <c r="P1055" s="149"/>
      <c r="Q1055" s="149"/>
      <c r="R1055" s="149"/>
      <c r="S1055" s="149"/>
      <c r="T1055" s="149"/>
      <c r="U1055" s="149"/>
      <c r="V1055" s="149"/>
      <c r="W1055" s="149"/>
      <c r="X1055" s="149"/>
      <c r="Y1055" s="149"/>
      <c r="Z1055" s="149"/>
      <c r="AA1055" s="149"/>
      <c r="AB1055" s="149"/>
      <c r="AC1055" s="149"/>
      <c r="AD1055" s="148"/>
      <c r="AE1055" s="148"/>
      <c r="AF1055" s="148"/>
      <c r="DB1055" s="149"/>
    </row>
    <row r="1056" spans="2:106">
      <c r="B1056" s="149"/>
      <c r="C1056" s="149"/>
      <c r="D1056" s="149"/>
      <c r="E1056" s="149"/>
      <c r="F1056" s="149"/>
      <c r="G1056" s="149"/>
      <c r="H1056" s="149"/>
      <c r="I1056" s="149"/>
      <c r="J1056" s="149"/>
      <c r="K1056" s="149"/>
      <c r="L1056" s="149"/>
      <c r="M1056" s="149"/>
      <c r="N1056" s="149"/>
      <c r="O1056" s="149"/>
      <c r="P1056" s="149"/>
      <c r="Q1056" s="149"/>
      <c r="R1056" s="149"/>
      <c r="S1056" s="149"/>
      <c r="T1056" s="149"/>
      <c r="U1056" s="149"/>
      <c r="V1056" s="149"/>
      <c r="W1056" s="149"/>
      <c r="X1056" s="149"/>
      <c r="Y1056" s="149"/>
      <c r="Z1056" s="149"/>
      <c r="AA1056" s="149"/>
      <c r="AB1056" s="149"/>
      <c r="AC1056" s="149"/>
      <c r="AD1056" s="148"/>
      <c r="AE1056" s="148"/>
      <c r="AF1056" s="148"/>
      <c r="DB1056" s="149"/>
    </row>
    <row r="1057" spans="2:106">
      <c r="B1057" s="149"/>
      <c r="C1057" s="149"/>
      <c r="D1057" s="149"/>
      <c r="E1057" s="149"/>
      <c r="F1057" s="149"/>
      <c r="G1057" s="149"/>
      <c r="H1057" s="149"/>
      <c r="I1057" s="149"/>
      <c r="J1057" s="149"/>
      <c r="K1057" s="149"/>
      <c r="L1057" s="149"/>
      <c r="M1057" s="149"/>
      <c r="N1057" s="149"/>
      <c r="O1057" s="149"/>
      <c r="P1057" s="149"/>
      <c r="Q1057" s="149"/>
      <c r="R1057" s="149"/>
      <c r="S1057" s="149"/>
      <c r="T1057" s="149"/>
      <c r="U1057" s="149"/>
      <c r="V1057" s="149"/>
      <c r="W1057" s="149"/>
      <c r="X1057" s="149"/>
      <c r="Y1057" s="149"/>
      <c r="Z1057" s="149"/>
      <c r="AA1057" s="149"/>
      <c r="AB1057" s="149"/>
      <c r="AC1057" s="149"/>
      <c r="AD1057" s="148"/>
      <c r="AE1057" s="148"/>
      <c r="AF1057" s="148"/>
      <c r="DB1057" s="149"/>
    </row>
    <row r="1058" spans="2:106">
      <c r="B1058" s="149"/>
      <c r="C1058" s="149"/>
      <c r="D1058" s="149"/>
      <c r="E1058" s="149"/>
      <c r="F1058" s="149"/>
      <c r="G1058" s="149"/>
      <c r="H1058" s="149"/>
      <c r="I1058" s="149"/>
      <c r="J1058" s="149"/>
      <c r="K1058" s="149"/>
      <c r="L1058" s="149"/>
      <c r="M1058" s="149"/>
      <c r="N1058" s="149"/>
      <c r="O1058" s="149"/>
      <c r="P1058" s="149"/>
      <c r="Q1058" s="149"/>
      <c r="R1058" s="149"/>
      <c r="S1058" s="149"/>
      <c r="T1058" s="149"/>
      <c r="U1058" s="149"/>
      <c r="V1058" s="149"/>
      <c r="W1058" s="149"/>
      <c r="X1058" s="149"/>
      <c r="Y1058" s="149"/>
      <c r="Z1058" s="149"/>
      <c r="AA1058" s="149"/>
      <c r="AB1058" s="149"/>
      <c r="AC1058" s="149"/>
      <c r="AD1058" s="148"/>
      <c r="AE1058" s="148"/>
      <c r="AF1058" s="148"/>
      <c r="DB1058" s="149"/>
    </row>
    <row r="1059" spans="2:106">
      <c r="B1059" s="149"/>
      <c r="C1059" s="149"/>
      <c r="D1059" s="149"/>
      <c r="E1059" s="149"/>
      <c r="F1059" s="149"/>
      <c r="G1059" s="149"/>
      <c r="H1059" s="149"/>
      <c r="I1059" s="149"/>
      <c r="J1059" s="149"/>
      <c r="K1059" s="149"/>
      <c r="L1059" s="149"/>
      <c r="M1059" s="149"/>
      <c r="N1059" s="149"/>
      <c r="O1059" s="149"/>
      <c r="P1059" s="149"/>
      <c r="Q1059" s="149"/>
      <c r="R1059" s="149"/>
      <c r="S1059" s="149"/>
      <c r="T1059" s="149"/>
      <c r="U1059" s="149"/>
      <c r="V1059" s="149"/>
      <c r="W1059" s="149"/>
      <c r="X1059" s="149"/>
      <c r="Y1059" s="149"/>
      <c r="Z1059" s="149"/>
      <c r="AA1059" s="149"/>
      <c r="AB1059" s="149"/>
      <c r="AC1059" s="149"/>
      <c r="AD1059" s="148"/>
      <c r="AE1059" s="148"/>
      <c r="AF1059" s="148"/>
      <c r="DB1059" s="149"/>
    </row>
    <row r="1060" spans="2:106">
      <c r="B1060" s="149"/>
      <c r="C1060" s="149"/>
      <c r="D1060" s="149"/>
      <c r="E1060" s="149"/>
      <c r="F1060" s="149"/>
      <c r="G1060" s="149"/>
      <c r="H1060" s="149"/>
      <c r="I1060" s="149"/>
      <c r="J1060" s="149"/>
      <c r="K1060" s="149"/>
      <c r="L1060" s="149"/>
      <c r="M1060" s="149"/>
      <c r="N1060" s="149"/>
      <c r="O1060" s="149"/>
      <c r="P1060" s="149"/>
      <c r="Q1060" s="149"/>
      <c r="R1060" s="149"/>
      <c r="S1060" s="149"/>
      <c r="T1060" s="149"/>
      <c r="U1060" s="149"/>
      <c r="V1060" s="149"/>
      <c r="W1060" s="149"/>
      <c r="X1060" s="149"/>
      <c r="Y1060" s="149"/>
      <c r="Z1060" s="149"/>
      <c r="AA1060" s="149"/>
      <c r="AB1060" s="149"/>
      <c r="AC1060" s="149"/>
      <c r="AD1060" s="148"/>
      <c r="AE1060" s="148"/>
      <c r="AF1060" s="148"/>
      <c r="DB1060" s="149"/>
    </row>
    <row r="1061" spans="2:106">
      <c r="B1061" s="149"/>
      <c r="C1061" s="149"/>
      <c r="D1061" s="149"/>
      <c r="E1061" s="149"/>
      <c r="F1061" s="149"/>
      <c r="G1061" s="149"/>
      <c r="H1061" s="149"/>
      <c r="I1061" s="149"/>
      <c r="J1061" s="149"/>
      <c r="K1061" s="149"/>
      <c r="L1061" s="149"/>
      <c r="M1061" s="149"/>
      <c r="N1061" s="149"/>
      <c r="O1061" s="149"/>
      <c r="P1061" s="149"/>
      <c r="Q1061" s="149"/>
      <c r="R1061" s="149"/>
      <c r="S1061" s="149"/>
      <c r="T1061" s="149"/>
      <c r="U1061" s="149"/>
      <c r="V1061" s="149"/>
      <c r="W1061" s="149"/>
      <c r="X1061" s="149"/>
      <c r="Y1061" s="149"/>
      <c r="Z1061" s="149"/>
      <c r="AA1061" s="149"/>
      <c r="AB1061" s="149"/>
      <c r="AC1061" s="149"/>
      <c r="AD1061" s="148"/>
      <c r="AE1061" s="148"/>
      <c r="AF1061" s="148"/>
      <c r="DB1061" s="149"/>
    </row>
    <row r="1062" spans="2:106">
      <c r="B1062" s="149"/>
      <c r="C1062" s="149"/>
      <c r="D1062" s="149"/>
      <c r="E1062" s="149"/>
      <c r="F1062" s="149"/>
      <c r="G1062" s="149"/>
      <c r="H1062" s="149"/>
      <c r="I1062" s="149"/>
      <c r="J1062" s="149"/>
      <c r="K1062" s="149"/>
      <c r="L1062" s="149"/>
      <c r="M1062" s="149"/>
      <c r="N1062" s="149"/>
      <c r="O1062" s="149"/>
      <c r="P1062" s="149"/>
      <c r="Q1062" s="149"/>
      <c r="R1062" s="149"/>
      <c r="S1062" s="149"/>
      <c r="T1062" s="149"/>
      <c r="U1062" s="149"/>
      <c r="V1062" s="149"/>
      <c r="W1062" s="149"/>
      <c r="X1062" s="149"/>
      <c r="Y1062" s="149"/>
      <c r="Z1062" s="149"/>
      <c r="AA1062" s="149"/>
      <c r="AB1062" s="149"/>
      <c r="AC1062" s="149"/>
      <c r="AD1062" s="148"/>
      <c r="AE1062" s="148"/>
      <c r="AF1062" s="148"/>
      <c r="DB1062" s="149"/>
    </row>
    <row r="1063" spans="2:106">
      <c r="B1063" s="149"/>
      <c r="C1063" s="149"/>
      <c r="D1063" s="149"/>
      <c r="E1063" s="149"/>
      <c r="F1063" s="149"/>
      <c r="G1063" s="149"/>
      <c r="H1063" s="149"/>
      <c r="I1063" s="149"/>
      <c r="J1063" s="149"/>
      <c r="K1063" s="149"/>
      <c r="L1063" s="149"/>
      <c r="M1063" s="149"/>
      <c r="N1063" s="149"/>
      <c r="O1063" s="149"/>
      <c r="P1063" s="149"/>
      <c r="Q1063" s="149"/>
      <c r="R1063" s="149"/>
      <c r="S1063" s="149"/>
      <c r="T1063" s="149"/>
      <c r="U1063" s="149"/>
      <c r="V1063" s="149"/>
      <c r="W1063" s="149"/>
      <c r="X1063" s="149"/>
      <c r="Y1063" s="149"/>
      <c r="Z1063" s="149"/>
      <c r="AA1063" s="149"/>
      <c r="AB1063" s="149"/>
      <c r="AC1063" s="149"/>
      <c r="AD1063" s="148"/>
      <c r="AE1063" s="148"/>
      <c r="AF1063" s="148"/>
      <c r="DB1063" s="149"/>
    </row>
    <row r="1064" spans="2:106">
      <c r="B1064" s="149"/>
      <c r="C1064" s="149"/>
      <c r="D1064" s="149"/>
      <c r="E1064" s="149"/>
      <c r="F1064" s="149"/>
      <c r="G1064" s="149"/>
      <c r="H1064" s="149"/>
      <c r="I1064" s="149"/>
      <c r="J1064" s="149"/>
      <c r="K1064" s="149"/>
      <c r="L1064" s="149"/>
      <c r="M1064" s="149"/>
      <c r="N1064" s="149"/>
      <c r="O1064" s="149"/>
      <c r="P1064" s="149"/>
      <c r="Q1064" s="149"/>
      <c r="R1064" s="149"/>
      <c r="S1064" s="149"/>
      <c r="T1064" s="149"/>
      <c r="U1064" s="149"/>
      <c r="V1064" s="149"/>
      <c r="W1064" s="149"/>
      <c r="X1064" s="149"/>
      <c r="Y1064" s="149"/>
      <c r="Z1064" s="149"/>
      <c r="AA1064" s="149"/>
      <c r="AB1064" s="149"/>
      <c r="AC1064" s="149"/>
      <c r="AD1064" s="148"/>
      <c r="AE1064" s="148"/>
      <c r="AF1064" s="148"/>
      <c r="DB1064" s="149"/>
    </row>
    <row r="1065" spans="2:106">
      <c r="B1065" s="149"/>
      <c r="C1065" s="149"/>
      <c r="D1065" s="149"/>
      <c r="E1065" s="149"/>
      <c r="F1065" s="149"/>
      <c r="G1065" s="149"/>
      <c r="H1065" s="149"/>
      <c r="I1065" s="149"/>
      <c r="J1065" s="149"/>
      <c r="K1065" s="149"/>
      <c r="L1065" s="149"/>
      <c r="M1065" s="149"/>
      <c r="N1065" s="149"/>
      <c r="O1065" s="149"/>
      <c r="P1065" s="149"/>
      <c r="Q1065" s="149"/>
      <c r="R1065" s="149"/>
      <c r="S1065" s="149"/>
      <c r="T1065" s="149"/>
      <c r="U1065" s="149"/>
      <c r="V1065" s="149"/>
      <c r="W1065" s="149"/>
      <c r="X1065" s="149"/>
      <c r="Y1065" s="149"/>
      <c r="Z1065" s="149"/>
      <c r="AA1065" s="149"/>
      <c r="AB1065" s="149"/>
      <c r="AC1065" s="149"/>
      <c r="AD1065" s="148"/>
      <c r="AE1065" s="148"/>
      <c r="AF1065" s="148"/>
      <c r="DB1065" s="149"/>
    </row>
    <row r="1066" spans="2:106">
      <c r="B1066" s="149"/>
      <c r="C1066" s="149"/>
      <c r="D1066" s="149"/>
      <c r="E1066" s="149"/>
      <c r="F1066" s="149"/>
      <c r="G1066" s="149"/>
      <c r="H1066" s="149"/>
      <c r="I1066" s="149"/>
      <c r="J1066" s="149"/>
      <c r="K1066" s="149"/>
      <c r="L1066" s="149"/>
      <c r="M1066" s="149"/>
      <c r="N1066" s="149"/>
      <c r="O1066" s="149"/>
      <c r="P1066" s="149"/>
      <c r="Q1066" s="149"/>
      <c r="R1066" s="149"/>
      <c r="S1066" s="149"/>
      <c r="T1066" s="149"/>
      <c r="U1066" s="149"/>
      <c r="V1066" s="149"/>
      <c r="W1066" s="149"/>
      <c r="X1066" s="149"/>
      <c r="Y1066" s="149"/>
      <c r="Z1066" s="149"/>
      <c r="AA1066" s="149"/>
      <c r="AB1066" s="149"/>
      <c r="AC1066" s="149"/>
      <c r="AD1066" s="148"/>
      <c r="AE1066" s="148"/>
      <c r="AF1066" s="148"/>
      <c r="DB1066" s="149"/>
    </row>
    <row r="1067" spans="2:106">
      <c r="B1067" s="149"/>
      <c r="C1067" s="149"/>
      <c r="D1067" s="149"/>
      <c r="E1067" s="149"/>
      <c r="F1067" s="149"/>
      <c r="G1067" s="149"/>
      <c r="H1067" s="149"/>
      <c r="I1067" s="149"/>
      <c r="J1067" s="149"/>
      <c r="K1067" s="149"/>
      <c r="L1067" s="149"/>
      <c r="M1067" s="149"/>
      <c r="N1067" s="149"/>
      <c r="O1067" s="149"/>
      <c r="P1067" s="149"/>
      <c r="Q1067" s="149"/>
      <c r="R1067" s="149"/>
      <c r="S1067" s="149"/>
      <c r="T1067" s="149"/>
      <c r="U1067" s="149"/>
      <c r="V1067" s="149"/>
      <c r="W1067" s="149"/>
      <c r="X1067" s="149"/>
      <c r="Y1067" s="149"/>
      <c r="Z1067" s="149"/>
      <c r="AA1067" s="149"/>
      <c r="AB1067" s="149"/>
      <c r="AC1067" s="149"/>
      <c r="AD1067" s="148"/>
      <c r="AE1067" s="148"/>
      <c r="AF1067" s="148"/>
      <c r="DB1067" s="149"/>
    </row>
    <row r="1068" spans="2:106">
      <c r="B1068" s="149"/>
      <c r="C1068" s="149"/>
      <c r="D1068" s="149"/>
      <c r="E1068" s="149"/>
      <c r="F1068" s="149"/>
      <c r="G1068" s="149"/>
      <c r="H1068" s="149"/>
      <c r="I1068" s="149"/>
      <c r="J1068" s="149"/>
      <c r="K1068" s="149"/>
      <c r="L1068" s="149"/>
      <c r="M1068" s="149"/>
      <c r="N1068" s="149"/>
      <c r="O1068" s="149"/>
      <c r="P1068" s="149"/>
      <c r="Q1068" s="149"/>
      <c r="R1068" s="149"/>
      <c r="S1068" s="149"/>
      <c r="T1068" s="149"/>
      <c r="U1068" s="149"/>
      <c r="V1068" s="149"/>
      <c r="W1068" s="149"/>
      <c r="X1068" s="149"/>
      <c r="Y1068" s="149"/>
      <c r="Z1068" s="149"/>
      <c r="AA1068" s="149"/>
      <c r="AB1068" s="149"/>
      <c r="AC1068" s="149"/>
      <c r="AD1068" s="148"/>
      <c r="AE1068" s="148"/>
      <c r="AF1068" s="148"/>
      <c r="DB1068" s="149"/>
    </row>
    <row r="1069" spans="2:106">
      <c r="B1069" s="149"/>
      <c r="C1069" s="149"/>
      <c r="D1069" s="149"/>
      <c r="E1069" s="149"/>
      <c r="F1069" s="149"/>
      <c r="G1069" s="149"/>
      <c r="H1069" s="149"/>
      <c r="I1069" s="149"/>
      <c r="J1069" s="149"/>
      <c r="K1069" s="149"/>
      <c r="L1069" s="149"/>
      <c r="M1069" s="149"/>
      <c r="N1069" s="149"/>
      <c r="O1069" s="149"/>
      <c r="P1069" s="149"/>
      <c r="Q1069" s="149"/>
      <c r="R1069" s="149"/>
      <c r="S1069" s="149"/>
      <c r="T1069" s="149"/>
      <c r="U1069" s="149"/>
      <c r="V1069" s="149"/>
      <c r="W1069" s="149"/>
      <c r="X1069" s="149"/>
      <c r="Y1069" s="149"/>
      <c r="Z1069" s="149"/>
      <c r="AA1069" s="149"/>
      <c r="AB1069" s="149"/>
      <c r="AC1069" s="149"/>
      <c r="AD1069" s="148"/>
      <c r="AE1069" s="148"/>
      <c r="AF1069" s="148"/>
      <c r="DB1069" s="149"/>
    </row>
    <row r="1070" spans="2:106">
      <c r="B1070" s="149"/>
      <c r="C1070" s="149"/>
      <c r="D1070" s="149"/>
      <c r="E1070" s="149"/>
      <c r="F1070" s="149"/>
      <c r="G1070" s="149"/>
      <c r="H1070" s="149"/>
      <c r="I1070" s="149"/>
      <c r="J1070" s="149"/>
      <c r="K1070" s="149"/>
      <c r="L1070" s="149"/>
      <c r="M1070" s="149"/>
      <c r="N1070" s="149"/>
      <c r="O1070" s="149"/>
      <c r="P1070" s="149"/>
      <c r="Q1070" s="149"/>
      <c r="R1070" s="149"/>
      <c r="S1070" s="149"/>
      <c r="T1070" s="149"/>
      <c r="U1070" s="149"/>
      <c r="V1070" s="149"/>
      <c r="W1070" s="149"/>
      <c r="X1070" s="149"/>
      <c r="Y1070" s="149"/>
      <c r="Z1070" s="149"/>
      <c r="AA1070" s="149"/>
      <c r="AB1070" s="149"/>
      <c r="AC1070" s="149"/>
      <c r="AD1070" s="148"/>
      <c r="AE1070" s="148"/>
      <c r="AF1070" s="148"/>
      <c r="DB1070" s="149"/>
    </row>
    <row r="1071" spans="2:106">
      <c r="B1071" s="149"/>
      <c r="C1071" s="149"/>
      <c r="D1071" s="149"/>
      <c r="E1071" s="149"/>
      <c r="F1071" s="149"/>
      <c r="G1071" s="149"/>
      <c r="H1071" s="149"/>
      <c r="I1071" s="149"/>
      <c r="J1071" s="149"/>
      <c r="K1071" s="149"/>
      <c r="L1071" s="149"/>
      <c r="M1071" s="149"/>
      <c r="N1071" s="149"/>
      <c r="O1071" s="149"/>
      <c r="P1071" s="149"/>
      <c r="Q1071" s="149"/>
      <c r="R1071" s="149"/>
      <c r="S1071" s="149"/>
      <c r="T1071" s="149"/>
      <c r="U1071" s="149"/>
      <c r="V1071" s="149"/>
      <c r="W1071" s="149"/>
      <c r="X1071" s="149"/>
      <c r="Y1071" s="149"/>
      <c r="Z1071" s="149"/>
      <c r="AA1071" s="149"/>
      <c r="AB1071" s="149"/>
      <c r="AC1071" s="149"/>
      <c r="AD1071" s="148"/>
      <c r="AE1071" s="148"/>
      <c r="AF1071" s="148"/>
      <c r="DB1071" s="149"/>
    </row>
    <row r="1072" spans="2:106">
      <c r="B1072" s="149"/>
      <c r="C1072" s="149"/>
      <c r="D1072" s="149"/>
      <c r="E1072" s="149"/>
      <c r="F1072" s="149"/>
      <c r="G1072" s="149"/>
      <c r="H1072" s="149"/>
      <c r="I1072" s="149"/>
      <c r="J1072" s="149"/>
      <c r="K1072" s="149"/>
      <c r="L1072" s="149"/>
      <c r="M1072" s="149"/>
      <c r="N1072" s="149"/>
      <c r="O1072" s="149"/>
      <c r="P1072" s="149"/>
      <c r="Q1072" s="149"/>
      <c r="R1072" s="149"/>
      <c r="S1072" s="149"/>
      <c r="T1072" s="149"/>
      <c r="U1072" s="149"/>
      <c r="V1072" s="149"/>
      <c r="W1072" s="149"/>
      <c r="X1072" s="149"/>
      <c r="Y1072" s="149"/>
      <c r="Z1072" s="149"/>
      <c r="AA1072" s="149"/>
      <c r="AB1072" s="149"/>
      <c r="AC1072" s="149"/>
      <c r="AD1072" s="148"/>
      <c r="AE1072" s="148"/>
      <c r="AF1072" s="148"/>
      <c r="DB1072" s="149"/>
    </row>
    <row r="1073" spans="2:106">
      <c r="B1073" s="149"/>
      <c r="C1073" s="149"/>
      <c r="D1073" s="149"/>
      <c r="E1073" s="149"/>
      <c r="F1073" s="149"/>
      <c r="G1073" s="149"/>
      <c r="H1073" s="149"/>
      <c r="I1073" s="149"/>
      <c r="J1073" s="149"/>
      <c r="K1073" s="149"/>
      <c r="L1073" s="149"/>
      <c r="M1073" s="149"/>
      <c r="N1073" s="149"/>
      <c r="O1073" s="149"/>
      <c r="P1073" s="149"/>
      <c r="Q1073" s="149"/>
      <c r="R1073" s="149"/>
      <c r="S1073" s="149"/>
      <c r="T1073" s="149"/>
      <c r="U1073" s="149"/>
      <c r="V1073" s="149"/>
      <c r="W1073" s="149"/>
      <c r="X1073" s="149"/>
      <c r="Y1073" s="149"/>
      <c r="Z1073" s="149"/>
      <c r="AA1073" s="149"/>
      <c r="AB1073" s="149"/>
      <c r="AC1073" s="149"/>
      <c r="AD1073" s="148"/>
      <c r="AE1073" s="148"/>
      <c r="AF1073" s="148"/>
      <c r="DB1073" s="149"/>
    </row>
    <row r="1074" spans="2:106">
      <c r="B1074" s="149"/>
      <c r="C1074" s="149"/>
      <c r="D1074" s="149"/>
      <c r="E1074" s="149"/>
      <c r="F1074" s="149"/>
      <c r="G1074" s="149"/>
      <c r="H1074" s="149"/>
      <c r="I1074" s="149"/>
      <c r="J1074" s="149"/>
      <c r="K1074" s="149"/>
      <c r="L1074" s="149"/>
      <c r="M1074" s="149"/>
      <c r="N1074" s="149"/>
      <c r="O1074" s="149"/>
      <c r="P1074" s="149"/>
      <c r="Q1074" s="149"/>
      <c r="R1074" s="149"/>
      <c r="S1074" s="149"/>
      <c r="T1074" s="149"/>
      <c r="U1074" s="149"/>
      <c r="V1074" s="149"/>
      <c r="W1074" s="149"/>
      <c r="X1074" s="149"/>
      <c r="Y1074" s="149"/>
      <c r="Z1074" s="149"/>
      <c r="AA1074" s="149"/>
      <c r="AB1074" s="149"/>
      <c r="AC1074" s="149"/>
      <c r="AD1074" s="148"/>
      <c r="AE1074" s="148"/>
      <c r="AF1074" s="148"/>
      <c r="DB1074" s="149"/>
    </row>
    <row r="1075" spans="2:106">
      <c r="B1075" s="149"/>
      <c r="C1075" s="149"/>
      <c r="D1075" s="149"/>
      <c r="E1075" s="149"/>
      <c r="F1075" s="149"/>
      <c r="G1075" s="149"/>
      <c r="H1075" s="149"/>
      <c r="I1075" s="149"/>
      <c r="J1075" s="149"/>
      <c r="K1075" s="149"/>
      <c r="L1075" s="149"/>
      <c r="M1075" s="149"/>
      <c r="N1075" s="149"/>
      <c r="O1075" s="149"/>
      <c r="P1075" s="149"/>
      <c r="Q1075" s="149"/>
      <c r="R1075" s="149"/>
      <c r="S1075" s="149"/>
      <c r="T1075" s="149"/>
      <c r="U1075" s="149"/>
      <c r="V1075" s="149"/>
      <c r="W1075" s="149"/>
      <c r="X1075" s="149"/>
      <c r="Y1075" s="149"/>
      <c r="Z1075" s="149"/>
      <c r="AA1075" s="149"/>
      <c r="AB1075" s="149"/>
      <c r="AC1075" s="149"/>
      <c r="AD1075" s="148"/>
      <c r="AE1075" s="148"/>
      <c r="AF1075" s="148"/>
      <c r="DB1075" s="149"/>
    </row>
    <row r="1076" spans="2:106">
      <c r="B1076" s="149"/>
      <c r="C1076" s="149"/>
      <c r="D1076" s="149"/>
      <c r="E1076" s="149"/>
      <c r="F1076" s="149"/>
      <c r="G1076" s="149"/>
      <c r="H1076" s="149"/>
      <c r="I1076" s="149"/>
      <c r="J1076" s="149"/>
      <c r="K1076" s="149"/>
      <c r="L1076" s="149"/>
      <c r="M1076" s="149"/>
      <c r="N1076" s="149"/>
      <c r="O1076" s="149"/>
      <c r="P1076" s="149"/>
      <c r="Q1076" s="149"/>
      <c r="R1076" s="149"/>
      <c r="S1076" s="149"/>
      <c r="T1076" s="149"/>
      <c r="U1076" s="149"/>
      <c r="V1076" s="149"/>
      <c r="W1076" s="149"/>
      <c r="X1076" s="149"/>
      <c r="Y1076" s="149"/>
      <c r="Z1076" s="149"/>
      <c r="AA1076" s="149"/>
      <c r="AB1076" s="149"/>
      <c r="AC1076" s="149"/>
      <c r="AD1076" s="148"/>
      <c r="AE1076" s="148"/>
      <c r="AF1076" s="148"/>
      <c r="DB1076" s="149"/>
    </row>
    <row r="1077" spans="2:106">
      <c r="B1077" s="149"/>
      <c r="C1077" s="149"/>
      <c r="D1077" s="149"/>
      <c r="E1077" s="149"/>
      <c r="F1077" s="149"/>
      <c r="G1077" s="149"/>
      <c r="H1077" s="149"/>
      <c r="I1077" s="149"/>
      <c r="J1077" s="149"/>
      <c r="K1077" s="149"/>
      <c r="L1077" s="149"/>
      <c r="M1077" s="149"/>
      <c r="N1077" s="149"/>
      <c r="O1077" s="149"/>
      <c r="P1077" s="149"/>
      <c r="Q1077" s="149"/>
      <c r="R1077" s="149"/>
      <c r="S1077" s="149"/>
      <c r="T1077" s="149"/>
      <c r="U1077" s="149"/>
      <c r="V1077" s="149"/>
      <c r="W1077" s="149"/>
      <c r="X1077" s="149"/>
      <c r="Y1077" s="149"/>
      <c r="Z1077" s="149"/>
      <c r="AA1077" s="149"/>
      <c r="AB1077" s="149"/>
      <c r="AC1077" s="149"/>
      <c r="AD1077" s="148"/>
      <c r="AE1077" s="148"/>
      <c r="AF1077" s="148"/>
      <c r="DB1077" s="149"/>
    </row>
    <row r="1078" spans="2:106">
      <c r="B1078" s="149"/>
      <c r="C1078" s="149"/>
      <c r="D1078" s="149"/>
      <c r="E1078" s="149"/>
      <c r="F1078" s="149"/>
      <c r="G1078" s="149"/>
      <c r="H1078" s="149"/>
      <c r="I1078" s="149"/>
      <c r="J1078" s="149"/>
      <c r="K1078" s="149"/>
      <c r="L1078" s="149"/>
      <c r="M1078" s="149"/>
      <c r="N1078" s="149"/>
      <c r="O1078" s="149"/>
      <c r="P1078" s="149"/>
      <c r="Q1078" s="149"/>
      <c r="R1078" s="149"/>
      <c r="S1078" s="149"/>
      <c r="T1078" s="149"/>
      <c r="U1078" s="149"/>
      <c r="V1078" s="149"/>
      <c r="W1078" s="149"/>
      <c r="X1078" s="149"/>
      <c r="Y1078" s="149"/>
      <c r="Z1078" s="149"/>
      <c r="AA1078" s="149"/>
      <c r="AB1078" s="149"/>
      <c r="AC1078" s="149"/>
      <c r="AD1078" s="148"/>
      <c r="AE1078" s="148"/>
      <c r="AF1078" s="148"/>
      <c r="DB1078" s="149"/>
    </row>
    <row r="1079" spans="2:106">
      <c r="B1079" s="149"/>
      <c r="C1079" s="149"/>
      <c r="D1079" s="149"/>
      <c r="E1079" s="149"/>
      <c r="F1079" s="149"/>
      <c r="G1079" s="149"/>
      <c r="H1079" s="149"/>
      <c r="I1079" s="149"/>
      <c r="J1079" s="149"/>
      <c r="K1079" s="149"/>
      <c r="L1079" s="149"/>
      <c r="M1079" s="149"/>
      <c r="N1079" s="149"/>
      <c r="O1079" s="149"/>
      <c r="P1079" s="149"/>
      <c r="Q1079" s="149"/>
      <c r="R1079" s="149"/>
      <c r="S1079" s="149"/>
      <c r="T1079" s="149"/>
      <c r="U1079" s="149"/>
      <c r="V1079" s="149"/>
      <c r="W1079" s="149"/>
      <c r="X1079" s="149"/>
      <c r="Y1079" s="149"/>
      <c r="Z1079" s="149"/>
      <c r="AA1079" s="149"/>
      <c r="AB1079" s="149"/>
      <c r="AC1079" s="149"/>
      <c r="AD1079" s="148"/>
      <c r="AE1079" s="148"/>
      <c r="AF1079" s="148"/>
      <c r="DB1079" s="149"/>
    </row>
    <row r="1080" spans="2:106">
      <c r="B1080" s="149"/>
      <c r="C1080" s="149"/>
      <c r="D1080" s="149"/>
      <c r="E1080" s="149"/>
      <c r="F1080" s="149"/>
      <c r="G1080" s="149"/>
      <c r="H1080" s="149"/>
      <c r="I1080" s="149"/>
      <c r="J1080" s="149"/>
      <c r="K1080" s="149"/>
      <c r="L1080" s="149"/>
      <c r="M1080" s="149"/>
      <c r="N1080" s="149"/>
      <c r="O1080" s="149"/>
      <c r="P1080" s="149"/>
      <c r="Q1080" s="149"/>
      <c r="R1080" s="149"/>
      <c r="S1080" s="149"/>
      <c r="T1080" s="149"/>
      <c r="U1080" s="149"/>
      <c r="V1080" s="149"/>
      <c r="W1080" s="149"/>
      <c r="X1080" s="149"/>
      <c r="Y1080" s="149"/>
      <c r="Z1080" s="149"/>
      <c r="AA1080" s="149"/>
      <c r="AB1080" s="149"/>
      <c r="AC1080" s="149"/>
      <c r="AD1080" s="148"/>
      <c r="AE1080" s="148"/>
      <c r="AF1080" s="148"/>
      <c r="DB1080" s="149"/>
    </row>
    <row r="1081" spans="2:106">
      <c r="B1081" s="149"/>
      <c r="C1081" s="149"/>
      <c r="D1081" s="149"/>
      <c r="E1081" s="149"/>
      <c r="F1081" s="149"/>
      <c r="G1081" s="149"/>
      <c r="H1081" s="149"/>
      <c r="I1081" s="149"/>
      <c r="J1081" s="149"/>
      <c r="K1081" s="149"/>
      <c r="L1081" s="149"/>
      <c r="M1081" s="149"/>
      <c r="N1081" s="149"/>
      <c r="O1081" s="149"/>
      <c r="P1081" s="149"/>
      <c r="Q1081" s="149"/>
      <c r="R1081" s="149"/>
      <c r="S1081" s="149"/>
      <c r="T1081" s="149"/>
      <c r="U1081" s="149"/>
      <c r="V1081" s="149"/>
      <c r="W1081" s="149"/>
      <c r="X1081" s="149"/>
      <c r="Y1081" s="149"/>
      <c r="Z1081" s="149"/>
      <c r="AA1081" s="149"/>
      <c r="AB1081" s="149"/>
      <c r="AC1081" s="149"/>
      <c r="AD1081" s="148"/>
      <c r="AE1081" s="148"/>
      <c r="AF1081" s="148"/>
      <c r="DB1081" s="149"/>
    </row>
    <row r="1082" spans="2:106">
      <c r="B1082" s="149"/>
      <c r="C1082" s="149"/>
      <c r="D1082" s="149"/>
      <c r="E1082" s="149"/>
      <c r="F1082" s="149"/>
      <c r="G1082" s="149"/>
      <c r="H1082" s="149"/>
      <c r="I1082" s="149"/>
      <c r="J1082" s="149"/>
      <c r="K1082" s="149"/>
      <c r="L1082" s="149"/>
      <c r="M1082" s="149"/>
      <c r="N1082" s="149"/>
      <c r="O1082" s="149"/>
      <c r="P1082" s="149"/>
      <c r="Q1082" s="149"/>
      <c r="R1082" s="149"/>
      <c r="S1082" s="149"/>
      <c r="T1082" s="149"/>
      <c r="U1082" s="149"/>
      <c r="V1082" s="149"/>
      <c r="W1082" s="149"/>
      <c r="X1082" s="149"/>
      <c r="Y1082" s="149"/>
      <c r="Z1082" s="149"/>
      <c r="AA1082" s="149"/>
      <c r="AB1082" s="149"/>
      <c r="AC1082" s="149"/>
      <c r="AD1082" s="148"/>
      <c r="AE1082" s="148"/>
      <c r="AF1082" s="148"/>
      <c r="DB1082" s="149"/>
    </row>
    <row r="1083" spans="2:106">
      <c r="B1083" s="149"/>
      <c r="C1083" s="149"/>
      <c r="D1083" s="149"/>
      <c r="E1083" s="149"/>
      <c r="F1083" s="149"/>
      <c r="G1083" s="149"/>
      <c r="H1083" s="149"/>
      <c r="I1083" s="149"/>
      <c r="J1083" s="149"/>
      <c r="K1083" s="149"/>
      <c r="L1083" s="149"/>
      <c r="M1083" s="149"/>
      <c r="N1083" s="149"/>
      <c r="O1083" s="149"/>
      <c r="P1083" s="149"/>
      <c r="Q1083" s="149"/>
      <c r="R1083" s="149"/>
      <c r="S1083" s="149"/>
      <c r="T1083" s="149"/>
      <c r="U1083" s="149"/>
      <c r="V1083" s="149"/>
      <c r="W1083" s="149"/>
      <c r="X1083" s="149"/>
      <c r="Y1083" s="149"/>
      <c r="Z1083" s="149"/>
      <c r="AA1083" s="149"/>
      <c r="AB1083" s="149"/>
      <c r="AC1083" s="149"/>
      <c r="AD1083" s="148"/>
      <c r="AE1083" s="148"/>
      <c r="AF1083" s="148"/>
      <c r="DB1083" s="149"/>
    </row>
    <row r="1084" spans="2:106">
      <c r="B1084" s="149"/>
      <c r="C1084" s="149"/>
      <c r="D1084" s="149"/>
      <c r="E1084" s="149"/>
      <c r="F1084" s="149"/>
      <c r="G1084" s="149"/>
      <c r="H1084" s="149"/>
      <c r="I1084" s="149"/>
      <c r="J1084" s="149"/>
      <c r="K1084" s="149"/>
      <c r="L1084" s="149"/>
      <c r="M1084" s="149"/>
      <c r="N1084" s="149"/>
      <c r="O1084" s="149"/>
      <c r="P1084" s="149"/>
      <c r="Q1084" s="149"/>
      <c r="R1084" s="149"/>
      <c r="S1084" s="149"/>
      <c r="T1084" s="149"/>
      <c r="U1084" s="149"/>
      <c r="V1084" s="149"/>
      <c r="W1084" s="149"/>
      <c r="X1084" s="149"/>
      <c r="Y1084" s="149"/>
      <c r="Z1084" s="149"/>
      <c r="AA1084" s="149"/>
      <c r="AB1084" s="149"/>
      <c r="AC1084" s="149"/>
      <c r="AD1084" s="148"/>
      <c r="AE1084" s="148"/>
      <c r="AF1084" s="148"/>
      <c r="DB1084" s="149"/>
    </row>
    <row r="1085" spans="2:106">
      <c r="B1085" s="149"/>
      <c r="C1085" s="149"/>
      <c r="D1085" s="149"/>
      <c r="E1085" s="149"/>
      <c r="F1085" s="149"/>
      <c r="G1085" s="149"/>
      <c r="H1085" s="149"/>
      <c r="I1085" s="149"/>
      <c r="J1085" s="149"/>
      <c r="K1085" s="149"/>
      <c r="L1085" s="149"/>
      <c r="M1085" s="149"/>
      <c r="N1085" s="149"/>
      <c r="O1085" s="149"/>
      <c r="P1085" s="149"/>
      <c r="Q1085" s="149"/>
      <c r="R1085" s="149"/>
      <c r="S1085" s="149"/>
      <c r="T1085" s="149"/>
      <c r="U1085" s="149"/>
      <c r="V1085" s="149"/>
      <c r="W1085" s="149"/>
      <c r="X1085" s="149"/>
      <c r="Y1085" s="149"/>
      <c r="Z1085" s="149"/>
      <c r="AA1085" s="149"/>
      <c r="AB1085" s="149"/>
      <c r="AC1085" s="149"/>
      <c r="AD1085" s="148"/>
      <c r="AE1085" s="148"/>
      <c r="AF1085" s="148"/>
      <c r="DB1085" s="149"/>
    </row>
    <row r="1086" spans="2:106">
      <c r="B1086" s="149"/>
      <c r="C1086" s="149"/>
      <c r="D1086" s="149"/>
      <c r="E1086" s="149"/>
      <c r="F1086" s="149"/>
      <c r="G1086" s="149"/>
      <c r="H1086" s="149"/>
      <c r="I1086" s="149"/>
      <c r="J1086" s="149"/>
      <c r="K1086" s="149"/>
      <c r="L1086" s="149"/>
      <c r="M1086" s="149"/>
      <c r="N1086" s="149"/>
      <c r="O1086" s="149"/>
      <c r="P1086" s="149"/>
      <c r="Q1086" s="149"/>
      <c r="R1086" s="149"/>
      <c r="S1086" s="149"/>
      <c r="T1086" s="149"/>
      <c r="U1086" s="149"/>
      <c r="V1086" s="149"/>
      <c r="W1086" s="149"/>
      <c r="X1086" s="149"/>
      <c r="Y1086" s="149"/>
      <c r="Z1086" s="149"/>
      <c r="AA1086" s="149"/>
      <c r="AB1086" s="149"/>
      <c r="AC1086" s="149"/>
      <c r="AD1086" s="148"/>
      <c r="AE1086" s="148"/>
      <c r="AF1086" s="148"/>
      <c r="DB1086" s="149"/>
    </row>
    <row r="1087" spans="2:106">
      <c r="B1087" s="149"/>
      <c r="C1087" s="149"/>
      <c r="D1087" s="149"/>
      <c r="E1087" s="149"/>
      <c r="F1087" s="149"/>
      <c r="G1087" s="149"/>
      <c r="H1087" s="149"/>
      <c r="I1087" s="149"/>
      <c r="J1087" s="149"/>
      <c r="K1087" s="149"/>
      <c r="L1087" s="149"/>
      <c r="M1087" s="149"/>
      <c r="N1087" s="149"/>
      <c r="O1087" s="149"/>
      <c r="P1087" s="149"/>
      <c r="Q1087" s="149"/>
      <c r="R1087" s="149"/>
      <c r="S1087" s="149"/>
      <c r="T1087" s="149"/>
      <c r="U1087" s="149"/>
      <c r="V1087" s="149"/>
      <c r="W1087" s="149"/>
      <c r="X1087" s="149"/>
      <c r="Y1087" s="149"/>
      <c r="Z1087" s="149"/>
      <c r="AA1087" s="149"/>
      <c r="AB1087" s="149"/>
      <c r="AC1087" s="149"/>
      <c r="AD1087" s="148"/>
      <c r="AE1087" s="148"/>
      <c r="AF1087" s="148"/>
      <c r="DB1087" s="149"/>
    </row>
    <row r="1088" spans="2:106">
      <c r="B1088" s="149"/>
      <c r="C1088" s="149"/>
      <c r="D1088" s="149"/>
      <c r="E1088" s="149"/>
      <c r="F1088" s="149"/>
      <c r="G1088" s="149"/>
      <c r="H1088" s="149"/>
      <c r="I1088" s="149"/>
      <c r="J1088" s="149"/>
      <c r="K1088" s="149"/>
      <c r="L1088" s="149"/>
      <c r="M1088" s="149"/>
      <c r="N1088" s="149"/>
      <c r="O1088" s="149"/>
      <c r="P1088" s="149"/>
      <c r="Q1088" s="149"/>
      <c r="R1088" s="149"/>
      <c r="S1088" s="149"/>
      <c r="T1088" s="149"/>
      <c r="U1088" s="149"/>
      <c r="V1088" s="149"/>
      <c r="W1088" s="149"/>
      <c r="X1088" s="149"/>
      <c r="Y1088" s="149"/>
      <c r="Z1088" s="149"/>
      <c r="AA1088" s="149"/>
      <c r="AB1088" s="149"/>
      <c r="AC1088" s="149"/>
      <c r="AD1088" s="148"/>
      <c r="AE1088" s="148"/>
      <c r="AF1088" s="148"/>
      <c r="DB1088" s="149"/>
    </row>
    <row r="1089" spans="2:106">
      <c r="B1089" s="149"/>
      <c r="C1089" s="149"/>
      <c r="D1089" s="149"/>
      <c r="E1089" s="149"/>
      <c r="F1089" s="149"/>
      <c r="G1089" s="149"/>
      <c r="H1089" s="149"/>
      <c r="I1089" s="149"/>
      <c r="J1089" s="149"/>
      <c r="K1089" s="149"/>
      <c r="L1089" s="149"/>
      <c r="M1089" s="149"/>
      <c r="N1089" s="149"/>
      <c r="O1089" s="149"/>
      <c r="P1089" s="149"/>
      <c r="Q1089" s="149"/>
      <c r="R1089" s="149"/>
      <c r="S1089" s="149"/>
      <c r="T1089" s="149"/>
      <c r="U1089" s="149"/>
      <c r="V1089" s="149"/>
      <c r="W1089" s="149"/>
      <c r="X1089" s="149"/>
      <c r="Y1089" s="149"/>
      <c r="Z1089" s="149"/>
      <c r="AA1089" s="149"/>
      <c r="AB1089" s="149"/>
      <c r="AC1089" s="149"/>
      <c r="AD1089" s="148"/>
      <c r="AE1089" s="148"/>
      <c r="AF1089" s="148"/>
      <c r="DB1089" s="149"/>
    </row>
    <row r="1090" spans="2:106">
      <c r="B1090" s="149"/>
      <c r="C1090" s="149"/>
      <c r="D1090" s="149"/>
      <c r="E1090" s="149"/>
      <c r="F1090" s="149"/>
      <c r="G1090" s="149"/>
      <c r="H1090" s="149"/>
      <c r="I1090" s="149"/>
      <c r="J1090" s="149"/>
      <c r="K1090" s="149"/>
      <c r="L1090" s="149"/>
      <c r="M1090" s="149"/>
      <c r="N1090" s="149"/>
      <c r="O1090" s="149"/>
      <c r="P1090" s="149"/>
      <c r="Q1090" s="149"/>
      <c r="R1090" s="149"/>
      <c r="S1090" s="149"/>
      <c r="T1090" s="149"/>
      <c r="U1090" s="149"/>
      <c r="V1090" s="149"/>
      <c r="W1090" s="149"/>
      <c r="X1090" s="149"/>
      <c r="Y1090" s="149"/>
      <c r="Z1090" s="149"/>
      <c r="AA1090" s="149"/>
      <c r="AB1090" s="149"/>
      <c r="AC1090" s="149"/>
      <c r="AD1090" s="148"/>
      <c r="AE1090" s="148"/>
      <c r="AF1090" s="148"/>
      <c r="DB1090" s="149"/>
    </row>
    <row r="1091" spans="2:106">
      <c r="B1091" s="149"/>
      <c r="C1091" s="149"/>
      <c r="D1091" s="149"/>
      <c r="E1091" s="149"/>
      <c r="F1091" s="149"/>
      <c r="G1091" s="149"/>
      <c r="H1091" s="149"/>
      <c r="I1091" s="149"/>
      <c r="J1091" s="149"/>
      <c r="K1091" s="149"/>
      <c r="L1091" s="149"/>
      <c r="M1091" s="149"/>
      <c r="N1091" s="149"/>
      <c r="O1091" s="149"/>
      <c r="P1091" s="149"/>
      <c r="Q1091" s="149"/>
      <c r="R1091" s="149"/>
      <c r="S1091" s="149"/>
      <c r="T1091" s="149"/>
      <c r="U1091" s="149"/>
      <c r="V1091" s="149"/>
      <c r="W1091" s="149"/>
      <c r="X1091" s="149"/>
      <c r="Y1091" s="149"/>
      <c r="Z1091" s="149"/>
      <c r="AA1091" s="149"/>
      <c r="AB1091" s="149"/>
      <c r="AC1091" s="149"/>
      <c r="AD1091" s="148"/>
      <c r="AE1091" s="148"/>
      <c r="AF1091" s="148"/>
      <c r="DB1091" s="149"/>
    </row>
    <row r="1092" spans="2:106">
      <c r="B1092" s="149"/>
      <c r="C1092" s="149"/>
      <c r="D1092" s="149"/>
      <c r="E1092" s="149"/>
      <c r="F1092" s="149"/>
      <c r="G1092" s="149"/>
      <c r="H1092" s="149"/>
      <c r="I1092" s="149"/>
      <c r="J1092" s="149"/>
      <c r="K1092" s="149"/>
      <c r="L1092" s="149"/>
      <c r="M1092" s="149"/>
      <c r="N1092" s="149"/>
      <c r="O1092" s="149"/>
      <c r="P1092" s="149"/>
      <c r="Q1092" s="149"/>
      <c r="R1092" s="149"/>
      <c r="S1092" s="149"/>
      <c r="T1092" s="149"/>
      <c r="U1092" s="149"/>
      <c r="V1092" s="149"/>
      <c r="W1092" s="149"/>
      <c r="X1092" s="149"/>
      <c r="Y1092" s="149"/>
      <c r="Z1092" s="149"/>
      <c r="AA1092" s="149"/>
      <c r="AB1092" s="149"/>
      <c r="AC1092" s="149"/>
      <c r="AD1092" s="148"/>
      <c r="AE1092" s="148"/>
      <c r="AF1092" s="148"/>
      <c r="DB1092" s="149"/>
    </row>
    <row r="1093" spans="2:106">
      <c r="B1093" s="149"/>
      <c r="C1093" s="149"/>
      <c r="D1093" s="149"/>
      <c r="E1093" s="149"/>
      <c r="F1093" s="149"/>
      <c r="G1093" s="149"/>
      <c r="H1093" s="149"/>
      <c r="I1093" s="149"/>
      <c r="J1093" s="149"/>
      <c r="K1093" s="149"/>
      <c r="L1093" s="149"/>
      <c r="M1093" s="149"/>
      <c r="N1093" s="149"/>
      <c r="O1093" s="149"/>
      <c r="P1093" s="149"/>
      <c r="Q1093" s="149"/>
      <c r="R1093" s="149"/>
      <c r="S1093" s="149"/>
      <c r="T1093" s="149"/>
      <c r="U1093" s="149"/>
      <c r="V1093" s="149"/>
      <c r="W1093" s="149"/>
      <c r="X1093" s="149"/>
      <c r="Y1093" s="149"/>
      <c r="Z1093" s="149"/>
      <c r="AA1093" s="149"/>
      <c r="AB1093" s="149"/>
      <c r="AC1093" s="149"/>
      <c r="AD1093" s="148"/>
      <c r="AE1093" s="148"/>
      <c r="AF1093" s="148"/>
      <c r="DB1093" s="149"/>
    </row>
    <row r="1094" spans="2:106">
      <c r="B1094" s="149"/>
      <c r="C1094" s="149"/>
      <c r="D1094" s="149"/>
      <c r="E1094" s="149"/>
      <c r="F1094" s="149"/>
      <c r="G1094" s="149"/>
      <c r="H1094" s="149"/>
      <c r="I1094" s="149"/>
      <c r="J1094" s="149"/>
      <c r="K1094" s="149"/>
      <c r="L1094" s="149"/>
      <c r="M1094" s="149"/>
      <c r="N1094" s="149"/>
      <c r="O1094" s="149"/>
      <c r="P1094" s="149"/>
      <c r="Q1094" s="149"/>
      <c r="R1094" s="149"/>
      <c r="S1094" s="149"/>
      <c r="T1094" s="149"/>
      <c r="U1094" s="149"/>
      <c r="V1094" s="149"/>
      <c r="W1094" s="149"/>
      <c r="X1094" s="149"/>
      <c r="Y1094" s="149"/>
      <c r="Z1094" s="149"/>
      <c r="AA1094" s="149"/>
      <c r="AB1094" s="149"/>
      <c r="AC1094" s="149"/>
      <c r="AD1094" s="148"/>
      <c r="AE1094" s="148"/>
      <c r="AF1094" s="148"/>
      <c r="DB1094" s="149"/>
    </row>
    <row r="1095" spans="2:106">
      <c r="B1095" s="149"/>
      <c r="C1095" s="149"/>
      <c r="D1095" s="149"/>
      <c r="E1095" s="149"/>
      <c r="F1095" s="149"/>
      <c r="G1095" s="149"/>
      <c r="H1095" s="149"/>
      <c r="I1095" s="149"/>
      <c r="J1095" s="149"/>
      <c r="K1095" s="149"/>
      <c r="L1095" s="149"/>
      <c r="M1095" s="149"/>
      <c r="N1095" s="149"/>
      <c r="O1095" s="149"/>
      <c r="P1095" s="149"/>
      <c r="Q1095" s="149"/>
      <c r="R1095" s="149"/>
      <c r="S1095" s="149"/>
      <c r="T1095" s="149"/>
      <c r="U1095" s="149"/>
      <c r="V1095" s="149"/>
      <c r="W1095" s="149"/>
      <c r="X1095" s="149"/>
      <c r="Y1095" s="149"/>
      <c r="Z1095" s="149"/>
      <c r="AA1095" s="149"/>
      <c r="AB1095" s="149"/>
      <c r="AC1095" s="149"/>
      <c r="AD1095" s="148"/>
      <c r="AE1095" s="148"/>
      <c r="AF1095" s="148"/>
      <c r="DB1095" s="149"/>
    </row>
    <row r="1096" spans="2:106">
      <c r="B1096" s="149"/>
      <c r="C1096" s="149"/>
      <c r="D1096" s="149"/>
      <c r="E1096" s="149"/>
      <c r="F1096" s="149"/>
      <c r="G1096" s="149"/>
      <c r="H1096" s="149"/>
      <c r="I1096" s="149"/>
      <c r="J1096" s="149"/>
      <c r="K1096" s="149"/>
      <c r="L1096" s="149"/>
      <c r="M1096" s="149"/>
      <c r="N1096" s="149"/>
      <c r="O1096" s="149"/>
      <c r="P1096" s="149"/>
      <c r="Q1096" s="149"/>
      <c r="R1096" s="149"/>
      <c r="S1096" s="149"/>
      <c r="T1096" s="149"/>
      <c r="U1096" s="149"/>
      <c r="V1096" s="149"/>
      <c r="W1096" s="149"/>
      <c r="X1096" s="149"/>
      <c r="Y1096" s="149"/>
      <c r="Z1096" s="149"/>
      <c r="AA1096" s="149"/>
      <c r="AB1096" s="149"/>
      <c r="AC1096" s="149"/>
      <c r="AD1096" s="148"/>
      <c r="AE1096" s="148"/>
      <c r="AF1096" s="148"/>
      <c r="DB1096" s="149"/>
    </row>
    <row r="1097" spans="2:106">
      <c r="B1097" s="149"/>
      <c r="C1097" s="149"/>
      <c r="D1097" s="149"/>
      <c r="E1097" s="149"/>
      <c r="F1097" s="149"/>
      <c r="G1097" s="149"/>
      <c r="H1097" s="149"/>
      <c r="I1097" s="149"/>
      <c r="J1097" s="149"/>
      <c r="K1097" s="149"/>
      <c r="L1097" s="149"/>
      <c r="M1097" s="149"/>
      <c r="N1097" s="149"/>
      <c r="O1097" s="149"/>
      <c r="P1097" s="149"/>
      <c r="Q1097" s="149"/>
      <c r="R1097" s="149"/>
      <c r="S1097" s="149"/>
      <c r="T1097" s="149"/>
      <c r="U1097" s="149"/>
      <c r="V1097" s="149"/>
      <c r="W1097" s="149"/>
      <c r="X1097" s="149"/>
      <c r="Y1097" s="149"/>
      <c r="Z1097" s="149"/>
      <c r="AA1097" s="149"/>
      <c r="AB1097" s="149"/>
      <c r="AC1097" s="149"/>
      <c r="AD1097" s="148"/>
      <c r="AE1097" s="148"/>
      <c r="AF1097" s="148"/>
      <c r="DB1097" s="149"/>
    </row>
    <row r="1098" spans="2:106">
      <c r="B1098" s="149"/>
      <c r="C1098" s="149"/>
      <c r="D1098" s="149"/>
      <c r="E1098" s="149"/>
      <c r="F1098" s="149"/>
      <c r="G1098" s="149"/>
      <c r="H1098" s="149"/>
      <c r="I1098" s="149"/>
      <c r="J1098" s="149"/>
      <c r="K1098" s="149"/>
      <c r="L1098" s="149"/>
      <c r="M1098" s="149"/>
      <c r="N1098" s="149"/>
      <c r="O1098" s="149"/>
      <c r="P1098" s="149"/>
      <c r="Q1098" s="149"/>
      <c r="R1098" s="149"/>
      <c r="S1098" s="149"/>
      <c r="T1098" s="149"/>
      <c r="U1098" s="149"/>
      <c r="V1098" s="149"/>
      <c r="W1098" s="149"/>
      <c r="X1098" s="149"/>
      <c r="Y1098" s="149"/>
      <c r="Z1098" s="149"/>
      <c r="AA1098" s="149"/>
      <c r="AB1098" s="149"/>
      <c r="AC1098" s="149"/>
      <c r="AD1098" s="148"/>
      <c r="AE1098" s="148"/>
      <c r="AF1098" s="148"/>
      <c r="DB1098" s="149"/>
    </row>
    <row r="1099" spans="2:106">
      <c r="B1099" s="149"/>
      <c r="C1099" s="149"/>
      <c r="D1099" s="149"/>
      <c r="E1099" s="149"/>
      <c r="F1099" s="149"/>
      <c r="G1099" s="149"/>
      <c r="H1099" s="149"/>
      <c r="I1099" s="149"/>
      <c r="J1099" s="149"/>
      <c r="K1099" s="149"/>
      <c r="L1099" s="149"/>
      <c r="M1099" s="149"/>
      <c r="N1099" s="149"/>
      <c r="O1099" s="149"/>
      <c r="P1099" s="149"/>
      <c r="Q1099" s="149"/>
      <c r="R1099" s="149"/>
      <c r="S1099" s="149"/>
      <c r="T1099" s="149"/>
      <c r="U1099" s="149"/>
      <c r="V1099" s="149"/>
      <c r="W1099" s="149"/>
      <c r="X1099" s="149"/>
      <c r="Y1099" s="149"/>
      <c r="Z1099" s="149"/>
      <c r="AA1099" s="149"/>
      <c r="AB1099" s="149"/>
      <c r="AC1099" s="149"/>
      <c r="AD1099" s="148"/>
      <c r="AE1099" s="148"/>
      <c r="AF1099" s="148"/>
      <c r="DB1099" s="149"/>
    </row>
    <row r="1100" spans="2:106">
      <c r="B1100" s="149"/>
      <c r="C1100" s="149"/>
      <c r="D1100" s="149"/>
      <c r="E1100" s="149"/>
      <c r="F1100" s="149"/>
      <c r="G1100" s="149"/>
      <c r="H1100" s="149"/>
      <c r="I1100" s="149"/>
      <c r="J1100" s="149"/>
      <c r="K1100" s="149"/>
      <c r="L1100" s="149"/>
      <c r="M1100" s="149"/>
      <c r="N1100" s="149"/>
      <c r="O1100" s="149"/>
      <c r="P1100" s="149"/>
      <c r="Q1100" s="149"/>
      <c r="R1100" s="149"/>
      <c r="S1100" s="149"/>
      <c r="T1100" s="149"/>
      <c r="U1100" s="149"/>
      <c r="V1100" s="149"/>
      <c r="W1100" s="149"/>
      <c r="X1100" s="149"/>
      <c r="Y1100" s="149"/>
      <c r="Z1100" s="149"/>
      <c r="AA1100" s="149"/>
      <c r="AB1100" s="149"/>
      <c r="AC1100" s="149"/>
      <c r="AD1100" s="148"/>
      <c r="AE1100" s="148"/>
      <c r="AF1100" s="148"/>
      <c r="DB1100" s="149"/>
    </row>
    <row r="1101" spans="2:106">
      <c r="B1101" s="149"/>
      <c r="C1101" s="149"/>
      <c r="D1101" s="149"/>
      <c r="E1101" s="149"/>
      <c r="F1101" s="149"/>
      <c r="G1101" s="149"/>
      <c r="H1101" s="149"/>
      <c r="I1101" s="149"/>
      <c r="J1101" s="149"/>
      <c r="K1101" s="149"/>
      <c r="L1101" s="149"/>
      <c r="M1101" s="149"/>
      <c r="N1101" s="149"/>
      <c r="O1101" s="149"/>
      <c r="P1101" s="149"/>
      <c r="Q1101" s="149"/>
      <c r="R1101" s="149"/>
      <c r="S1101" s="149"/>
      <c r="T1101" s="149"/>
      <c r="U1101" s="149"/>
      <c r="V1101" s="149"/>
      <c r="W1101" s="149"/>
      <c r="X1101" s="149"/>
      <c r="Y1101" s="149"/>
      <c r="Z1101" s="149"/>
      <c r="AA1101" s="149"/>
      <c r="AB1101" s="149"/>
      <c r="AC1101" s="149"/>
      <c r="AD1101" s="148"/>
      <c r="AE1101" s="148"/>
      <c r="AF1101" s="148"/>
      <c r="DB1101" s="149"/>
    </row>
    <row r="1102" spans="2:106">
      <c r="B1102" s="149"/>
      <c r="C1102" s="149"/>
      <c r="D1102" s="149"/>
      <c r="E1102" s="149"/>
      <c r="F1102" s="149"/>
      <c r="G1102" s="149"/>
      <c r="H1102" s="149"/>
      <c r="I1102" s="149"/>
      <c r="J1102" s="149"/>
      <c r="K1102" s="149"/>
      <c r="L1102" s="149"/>
      <c r="M1102" s="149"/>
      <c r="N1102" s="149"/>
      <c r="O1102" s="149"/>
      <c r="P1102" s="149"/>
      <c r="Q1102" s="149"/>
      <c r="R1102" s="149"/>
      <c r="S1102" s="149"/>
      <c r="T1102" s="149"/>
      <c r="U1102" s="149"/>
      <c r="V1102" s="149"/>
      <c r="W1102" s="149"/>
      <c r="X1102" s="149"/>
      <c r="Y1102" s="149"/>
      <c r="Z1102" s="149"/>
      <c r="AA1102" s="149"/>
      <c r="AB1102" s="149"/>
      <c r="AC1102" s="149"/>
      <c r="AD1102" s="148"/>
      <c r="AE1102" s="148"/>
      <c r="AF1102" s="148"/>
      <c r="DB1102" s="149"/>
    </row>
    <row r="1103" spans="2:106">
      <c r="B1103" s="149"/>
      <c r="C1103" s="149"/>
      <c r="D1103" s="149"/>
      <c r="E1103" s="149"/>
      <c r="F1103" s="149"/>
      <c r="G1103" s="149"/>
      <c r="H1103" s="149"/>
      <c r="I1103" s="149"/>
      <c r="J1103" s="149"/>
      <c r="K1103" s="149"/>
      <c r="L1103" s="149"/>
      <c r="M1103" s="149"/>
      <c r="N1103" s="149"/>
      <c r="O1103" s="149"/>
      <c r="P1103" s="149"/>
      <c r="Q1103" s="149"/>
      <c r="R1103" s="149"/>
      <c r="S1103" s="149"/>
      <c r="T1103" s="149"/>
      <c r="U1103" s="149"/>
      <c r="V1103" s="149"/>
      <c r="W1103" s="149"/>
      <c r="X1103" s="149"/>
      <c r="Y1103" s="149"/>
      <c r="Z1103" s="149"/>
      <c r="AA1103" s="149"/>
      <c r="AB1103" s="149"/>
      <c r="AC1103" s="149"/>
      <c r="AD1103" s="148"/>
      <c r="AE1103" s="148"/>
      <c r="AF1103" s="148"/>
      <c r="DB1103" s="149"/>
    </row>
    <row r="1104" spans="2:106">
      <c r="B1104" s="149"/>
      <c r="C1104" s="149"/>
      <c r="D1104" s="149"/>
      <c r="E1104" s="149"/>
      <c r="F1104" s="149"/>
      <c r="G1104" s="149"/>
      <c r="H1104" s="149"/>
      <c r="I1104" s="149"/>
      <c r="J1104" s="149"/>
      <c r="K1104" s="149"/>
      <c r="L1104" s="149"/>
      <c r="M1104" s="149"/>
      <c r="N1104" s="149"/>
      <c r="O1104" s="149"/>
      <c r="P1104" s="149"/>
      <c r="Q1104" s="149"/>
      <c r="R1104" s="149"/>
      <c r="S1104" s="149"/>
      <c r="T1104" s="149"/>
      <c r="U1104" s="149"/>
      <c r="V1104" s="149"/>
      <c r="W1104" s="149"/>
      <c r="X1104" s="149"/>
      <c r="Y1104" s="149"/>
      <c r="Z1104" s="149"/>
      <c r="AA1104" s="149"/>
      <c r="AB1104" s="149"/>
      <c r="AC1104" s="149"/>
      <c r="AD1104" s="148"/>
      <c r="AE1104" s="148"/>
      <c r="AF1104" s="148"/>
      <c r="DB1104" s="149"/>
    </row>
    <row r="1105" spans="2:106">
      <c r="B1105" s="149"/>
      <c r="C1105" s="149"/>
      <c r="D1105" s="149"/>
      <c r="E1105" s="149"/>
      <c r="F1105" s="149"/>
      <c r="G1105" s="149"/>
      <c r="H1105" s="149"/>
      <c r="I1105" s="149"/>
      <c r="J1105" s="149"/>
      <c r="K1105" s="149"/>
      <c r="L1105" s="149"/>
      <c r="M1105" s="149"/>
      <c r="N1105" s="149"/>
      <c r="O1105" s="149"/>
      <c r="P1105" s="149"/>
      <c r="Q1105" s="149"/>
      <c r="R1105" s="149"/>
      <c r="S1105" s="149"/>
      <c r="T1105" s="149"/>
      <c r="U1105" s="149"/>
      <c r="V1105" s="149"/>
      <c r="W1105" s="149"/>
      <c r="X1105" s="149"/>
      <c r="Y1105" s="149"/>
      <c r="Z1105" s="149"/>
      <c r="AA1105" s="149"/>
      <c r="AB1105" s="149"/>
      <c r="AC1105" s="149"/>
      <c r="AD1105" s="148"/>
      <c r="AE1105" s="148"/>
      <c r="AF1105" s="148"/>
      <c r="DB1105" s="149"/>
    </row>
    <row r="1106" spans="2:106">
      <c r="B1106" s="149"/>
      <c r="C1106" s="149"/>
      <c r="D1106" s="149"/>
      <c r="E1106" s="149"/>
      <c r="F1106" s="149"/>
      <c r="G1106" s="149"/>
      <c r="H1106" s="149"/>
      <c r="I1106" s="149"/>
      <c r="J1106" s="149"/>
      <c r="K1106" s="149"/>
      <c r="L1106" s="149"/>
      <c r="M1106" s="149"/>
      <c r="N1106" s="149"/>
      <c r="O1106" s="149"/>
      <c r="P1106" s="149"/>
      <c r="Q1106" s="149"/>
      <c r="R1106" s="149"/>
      <c r="S1106" s="149"/>
      <c r="T1106" s="149"/>
      <c r="U1106" s="149"/>
      <c r="V1106" s="149"/>
      <c r="W1106" s="149"/>
      <c r="X1106" s="149"/>
      <c r="Y1106" s="149"/>
      <c r="Z1106" s="149"/>
      <c r="AA1106" s="149"/>
      <c r="AB1106" s="149"/>
      <c r="AC1106" s="149"/>
      <c r="AD1106" s="148"/>
      <c r="AE1106" s="148"/>
      <c r="AF1106" s="148"/>
      <c r="DB1106" s="149"/>
    </row>
    <row r="1107" spans="2:106">
      <c r="B1107" s="149"/>
      <c r="C1107" s="149"/>
      <c r="D1107" s="149"/>
      <c r="E1107" s="149"/>
      <c r="F1107" s="149"/>
      <c r="G1107" s="149"/>
      <c r="H1107" s="149"/>
      <c r="I1107" s="149"/>
      <c r="J1107" s="149"/>
      <c r="K1107" s="149"/>
      <c r="L1107" s="149"/>
      <c r="M1107" s="149"/>
      <c r="N1107" s="149"/>
      <c r="O1107" s="149"/>
      <c r="P1107" s="149"/>
      <c r="Q1107" s="149"/>
      <c r="R1107" s="149"/>
      <c r="S1107" s="149"/>
      <c r="T1107" s="149"/>
      <c r="U1107" s="149"/>
      <c r="V1107" s="149"/>
      <c r="W1107" s="149"/>
      <c r="X1107" s="149"/>
      <c r="Y1107" s="149"/>
      <c r="Z1107" s="149"/>
      <c r="AA1107" s="149"/>
      <c r="AB1107" s="149"/>
      <c r="AC1107" s="149"/>
      <c r="AD1107" s="148"/>
      <c r="AE1107" s="148"/>
      <c r="AF1107" s="148"/>
      <c r="DB1107" s="149"/>
    </row>
    <row r="1108" spans="2:106">
      <c r="B1108" s="149"/>
      <c r="C1108" s="149"/>
      <c r="D1108" s="149"/>
      <c r="E1108" s="149"/>
      <c r="F1108" s="149"/>
      <c r="G1108" s="149"/>
      <c r="H1108" s="149"/>
      <c r="I1108" s="149"/>
      <c r="J1108" s="149"/>
      <c r="K1108" s="149"/>
      <c r="L1108" s="149"/>
      <c r="M1108" s="149"/>
      <c r="N1108" s="149"/>
      <c r="O1108" s="149"/>
      <c r="P1108" s="149"/>
      <c r="Q1108" s="149"/>
      <c r="R1108" s="149"/>
      <c r="S1108" s="149"/>
      <c r="T1108" s="149"/>
      <c r="U1108" s="149"/>
      <c r="V1108" s="149"/>
      <c r="W1108" s="149"/>
      <c r="X1108" s="149"/>
      <c r="Y1108" s="149"/>
      <c r="Z1108" s="149"/>
      <c r="AA1108" s="149"/>
      <c r="AB1108" s="149"/>
      <c r="AC1108" s="149"/>
      <c r="AD1108" s="148"/>
      <c r="AE1108" s="148"/>
      <c r="AF1108" s="148"/>
      <c r="DB1108" s="149"/>
    </row>
    <row r="1109" spans="2:106">
      <c r="B1109" s="149"/>
      <c r="C1109" s="149"/>
      <c r="D1109" s="149"/>
      <c r="E1109" s="149"/>
      <c r="F1109" s="149"/>
      <c r="G1109" s="149"/>
      <c r="H1109" s="149"/>
      <c r="I1109" s="149"/>
      <c r="J1109" s="149"/>
      <c r="K1109" s="149"/>
      <c r="L1109" s="149"/>
      <c r="M1109" s="149"/>
      <c r="N1109" s="149"/>
      <c r="O1109" s="149"/>
      <c r="P1109" s="149"/>
      <c r="Q1109" s="149"/>
      <c r="R1109" s="149"/>
      <c r="S1109" s="149"/>
      <c r="T1109" s="149"/>
      <c r="U1109" s="149"/>
      <c r="V1109" s="149"/>
      <c r="W1109" s="149"/>
      <c r="X1109" s="149"/>
      <c r="Y1109" s="149"/>
      <c r="Z1109" s="149"/>
      <c r="AA1109" s="149"/>
      <c r="AB1109" s="149"/>
      <c r="AC1109" s="149"/>
      <c r="AD1109" s="148"/>
      <c r="AE1109" s="148"/>
      <c r="AF1109" s="148"/>
      <c r="DB1109" s="149"/>
    </row>
    <row r="1110" spans="2:106">
      <c r="B1110" s="149"/>
      <c r="C1110" s="149"/>
      <c r="D1110" s="149"/>
      <c r="E1110" s="149"/>
      <c r="F1110" s="149"/>
      <c r="G1110" s="149"/>
      <c r="H1110" s="149"/>
      <c r="I1110" s="149"/>
      <c r="J1110" s="149"/>
      <c r="K1110" s="149"/>
      <c r="L1110" s="149"/>
      <c r="M1110" s="149"/>
      <c r="N1110" s="149"/>
      <c r="O1110" s="149"/>
      <c r="P1110" s="149"/>
      <c r="Q1110" s="149"/>
      <c r="R1110" s="149"/>
      <c r="S1110" s="149"/>
      <c r="T1110" s="149"/>
      <c r="U1110" s="149"/>
      <c r="V1110" s="149"/>
      <c r="W1110" s="149"/>
      <c r="X1110" s="149"/>
      <c r="Y1110" s="149"/>
      <c r="Z1110" s="149"/>
      <c r="AA1110" s="149"/>
      <c r="AB1110" s="149"/>
      <c r="AC1110" s="149"/>
      <c r="AD1110" s="148"/>
      <c r="AE1110" s="148"/>
      <c r="AF1110" s="148"/>
      <c r="DB1110" s="149"/>
    </row>
    <row r="1111" spans="2:106">
      <c r="B1111" s="149"/>
      <c r="C1111" s="149"/>
      <c r="D1111" s="149"/>
      <c r="E1111" s="149"/>
      <c r="F1111" s="149"/>
      <c r="G1111" s="149"/>
      <c r="H1111" s="149"/>
      <c r="I1111" s="149"/>
      <c r="J1111" s="149"/>
      <c r="K1111" s="149"/>
      <c r="L1111" s="149"/>
      <c r="M1111" s="149"/>
      <c r="N1111" s="149"/>
      <c r="O1111" s="149"/>
      <c r="P1111" s="149"/>
      <c r="Q1111" s="149"/>
      <c r="R1111" s="149"/>
      <c r="S1111" s="149"/>
      <c r="T1111" s="149"/>
      <c r="U1111" s="149"/>
      <c r="V1111" s="149"/>
      <c r="W1111" s="149"/>
      <c r="X1111" s="149"/>
      <c r="Y1111" s="149"/>
      <c r="Z1111" s="149"/>
      <c r="AA1111" s="149"/>
      <c r="AB1111" s="149"/>
      <c r="AC1111" s="149"/>
      <c r="AD1111" s="148"/>
      <c r="AE1111" s="148"/>
      <c r="AF1111" s="148"/>
      <c r="DB1111" s="149"/>
    </row>
    <row r="1112" spans="2:106">
      <c r="B1112" s="149"/>
      <c r="C1112" s="149"/>
      <c r="D1112" s="149"/>
      <c r="E1112" s="149"/>
      <c r="F1112" s="149"/>
      <c r="G1112" s="149"/>
      <c r="H1112" s="149"/>
      <c r="I1112" s="149"/>
      <c r="J1112" s="149"/>
      <c r="K1112" s="149"/>
      <c r="L1112" s="149"/>
      <c r="M1112" s="149"/>
      <c r="N1112" s="149"/>
      <c r="O1112" s="149"/>
      <c r="P1112" s="149"/>
      <c r="Q1112" s="149"/>
      <c r="R1112" s="149"/>
      <c r="S1112" s="149"/>
      <c r="T1112" s="149"/>
      <c r="U1112" s="149"/>
      <c r="V1112" s="149"/>
      <c r="W1112" s="149"/>
      <c r="X1112" s="149"/>
      <c r="Y1112" s="149"/>
      <c r="Z1112" s="149"/>
      <c r="AA1112" s="149"/>
      <c r="AB1112" s="149"/>
      <c r="AC1112" s="149"/>
      <c r="AD1112" s="148"/>
      <c r="AE1112" s="148"/>
      <c r="AF1112" s="148"/>
      <c r="DB1112" s="149"/>
    </row>
    <row r="1113" spans="2:106">
      <c r="B1113" s="149"/>
      <c r="C1113" s="149"/>
      <c r="D1113" s="149"/>
      <c r="E1113" s="149"/>
      <c r="F1113" s="149"/>
      <c r="G1113" s="149"/>
      <c r="H1113" s="149"/>
      <c r="I1113" s="149"/>
      <c r="J1113" s="149"/>
      <c r="K1113" s="149"/>
      <c r="L1113" s="149"/>
      <c r="M1113" s="149"/>
      <c r="N1113" s="149"/>
      <c r="O1113" s="149"/>
      <c r="P1113" s="149"/>
      <c r="Q1113" s="149"/>
      <c r="R1113" s="149"/>
      <c r="S1113" s="149"/>
      <c r="T1113" s="149"/>
      <c r="U1113" s="149"/>
      <c r="V1113" s="149"/>
      <c r="W1113" s="149"/>
      <c r="X1113" s="149"/>
      <c r="Y1113" s="149"/>
      <c r="Z1113" s="149"/>
      <c r="AA1113" s="149"/>
      <c r="AB1113" s="149"/>
      <c r="AC1113" s="149"/>
      <c r="AD1113" s="148"/>
      <c r="AE1113" s="148"/>
      <c r="AF1113" s="148"/>
      <c r="DB1113" s="149"/>
    </row>
    <row r="1114" spans="2:106">
      <c r="B1114" s="149"/>
      <c r="C1114" s="149"/>
      <c r="D1114" s="149"/>
      <c r="E1114" s="149"/>
      <c r="F1114" s="149"/>
      <c r="G1114" s="149"/>
      <c r="H1114" s="149"/>
      <c r="I1114" s="149"/>
      <c r="J1114" s="149"/>
      <c r="K1114" s="149"/>
      <c r="L1114" s="149"/>
      <c r="M1114" s="149"/>
      <c r="N1114" s="149"/>
      <c r="O1114" s="149"/>
      <c r="P1114" s="149"/>
      <c r="Q1114" s="149"/>
      <c r="R1114" s="149"/>
      <c r="S1114" s="149"/>
      <c r="T1114" s="149"/>
      <c r="U1114" s="149"/>
      <c r="V1114" s="149"/>
      <c r="W1114" s="149"/>
      <c r="X1114" s="149"/>
      <c r="Y1114" s="149"/>
      <c r="Z1114" s="149"/>
      <c r="AA1114" s="149"/>
      <c r="AB1114" s="149"/>
      <c r="AC1114" s="149"/>
      <c r="AD1114" s="148"/>
      <c r="AE1114" s="148"/>
      <c r="AF1114" s="148"/>
      <c r="DB1114" s="149"/>
    </row>
    <row r="1115" spans="2:106">
      <c r="B1115" s="149"/>
      <c r="C1115" s="149"/>
      <c r="D1115" s="149"/>
      <c r="E1115" s="149"/>
      <c r="F1115" s="149"/>
      <c r="G1115" s="149"/>
      <c r="H1115" s="149"/>
      <c r="I1115" s="149"/>
      <c r="J1115" s="149"/>
      <c r="K1115" s="149"/>
      <c r="L1115" s="149"/>
      <c r="M1115" s="149"/>
      <c r="N1115" s="149"/>
      <c r="O1115" s="149"/>
      <c r="P1115" s="149"/>
      <c r="Q1115" s="149"/>
      <c r="R1115" s="149"/>
      <c r="S1115" s="149"/>
      <c r="T1115" s="149"/>
      <c r="U1115" s="149"/>
      <c r="V1115" s="149"/>
      <c r="W1115" s="149"/>
      <c r="X1115" s="149"/>
      <c r="Y1115" s="149"/>
      <c r="Z1115" s="149"/>
      <c r="AA1115" s="149"/>
      <c r="AB1115" s="149"/>
      <c r="AC1115" s="149"/>
      <c r="AD1115" s="148"/>
      <c r="AE1115" s="148"/>
      <c r="AF1115" s="148"/>
      <c r="DB1115" s="149"/>
    </row>
    <row r="1116" spans="2:106">
      <c r="B1116" s="149"/>
      <c r="C1116" s="149"/>
      <c r="D1116" s="149"/>
      <c r="E1116" s="149"/>
      <c r="F1116" s="149"/>
      <c r="G1116" s="149"/>
      <c r="H1116" s="149"/>
      <c r="I1116" s="149"/>
      <c r="J1116" s="149"/>
      <c r="K1116" s="149"/>
      <c r="L1116" s="149"/>
      <c r="M1116" s="149"/>
      <c r="N1116" s="149"/>
      <c r="O1116" s="149"/>
      <c r="P1116" s="149"/>
      <c r="Q1116" s="149"/>
      <c r="R1116" s="149"/>
      <c r="S1116" s="149"/>
      <c r="T1116" s="149"/>
      <c r="U1116" s="149"/>
      <c r="V1116" s="149"/>
      <c r="W1116" s="149"/>
      <c r="X1116" s="149"/>
      <c r="Y1116" s="149"/>
      <c r="Z1116" s="149"/>
      <c r="AA1116" s="149"/>
      <c r="AB1116" s="149"/>
      <c r="AC1116" s="149"/>
      <c r="AD1116" s="148"/>
      <c r="AE1116" s="148"/>
      <c r="AF1116" s="148"/>
      <c r="DB1116" s="149"/>
    </row>
    <row r="1117" spans="2:106">
      <c r="B1117" s="149"/>
      <c r="C1117" s="149"/>
      <c r="D1117" s="149"/>
      <c r="E1117" s="149"/>
      <c r="F1117" s="149"/>
      <c r="G1117" s="149"/>
      <c r="H1117" s="149"/>
      <c r="I1117" s="149"/>
      <c r="J1117" s="149"/>
      <c r="K1117" s="149"/>
      <c r="L1117" s="149"/>
      <c r="M1117" s="149"/>
      <c r="N1117" s="149"/>
      <c r="O1117" s="149"/>
      <c r="P1117" s="149"/>
      <c r="Q1117" s="149"/>
      <c r="R1117" s="149"/>
      <c r="S1117" s="149"/>
      <c r="T1117" s="149"/>
      <c r="U1117" s="149"/>
      <c r="V1117" s="149"/>
      <c r="W1117" s="149"/>
      <c r="X1117" s="149"/>
      <c r="Y1117" s="149"/>
      <c r="Z1117" s="149"/>
      <c r="AA1117" s="149"/>
      <c r="AB1117" s="149"/>
      <c r="AC1117" s="149"/>
      <c r="AD1117" s="148"/>
      <c r="AE1117" s="148"/>
      <c r="AF1117" s="148"/>
      <c r="DB1117" s="149"/>
    </row>
    <row r="1118" spans="2:106">
      <c r="B1118" s="149"/>
      <c r="C1118" s="149"/>
      <c r="D1118" s="149"/>
      <c r="E1118" s="149"/>
      <c r="F1118" s="149"/>
      <c r="G1118" s="149"/>
      <c r="H1118" s="149"/>
      <c r="I1118" s="149"/>
      <c r="J1118" s="149"/>
      <c r="K1118" s="149"/>
      <c r="L1118" s="149"/>
      <c r="M1118" s="149"/>
      <c r="N1118" s="149"/>
      <c r="O1118" s="149"/>
      <c r="P1118" s="149"/>
      <c r="Q1118" s="149"/>
      <c r="R1118" s="149"/>
      <c r="S1118" s="149"/>
      <c r="T1118" s="149"/>
      <c r="U1118" s="149"/>
      <c r="V1118" s="149"/>
      <c r="W1118" s="149"/>
      <c r="X1118" s="149"/>
      <c r="Y1118" s="149"/>
      <c r="Z1118" s="149"/>
      <c r="AA1118" s="149"/>
      <c r="AB1118" s="149"/>
      <c r="AC1118" s="149"/>
      <c r="AD1118" s="148"/>
      <c r="AE1118" s="148"/>
      <c r="AF1118" s="148"/>
      <c r="DB1118" s="149"/>
    </row>
    <row r="1119" spans="2:106">
      <c r="B1119" s="149"/>
      <c r="C1119" s="149"/>
      <c r="D1119" s="149"/>
      <c r="E1119" s="149"/>
      <c r="F1119" s="149"/>
      <c r="G1119" s="149"/>
      <c r="H1119" s="149"/>
      <c r="I1119" s="149"/>
      <c r="J1119" s="149"/>
      <c r="K1119" s="149"/>
      <c r="L1119" s="149"/>
      <c r="M1119" s="149"/>
      <c r="N1119" s="149"/>
      <c r="O1119" s="149"/>
      <c r="P1119" s="149"/>
      <c r="Q1119" s="149"/>
      <c r="R1119" s="149"/>
      <c r="S1119" s="149"/>
      <c r="T1119" s="149"/>
      <c r="U1119" s="149"/>
      <c r="V1119" s="149"/>
      <c r="W1119" s="149"/>
      <c r="X1119" s="149"/>
      <c r="Y1119" s="149"/>
      <c r="Z1119" s="149"/>
      <c r="AA1119" s="149"/>
      <c r="AB1119" s="149"/>
      <c r="AC1119" s="149"/>
      <c r="AD1119" s="148"/>
      <c r="AE1119" s="148"/>
      <c r="AF1119" s="148"/>
      <c r="DB1119" s="149"/>
    </row>
    <row r="1120" spans="2:106">
      <c r="B1120" s="149"/>
      <c r="C1120" s="149"/>
      <c r="D1120" s="149"/>
      <c r="E1120" s="149"/>
      <c r="F1120" s="149"/>
      <c r="G1120" s="149"/>
      <c r="H1120" s="149"/>
      <c r="I1120" s="149"/>
      <c r="J1120" s="149"/>
      <c r="K1120" s="149"/>
      <c r="L1120" s="149"/>
      <c r="M1120" s="149"/>
      <c r="N1120" s="149"/>
      <c r="O1120" s="149"/>
      <c r="P1120" s="149"/>
      <c r="Q1120" s="149"/>
      <c r="R1120" s="149"/>
      <c r="S1120" s="149"/>
      <c r="T1120" s="149"/>
      <c r="U1120" s="149"/>
      <c r="V1120" s="149"/>
      <c r="W1120" s="149"/>
      <c r="X1120" s="149"/>
      <c r="Y1120" s="149"/>
      <c r="Z1120" s="149"/>
      <c r="AA1120" s="149"/>
      <c r="AB1120" s="149"/>
      <c r="AC1120" s="149"/>
      <c r="AD1120" s="148"/>
      <c r="AE1120" s="148"/>
      <c r="AF1120" s="148"/>
      <c r="DB1120" s="149"/>
    </row>
    <row r="1121" spans="2:106">
      <c r="B1121" s="149"/>
      <c r="C1121" s="149"/>
      <c r="D1121" s="149"/>
      <c r="E1121" s="149"/>
      <c r="F1121" s="149"/>
      <c r="G1121" s="149"/>
      <c r="H1121" s="149"/>
      <c r="I1121" s="149"/>
      <c r="J1121" s="149"/>
      <c r="K1121" s="149"/>
      <c r="L1121" s="149"/>
      <c r="M1121" s="149"/>
      <c r="N1121" s="149"/>
      <c r="O1121" s="149"/>
      <c r="P1121" s="149"/>
      <c r="Q1121" s="149"/>
      <c r="R1121" s="149"/>
      <c r="S1121" s="149"/>
      <c r="T1121" s="149"/>
      <c r="U1121" s="149"/>
      <c r="V1121" s="149"/>
      <c r="W1121" s="149"/>
      <c r="X1121" s="149"/>
      <c r="Y1121" s="149"/>
      <c r="Z1121" s="149"/>
      <c r="AA1121" s="149"/>
      <c r="AB1121" s="149"/>
      <c r="AC1121" s="149"/>
      <c r="AD1121" s="148"/>
      <c r="AE1121" s="148"/>
      <c r="AF1121" s="148"/>
      <c r="DB1121" s="149"/>
    </row>
    <row r="1122" spans="2:106">
      <c r="B1122" s="149"/>
      <c r="C1122" s="149"/>
      <c r="D1122" s="149"/>
      <c r="E1122" s="149"/>
      <c r="F1122" s="149"/>
      <c r="G1122" s="149"/>
      <c r="H1122" s="149"/>
      <c r="I1122" s="149"/>
      <c r="J1122" s="149"/>
      <c r="K1122" s="149"/>
      <c r="L1122" s="149"/>
      <c r="M1122" s="149"/>
      <c r="N1122" s="149"/>
      <c r="O1122" s="149"/>
      <c r="P1122" s="149"/>
      <c r="Q1122" s="149"/>
      <c r="R1122" s="149"/>
      <c r="S1122" s="149"/>
      <c r="T1122" s="149"/>
      <c r="U1122" s="149"/>
      <c r="V1122" s="149"/>
      <c r="W1122" s="149"/>
      <c r="X1122" s="149"/>
      <c r="Y1122" s="149"/>
      <c r="Z1122" s="149"/>
      <c r="AA1122" s="149"/>
      <c r="AB1122" s="149"/>
      <c r="AC1122" s="149"/>
      <c r="AD1122" s="148"/>
      <c r="AE1122" s="148"/>
      <c r="AF1122" s="148"/>
      <c r="DB1122" s="149"/>
    </row>
    <row r="1123" spans="2:106">
      <c r="B1123" s="149"/>
      <c r="C1123" s="149"/>
      <c r="D1123" s="149"/>
      <c r="E1123" s="149"/>
      <c r="F1123" s="149"/>
      <c r="G1123" s="149"/>
      <c r="H1123" s="149"/>
      <c r="I1123" s="149"/>
      <c r="J1123" s="149"/>
      <c r="K1123" s="149"/>
      <c r="L1123" s="149"/>
      <c r="M1123" s="149"/>
      <c r="N1123" s="149"/>
      <c r="O1123" s="149"/>
      <c r="P1123" s="149"/>
      <c r="Q1123" s="149"/>
      <c r="R1123" s="149"/>
      <c r="S1123" s="149"/>
      <c r="T1123" s="149"/>
      <c r="U1123" s="149"/>
      <c r="V1123" s="149"/>
      <c r="W1123" s="149"/>
      <c r="X1123" s="149"/>
      <c r="Y1123" s="149"/>
      <c r="Z1123" s="149"/>
      <c r="AA1123" s="149"/>
      <c r="AB1123" s="149"/>
      <c r="AC1123" s="149"/>
      <c r="AD1123" s="148"/>
      <c r="AE1123" s="148"/>
      <c r="AF1123" s="148"/>
      <c r="DB1123" s="149"/>
    </row>
    <row r="1124" spans="2:106">
      <c r="B1124" s="149"/>
      <c r="C1124" s="149"/>
      <c r="D1124" s="149"/>
      <c r="E1124" s="149"/>
      <c r="F1124" s="149"/>
      <c r="G1124" s="149"/>
      <c r="H1124" s="149"/>
      <c r="I1124" s="149"/>
      <c r="J1124" s="149"/>
      <c r="K1124" s="149"/>
      <c r="L1124" s="149"/>
      <c r="M1124" s="149"/>
      <c r="N1124" s="149"/>
      <c r="O1124" s="149"/>
      <c r="P1124" s="149"/>
      <c r="Q1124" s="149"/>
      <c r="R1124" s="149"/>
      <c r="S1124" s="149"/>
      <c r="T1124" s="149"/>
      <c r="U1124" s="149"/>
      <c r="V1124" s="149"/>
      <c r="W1124" s="149"/>
      <c r="X1124" s="149"/>
      <c r="Y1124" s="149"/>
      <c r="Z1124" s="149"/>
      <c r="AA1124" s="149"/>
      <c r="AB1124" s="149"/>
      <c r="AC1124" s="149"/>
      <c r="AD1124" s="148"/>
      <c r="AE1124" s="148"/>
      <c r="AF1124" s="148"/>
      <c r="DB1124" s="149"/>
    </row>
    <row r="1125" spans="2:106">
      <c r="B1125" s="149"/>
      <c r="C1125" s="149"/>
      <c r="D1125" s="149"/>
      <c r="E1125" s="149"/>
      <c r="F1125" s="149"/>
      <c r="G1125" s="149"/>
      <c r="H1125" s="149"/>
      <c r="I1125" s="149"/>
      <c r="J1125" s="149"/>
      <c r="K1125" s="149"/>
      <c r="L1125" s="149"/>
      <c r="M1125" s="149"/>
      <c r="N1125" s="149"/>
      <c r="O1125" s="149"/>
      <c r="P1125" s="149"/>
      <c r="Q1125" s="149"/>
      <c r="R1125" s="149"/>
      <c r="S1125" s="149"/>
      <c r="T1125" s="149"/>
      <c r="U1125" s="149"/>
      <c r="V1125" s="149"/>
      <c r="W1125" s="149"/>
      <c r="X1125" s="149"/>
      <c r="Y1125" s="149"/>
      <c r="Z1125" s="149"/>
      <c r="AA1125" s="149"/>
      <c r="AB1125" s="149"/>
      <c r="AC1125" s="149"/>
      <c r="AD1125" s="148"/>
      <c r="AE1125" s="148"/>
      <c r="AF1125" s="148"/>
      <c r="DB1125" s="149"/>
    </row>
    <row r="1126" spans="2:106">
      <c r="B1126" s="149"/>
      <c r="C1126" s="149"/>
      <c r="D1126" s="149"/>
      <c r="E1126" s="149"/>
      <c r="F1126" s="149"/>
      <c r="G1126" s="149"/>
      <c r="H1126" s="149"/>
      <c r="I1126" s="149"/>
      <c r="J1126" s="149"/>
      <c r="K1126" s="149"/>
      <c r="L1126" s="149"/>
      <c r="M1126" s="149"/>
      <c r="N1126" s="149"/>
      <c r="O1126" s="149"/>
      <c r="P1126" s="149"/>
      <c r="Q1126" s="149"/>
      <c r="R1126" s="149"/>
      <c r="S1126" s="149"/>
      <c r="T1126" s="149"/>
      <c r="U1126" s="149"/>
      <c r="V1126" s="149"/>
      <c r="W1126" s="149"/>
      <c r="X1126" s="149"/>
      <c r="Y1126" s="149"/>
      <c r="Z1126" s="149"/>
      <c r="AA1126" s="149"/>
      <c r="AB1126" s="149"/>
      <c r="AC1126" s="149"/>
      <c r="AD1126" s="148"/>
      <c r="AE1126" s="148"/>
      <c r="AF1126" s="148"/>
      <c r="DB1126" s="149"/>
    </row>
    <row r="1127" spans="2:106">
      <c r="B1127" s="149"/>
      <c r="C1127" s="149"/>
      <c r="D1127" s="149"/>
      <c r="E1127" s="149"/>
      <c r="F1127" s="149"/>
      <c r="G1127" s="149"/>
      <c r="H1127" s="149"/>
      <c r="I1127" s="149"/>
      <c r="J1127" s="149"/>
      <c r="K1127" s="149"/>
      <c r="L1127" s="149"/>
      <c r="M1127" s="149"/>
      <c r="N1127" s="149"/>
      <c r="O1127" s="149"/>
      <c r="P1127" s="149"/>
      <c r="Q1127" s="149"/>
      <c r="R1127" s="149"/>
      <c r="S1127" s="149"/>
      <c r="T1127" s="149"/>
      <c r="U1127" s="149"/>
      <c r="V1127" s="149"/>
      <c r="W1127" s="149"/>
      <c r="X1127" s="149"/>
      <c r="Y1127" s="149"/>
      <c r="Z1127" s="149"/>
      <c r="AA1127" s="149"/>
      <c r="AB1127" s="149"/>
      <c r="AC1127" s="149"/>
      <c r="AD1127" s="148"/>
      <c r="AE1127" s="148"/>
      <c r="AF1127" s="148"/>
      <c r="DB1127" s="149"/>
    </row>
    <row r="1128" spans="2:106">
      <c r="B1128" s="149"/>
      <c r="C1128" s="149"/>
      <c r="D1128" s="149"/>
      <c r="E1128" s="149"/>
      <c r="F1128" s="149"/>
      <c r="G1128" s="149"/>
      <c r="H1128" s="149"/>
      <c r="I1128" s="149"/>
      <c r="J1128" s="149"/>
      <c r="K1128" s="149"/>
      <c r="L1128" s="149"/>
      <c r="M1128" s="149"/>
      <c r="N1128" s="149"/>
      <c r="O1128" s="149"/>
      <c r="P1128" s="149"/>
      <c r="Q1128" s="149"/>
      <c r="R1128" s="149"/>
      <c r="S1128" s="149"/>
      <c r="T1128" s="149"/>
      <c r="U1128" s="149"/>
      <c r="V1128" s="149"/>
      <c r="W1128" s="149"/>
      <c r="X1128" s="149"/>
      <c r="Y1128" s="149"/>
      <c r="Z1128" s="149"/>
      <c r="AA1128" s="149"/>
      <c r="AB1128" s="149"/>
      <c r="AC1128" s="149"/>
      <c r="AD1128" s="148"/>
      <c r="AE1128" s="148"/>
      <c r="AF1128" s="148"/>
      <c r="DB1128" s="149"/>
    </row>
    <row r="1129" spans="2:106">
      <c r="B1129" s="149"/>
      <c r="C1129" s="149"/>
      <c r="D1129" s="149"/>
      <c r="E1129" s="149"/>
      <c r="F1129" s="149"/>
      <c r="G1129" s="149"/>
      <c r="H1129" s="149"/>
      <c r="I1129" s="149"/>
      <c r="J1129" s="149"/>
      <c r="K1129" s="149"/>
      <c r="L1129" s="149"/>
      <c r="M1129" s="149"/>
      <c r="N1129" s="149"/>
      <c r="O1129" s="149"/>
      <c r="P1129" s="149"/>
      <c r="Q1129" s="149"/>
      <c r="R1129" s="149"/>
      <c r="S1129" s="149"/>
      <c r="T1129" s="149"/>
      <c r="U1129" s="149"/>
      <c r="V1129" s="149"/>
      <c r="W1129" s="149"/>
      <c r="X1129" s="149"/>
      <c r="Y1129" s="149"/>
      <c r="Z1129" s="149"/>
      <c r="AA1129" s="149"/>
      <c r="AB1129" s="149"/>
      <c r="AC1129" s="149"/>
      <c r="AD1129" s="148"/>
      <c r="AE1129" s="148"/>
      <c r="AF1129" s="148"/>
      <c r="DB1129" s="149"/>
    </row>
    <row r="1130" spans="2:106">
      <c r="B1130" s="149"/>
      <c r="C1130" s="149"/>
      <c r="D1130" s="149"/>
      <c r="E1130" s="149"/>
      <c r="F1130" s="149"/>
      <c r="G1130" s="149"/>
      <c r="H1130" s="149"/>
      <c r="I1130" s="149"/>
      <c r="J1130" s="149"/>
      <c r="K1130" s="149"/>
      <c r="L1130" s="149"/>
      <c r="M1130" s="149"/>
      <c r="N1130" s="149"/>
      <c r="O1130" s="149"/>
      <c r="P1130" s="149"/>
      <c r="Q1130" s="149"/>
      <c r="R1130" s="149"/>
      <c r="S1130" s="149"/>
      <c r="T1130" s="149"/>
      <c r="U1130" s="149"/>
      <c r="V1130" s="149"/>
      <c r="W1130" s="149"/>
      <c r="X1130" s="149"/>
      <c r="Y1130" s="149"/>
      <c r="Z1130" s="149"/>
      <c r="AA1130" s="149"/>
      <c r="AB1130" s="149"/>
      <c r="AC1130" s="149"/>
      <c r="AD1130" s="148"/>
      <c r="AE1130" s="148"/>
      <c r="AF1130" s="148"/>
      <c r="DB1130" s="149"/>
    </row>
    <row r="1131" spans="2:106">
      <c r="B1131" s="149"/>
      <c r="C1131" s="149"/>
      <c r="D1131" s="149"/>
      <c r="E1131" s="149"/>
      <c r="F1131" s="149"/>
      <c r="G1131" s="149"/>
      <c r="H1131" s="149"/>
      <c r="I1131" s="149"/>
      <c r="J1131" s="149"/>
      <c r="K1131" s="149"/>
      <c r="L1131" s="149"/>
      <c r="M1131" s="149"/>
      <c r="N1131" s="149"/>
      <c r="O1131" s="149"/>
      <c r="P1131" s="149"/>
      <c r="Q1131" s="149"/>
      <c r="R1131" s="149"/>
      <c r="S1131" s="149"/>
      <c r="T1131" s="149"/>
      <c r="U1131" s="149"/>
      <c r="V1131" s="149"/>
      <c r="W1131" s="149"/>
      <c r="X1131" s="149"/>
      <c r="Y1131" s="149"/>
      <c r="Z1131" s="149"/>
      <c r="AA1131" s="149"/>
      <c r="AB1131" s="149"/>
      <c r="AC1131" s="149"/>
      <c r="AD1131" s="148"/>
      <c r="AE1131" s="148"/>
      <c r="AF1131" s="148"/>
      <c r="DB1131" s="149"/>
    </row>
    <row r="1132" spans="2:106">
      <c r="B1132" s="149"/>
      <c r="C1132" s="149"/>
      <c r="D1132" s="149"/>
      <c r="E1132" s="149"/>
      <c r="F1132" s="149"/>
      <c r="G1132" s="149"/>
      <c r="H1132" s="149"/>
      <c r="I1132" s="149"/>
      <c r="J1132" s="149"/>
      <c r="K1132" s="149"/>
      <c r="L1132" s="149"/>
      <c r="M1132" s="149"/>
      <c r="N1132" s="149"/>
      <c r="O1132" s="149"/>
      <c r="P1132" s="149"/>
      <c r="Q1132" s="149"/>
      <c r="R1132" s="149"/>
      <c r="S1132" s="149"/>
      <c r="T1132" s="149"/>
      <c r="U1132" s="149"/>
      <c r="V1132" s="149"/>
      <c r="W1132" s="149"/>
      <c r="X1132" s="149"/>
      <c r="Y1132" s="149"/>
      <c r="Z1132" s="149"/>
      <c r="AA1132" s="149"/>
      <c r="AB1132" s="149"/>
      <c r="AC1132" s="149"/>
      <c r="AD1132" s="148"/>
      <c r="AE1132" s="148"/>
      <c r="AF1132" s="148"/>
      <c r="DB1132" s="149"/>
    </row>
    <row r="1133" spans="2:106">
      <c r="B1133" s="149"/>
      <c r="C1133" s="149"/>
      <c r="D1133" s="149"/>
      <c r="E1133" s="149"/>
      <c r="F1133" s="149"/>
      <c r="G1133" s="149"/>
      <c r="H1133" s="149"/>
      <c r="I1133" s="149"/>
      <c r="J1133" s="149"/>
      <c r="K1133" s="149"/>
      <c r="L1133" s="149"/>
      <c r="M1133" s="149"/>
      <c r="N1133" s="149"/>
      <c r="O1133" s="149"/>
      <c r="P1133" s="149"/>
      <c r="Q1133" s="149"/>
      <c r="R1133" s="149"/>
      <c r="S1133" s="149"/>
      <c r="T1133" s="149"/>
      <c r="U1133" s="149"/>
      <c r="V1133" s="149"/>
      <c r="W1133" s="149"/>
      <c r="X1133" s="149"/>
      <c r="Y1133" s="149"/>
      <c r="Z1133" s="149"/>
      <c r="AA1133" s="149"/>
      <c r="AB1133" s="149"/>
      <c r="AC1133" s="149"/>
      <c r="AD1133" s="148"/>
      <c r="AE1133" s="148"/>
      <c r="AF1133" s="148"/>
      <c r="DB1133" s="149"/>
    </row>
    <row r="1134" spans="2:106">
      <c r="B1134" s="149"/>
      <c r="C1134" s="149"/>
      <c r="D1134" s="149"/>
      <c r="E1134" s="149"/>
      <c r="F1134" s="149"/>
      <c r="G1134" s="149"/>
      <c r="H1134" s="149"/>
      <c r="I1134" s="149"/>
      <c r="J1134" s="149"/>
      <c r="K1134" s="149"/>
      <c r="L1134" s="149"/>
      <c r="M1134" s="149"/>
      <c r="N1134" s="149"/>
      <c r="O1134" s="149"/>
      <c r="P1134" s="149"/>
      <c r="Q1134" s="149"/>
      <c r="R1134" s="149"/>
      <c r="S1134" s="149"/>
      <c r="T1134" s="149"/>
      <c r="U1134" s="149"/>
      <c r="V1134" s="149"/>
      <c r="W1134" s="149"/>
      <c r="X1134" s="149"/>
      <c r="Y1134" s="149"/>
      <c r="Z1134" s="149"/>
      <c r="AA1134" s="149"/>
      <c r="AB1134" s="149"/>
      <c r="AC1134" s="149"/>
      <c r="AD1134" s="148"/>
      <c r="AE1134" s="148"/>
      <c r="AF1134" s="148"/>
      <c r="DB1134" s="149"/>
    </row>
    <row r="1135" spans="2:106">
      <c r="B1135" s="149"/>
      <c r="C1135" s="149"/>
      <c r="D1135" s="149"/>
      <c r="E1135" s="149"/>
      <c r="F1135" s="149"/>
      <c r="G1135" s="149"/>
      <c r="H1135" s="149"/>
      <c r="I1135" s="149"/>
      <c r="J1135" s="149"/>
      <c r="K1135" s="149"/>
      <c r="L1135" s="149"/>
      <c r="M1135" s="149"/>
      <c r="N1135" s="149"/>
      <c r="O1135" s="149"/>
      <c r="P1135" s="149"/>
      <c r="Q1135" s="149"/>
      <c r="R1135" s="149"/>
      <c r="S1135" s="149"/>
      <c r="T1135" s="149"/>
      <c r="U1135" s="149"/>
      <c r="V1135" s="149"/>
      <c r="W1135" s="149"/>
      <c r="X1135" s="149"/>
      <c r="Y1135" s="149"/>
      <c r="Z1135" s="149"/>
      <c r="AA1135" s="149"/>
      <c r="AB1135" s="149"/>
      <c r="AC1135" s="149"/>
      <c r="AD1135" s="148"/>
      <c r="AE1135" s="148"/>
      <c r="AF1135" s="148"/>
      <c r="DB1135" s="149"/>
    </row>
    <row r="1136" spans="2:106">
      <c r="B1136" s="149"/>
      <c r="C1136" s="149"/>
      <c r="D1136" s="149"/>
      <c r="E1136" s="149"/>
      <c r="F1136" s="149"/>
      <c r="G1136" s="149"/>
      <c r="H1136" s="149"/>
      <c r="I1136" s="149"/>
      <c r="J1136" s="149"/>
      <c r="K1136" s="149"/>
      <c r="L1136" s="149"/>
      <c r="M1136" s="149"/>
      <c r="N1136" s="149"/>
      <c r="O1136" s="149"/>
      <c r="P1136" s="149"/>
      <c r="Q1136" s="149"/>
      <c r="R1136" s="149"/>
      <c r="S1136" s="149"/>
      <c r="T1136" s="149"/>
      <c r="U1136" s="149"/>
      <c r="V1136" s="149"/>
      <c r="W1136" s="149"/>
      <c r="X1136" s="149"/>
      <c r="Y1136" s="149"/>
      <c r="Z1136" s="149"/>
      <c r="AA1136" s="149"/>
      <c r="AB1136" s="149"/>
      <c r="AC1136" s="149"/>
      <c r="AD1136" s="148"/>
      <c r="AE1136" s="148"/>
      <c r="AF1136" s="148"/>
      <c r="DB1136" s="149"/>
    </row>
    <row r="1137" spans="2:106">
      <c r="B1137" s="149"/>
      <c r="C1137" s="149"/>
      <c r="D1137" s="149"/>
      <c r="E1137" s="149"/>
      <c r="F1137" s="149"/>
      <c r="G1137" s="149"/>
      <c r="H1137" s="149"/>
      <c r="I1137" s="149"/>
      <c r="J1137" s="149"/>
      <c r="K1137" s="149"/>
      <c r="L1137" s="149"/>
      <c r="M1137" s="149"/>
      <c r="N1137" s="149"/>
      <c r="O1137" s="149"/>
      <c r="P1137" s="149"/>
      <c r="Q1137" s="149"/>
      <c r="R1137" s="149"/>
      <c r="S1137" s="149"/>
      <c r="T1137" s="149"/>
      <c r="U1137" s="149"/>
      <c r="V1137" s="149"/>
      <c r="W1137" s="149"/>
      <c r="X1137" s="149"/>
      <c r="Y1137" s="149"/>
      <c r="Z1137" s="149"/>
      <c r="AA1137" s="149"/>
      <c r="AB1137" s="149"/>
      <c r="AC1137" s="149"/>
      <c r="AD1137" s="148"/>
      <c r="AE1137" s="148"/>
      <c r="AF1137" s="148"/>
      <c r="DB1137" s="149"/>
    </row>
    <row r="1138" spans="2:106">
      <c r="B1138" s="149"/>
      <c r="C1138" s="149"/>
      <c r="D1138" s="149"/>
      <c r="E1138" s="149"/>
      <c r="F1138" s="149"/>
      <c r="G1138" s="149"/>
      <c r="H1138" s="149"/>
      <c r="I1138" s="149"/>
      <c r="J1138" s="149"/>
      <c r="K1138" s="149"/>
      <c r="L1138" s="149"/>
      <c r="M1138" s="149"/>
      <c r="N1138" s="149"/>
      <c r="O1138" s="149"/>
      <c r="P1138" s="149"/>
      <c r="Q1138" s="149"/>
      <c r="R1138" s="149"/>
      <c r="S1138" s="149"/>
      <c r="T1138" s="149"/>
      <c r="U1138" s="149"/>
      <c r="V1138" s="149"/>
      <c r="W1138" s="149"/>
      <c r="X1138" s="149"/>
      <c r="Y1138" s="149"/>
      <c r="Z1138" s="149"/>
      <c r="AA1138" s="149"/>
      <c r="AB1138" s="149"/>
      <c r="AC1138" s="149"/>
      <c r="AD1138" s="148"/>
      <c r="AE1138" s="148"/>
      <c r="AF1138" s="148"/>
      <c r="DB1138" s="149"/>
    </row>
    <row r="1139" spans="2:106">
      <c r="B1139" s="149"/>
      <c r="C1139" s="149"/>
      <c r="D1139" s="149"/>
      <c r="E1139" s="149"/>
      <c r="F1139" s="149"/>
      <c r="G1139" s="149"/>
      <c r="H1139" s="149"/>
      <c r="I1139" s="149"/>
      <c r="J1139" s="149"/>
      <c r="K1139" s="149"/>
      <c r="L1139" s="149"/>
      <c r="M1139" s="149"/>
      <c r="N1139" s="149"/>
      <c r="O1139" s="149"/>
      <c r="P1139" s="149"/>
      <c r="Q1139" s="149"/>
      <c r="R1139" s="149"/>
      <c r="S1139" s="149"/>
      <c r="T1139" s="149"/>
      <c r="U1139" s="149"/>
      <c r="V1139" s="149"/>
      <c r="W1139" s="149"/>
      <c r="X1139" s="149"/>
      <c r="Y1139" s="149"/>
      <c r="Z1139" s="149"/>
      <c r="AA1139" s="149"/>
      <c r="AB1139" s="149"/>
      <c r="AC1139" s="149"/>
      <c r="AD1139" s="148"/>
      <c r="AE1139" s="148"/>
      <c r="AF1139" s="148"/>
      <c r="DB1139" s="149"/>
    </row>
    <row r="1140" spans="2:106">
      <c r="B1140" s="149"/>
      <c r="C1140" s="149"/>
      <c r="D1140" s="149"/>
      <c r="E1140" s="149"/>
      <c r="F1140" s="149"/>
      <c r="G1140" s="149"/>
      <c r="H1140" s="149"/>
      <c r="I1140" s="149"/>
      <c r="J1140" s="149"/>
      <c r="K1140" s="149"/>
      <c r="L1140" s="149"/>
      <c r="M1140" s="149"/>
      <c r="N1140" s="149"/>
      <c r="O1140" s="149"/>
      <c r="P1140" s="149"/>
      <c r="Q1140" s="149"/>
      <c r="R1140" s="149"/>
      <c r="S1140" s="149"/>
      <c r="T1140" s="149"/>
      <c r="U1140" s="149"/>
      <c r="V1140" s="149"/>
      <c r="W1140" s="149"/>
      <c r="X1140" s="149"/>
      <c r="Y1140" s="149"/>
      <c r="Z1140" s="149"/>
      <c r="AA1140" s="149"/>
      <c r="AB1140" s="149"/>
      <c r="AC1140" s="149"/>
      <c r="AD1140" s="148"/>
      <c r="AE1140" s="148"/>
      <c r="AF1140" s="148"/>
      <c r="DB1140" s="149"/>
    </row>
    <row r="1141" spans="2:106">
      <c r="B1141" s="149"/>
      <c r="C1141" s="149"/>
      <c r="D1141" s="149"/>
      <c r="E1141" s="149"/>
      <c r="F1141" s="149"/>
      <c r="G1141" s="149"/>
      <c r="H1141" s="149"/>
      <c r="I1141" s="149"/>
      <c r="J1141" s="149"/>
      <c r="K1141" s="149"/>
      <c r="L1141" s="149"/>
      <c r="M1141" s="149"/>
      <c r="N1141" s="149"/>
      <c r="O1141" s="149"/>
      <c r="P1141" s="149"/>
      <c r="Q1141" s="149"/>
      <c r="R1141" s="149"/>
      <c r="S1141" s="149"/>
      <c r="T1141" s="149"/>
      <c r="U1141" s="149"/>
      <c r="V1141" s="149"/>
      <c r="W1141" s="149"/>
      <c r="X1141" s="149"/>
      <c r="Y1141" s="149"/>
      <c r="Z1141" s="149"/>
      <c r="AA1141" s="149"/>
      <c r="AB1141" s="149"/>
      <c r="AC1141" s="149"/>
      <c r="AD1141" s="148"/>
      <c r="AE1141" s="148"/>
      <c r="AF1141" s="148"/>
      <c r="DB1141" s="149"/>
    </row>
    <row r="1142" spans="2:106">
      <c r="B1142" s="149"/>
      <c r="C1142" s="149"/>
      <c r="D1142" s="149"/>
      <c r="E1142" s="149"/>
      <c r="F1142" s="149"/>
      <c r="G1142" s="149"/>
      <c r="H1142" s="149"/>
      <c r="I1142" s="149"/>
      <c r="J1142" s="149"/>
      <c r="K1142" s="149"/>
      <c r="L1142" s="149"/>
      <c r="M1142" s="149"/>
      <c r="N1142" s="149"/>
      <c r="O1142" s="149"/>
      <c r="P1142" s="149"/>
      <c r="Q1142" s="149"/>
      <c r="R1142" s="149"/>
      <c r="S1142" s="149"/>
      <c r="T1142" s="149"/>
      <c r="U1142" s="149"/>
      <c r="V1142" s="149"/>
      <c r="W1142" s="149"/>
      <c r="X1142" s="149"/>
      <c r="Y1142" s="149"/>
      <c r="Z1142" s="149"/>
      <c r="AA1142" s="149"/>
      <c r="AB1142" s="149"/>
      <c r="AC1142" s="149"/>
      <c r="AD1142" s="148"/>
      <c r="AE1142" s="148"/>
      <c r="AF1142" s="148"/>
      <c r="DB1142" s="149"/>
    </row>
    <row r="1143" spans="2:106">
      <c r="B1143" s="149"/>
      <c r="C1143" s="149"/>
      <c r="D1143" s="149"/>
      <c r="E1143" s="149"/>
      <c r="F1143" s="149"/>
      <c r="G1143" s="149"/>
      <c r="H1143" s="149"/>
      <c r="I1143" s="149"/>
      <c r="J1143" s="149"/>
      <c r="K1143" s="149"/>
      <c r="L1143" s="149"/>
      <c r="M1143" s="149"/>
      <c r="N1143" s="149"/>
      <c r="O1143" s="149"/>
      <c r="P1143" s="149"/>
      <c r="Q1143" s="149"/>
      <c r="R1143" s="149"/>
      <c r="S1143" s="149"/>
      <c r="T1143" s="149"/>
      <c r="U1143" s="149"/>
      <c r="V1143" s="149"/>
      <c r="W1143" s="149"/>
      <c r="X1143" s="149"/>
      <c r="Y1143" s="149"/>
      <c r="Z1143" s="149"/>
      <c r="AA1143" s="149"/>
      <c r="AB1143" s="149"/>
      <c r="AC1143" s="149"/>
      <c r="AD1143" s="148"/>
      <c r="AE1143" s="148"/>
      <c r="AF1143" s="148"/>
      <c r="DB1143" s="149"/>
    </row>
    <row r="1144" spans="2:106">
      <c r="B1144" s="149"/>
      <c r="C1144" s="149"/>
      <c r="D1144" s="149"/>
      <c r="E1144" s="149"/>
      <c r="F1144" s="149"/>
      <c r="G1144" s="149"/>
      <c r="H1144" s="149"/>
      <c r="I1144" s="149"/>
      <c r="J1144" s="149"/>
      <c r="K1144" s="149"/>
      <c r="L1144" s="149"/>
      <c r="M1144" s="149"/>
      <c r="N1144" s="149"/>
      <c r="O1144" s="149"/>
      <c r="P1144" s="149"/>
      <c r="Q1144" s="149"/>
      <c r="R1144" s="149"/>
      <c r="S1144" s="149"/>
      <c r="T1144" s="149"/>
      <c r="U1144" s="149"/>
      <c r="V1144" s="149"/>
      <c r="W1144" s="149"/>
      <c r="X1144" s="149"/>
      <c r="Y1144" s="149"/>
      <c r="Z1144" s="149"/>
      <c r="AA1144" s="149"/>
      <c r="AB1144" s="149"/>
      <c r="AC1144" s="149"/>
      <c r="AD1144" s="148"/>
      <c r="AE1144" s="148"/>
      <c r="AF1144" s="148"/>
      <c r="DB1144" s="149"/>
    </row>
    <row r="1145" spans="2:106">
      <c r="B1145" s="149"/>
      <c r="C1145" s="149"/>
      <c r="D1145" s="149"/>
      <c r="E1145" s="149"/>
      <c r="F1145" s="149"/>
      <c r="G1145" s="149"/>
      <c r="H1145" s="149"/>
      <c r="I1145" s="149"/>
      <c r="J1145" s="149"/>
      <c r="K1145" s="149"/>
      <c r="L1145" s="149"/>
      <c r="M1145" s="149"/>
      <c r="N1145" s="149"/>
      <c r="O1145" s="149"/>
      <c r="P1145" s="149"/>
      <c r="Q1145" s="149"/>
      <c r="R1145" s="149"/>
      <c r="S1145" s="149"/>
      <c r="T1145" s="149"/>
      <c r="U1145" s="149"/>
      <c r="V1145" s="149"/>
      <c r="W1145" s="149"/>
      <c r="X1145" s="149"/>
      <c r="Y1145" s="149"/>
      <c r="Z1145" s="149"/>
      <c r="AA1145" s="149"/>
      <c r="AB1145" s="149"/>
      <c r="AC1145" s="149"/>
      <c r="AD1145" s="148"/>
      <c r="AE1145" s="148"/>
      <c r="AF1145" s="148"/>
      <c r="DB1145" s="149"/>
    </row>
    <row r="1146" spans="2:106">
      <c r="B1146" s="149"/>
      <c r="C1146" s="149"/>
      <c r="D1146" s="149"/>
      <c r="E1146" s="149"/>
      <c r="F1146" s="149"/>
      <c r="G1146" s="149"/>
      <c r="H1146" s="149"/>
      <c r="I1146" s="149"/>
      <c r="J1146" s="149"/>
      <c r="K1146" s="149"/>
      <c r="L1146" s="149"/>
      <c r="M1146" s="149"/>
      <c r="N1146" s="149"/>
      <c r="O1146" s="149"/>
      <c r="P1146" s="149"/>
      <c r="Q1146" s="149"/>
      <c r="R1146" s="149"/>
      <c r="S1146" s="149"/>
      <c r="T1146" s="149"/>
      <c r="U1146" s="149"/>
      <c r="V1146" s="149"/>
      <c r="W1146" s="149"/>
      <c r="X1146" s="149"/>
      <c r="Y1146" s="149"/>
      <c r="Z1146" s="149"/>
      <c r="AA1146" s="149"/>
      <c r="AB1146" s="149"/>
      <c r="AC1146" s="149"/>
      <c r="AD1146" s="148"/>
      <c r="AE1146" s="148"/>
      <c r="AF1146" s="148"/>
      <c r="DB1146" s="149"/>
    </row>
    <row r="1147" spans="2:106">
      <c r="B1147" s="149"/>
      <c r="C1147" s="149"/>
      <c r="D1147" s="149"/>
      <c r="E1147" s="149"/>
      <c r="F1147" s="149"/>
      <c r="G1147" s="149"/>
      <c r="H1147" s="149"/>
      <c r="I1147" s="149"/>
      <c r="J1147" s="149"/>
      <c r="K1147" s="149"/>
      <c r="L1147" s="149"/>
      <c r="M1147" s="149"/>
      <c r="N1147" s="149"/>
      <c r="O1147" s="149"/>
      <c r="P1147" s="149"/>
      <c r="Q1147" s="149"/>
      <c r="R1147" s="149"/>
      <c r="S1147" s="149"/>
      <c r="T1147" s="149"/>
      <c r="U1147" s="149"/>
      <c r="V1147" s="149"/>
      <c r="W1147" s="149"/>
      <c r="X1147" s="149"/>
      <c r="Y1147" s="149"/>
      <c r="Z1147" s="149"/>
      <c r="AA1147" s="149"/>
      <c r="AB1147" s="149"/>
      <c r="AC1147" s="149"/>
      <c r="AD1147" s="148"/>
      <c r="AE1147" s="148"/>
      <c r="AF1147" s="148"/>
      <c r="DB1147" s="149"/>
    </row>
    <row r="1148" spans="2:106">
      <c r="B1148" s="149"/>
      <c r="C1148" s="149"/>
      <c r="D1148" s="149"/>
      <c r="E1148" s="149"/>
      <c r="F1148" s="149"/>
      <c r="G1148" s="149"/>
      <c r="H1148" s="149"/>
      <c r="I1148" s="149"/>
      <c r="J1148" s="149"/>
      <c r="K1148" s="149"/>
      <c r="L1148" s="149"/>
      <c r="M1148" s="149"/>
      <c r="N1148" s="149"/>
      <c r="O1148" s="149"/>
      <c r="P1148" s="149"/>
      <c r="Q1148" s="149"/>
      <c r="R1148" s="149"/>
      <c r="S1148" s="149"/>
      <c r="T1148" s="149"/>
      <c r="U1148" s="149"/>
      <c r="V1148" s="149"/>
      <c r="W1148" s="149"/>
      <c r="X1148" s="149"/>
      <c r="Y1148" s="149"/>
      <c r="Z1148" s="149"/>
      <c r="AA1148" s="149"/>
      <c r="AB1148" s="149"/>
      <c r="AC1148" s="149"/>
      <c r="AD1148" s="148"/>
      <c r="AE1148" s="148"/>
      <c r="AF1148" s="148"/>
      <c r="DB1148" s="149"/>
    </row>
    <row r="1149" spans="2:106">
      <c r="B1149" s="149"/>
      <c r="C1149" s="149"/>
      <c r="D1149" s="149"/>
      <c r="E1149" s="149"/>
      <c r="F1149" s="149"/>
      <c r="G1149" s="149"/>
      <c r="H1149" s="149"/>
      <c r="I1149" s="149"/>
      <c r="J1149" s="149"/>
      <c r="K1149" s="149"/>
      <c r="L1149" s="149"/>
      <c r="M1149" s="149"/>
      <c r="N1149" s="149"/>
      <c r="O1149" s="149"/>
      <c r="P1149" s="149"/>
      <c r="Q1149" s="149"/>
      <c r="R1149" s="149"/>
      <c r="S1149" s="149"/>
      <c r="T1149" s="149"/>
      <c r="U1149" s="149"/>
      <c r="V1149" s="149"/>
      <c r="W1149" s="149"/>
      <c r="X1149" s="149"/>
      <c r="Y1149" s="149"/>
      <c r="Z1149" s="149"/>
      <c r="AA1149" s="149"/>
      <c r="AB1149" s="149"/>
      <c r="AC1149" s="149"/>
      <c r="AD1149" s="148"/>
      <c r="AE1149" s="148"/>
      <c r="AF1149" s="148"/>
      <c r="DB1149" s="149"/>
    </row>
    <row r="1150" spans="2:106">
      <c r="B1150" s="149"/>
      <c r="C1150" s="149"/>
      <c r="D1150" s="149"/>
      <c r="E1150" s="149"/>
      <c r="F1150" s="149"/>
      <c r="G1150" s="149"/>
      <c r="H1150" s="149"/>
      <c r="I1150" s="149"/>
      <c r="J1150" s="149"/>
      <c r="K1150" s="149"/>
      <c r="L1150" s="149"/>
      <c r="M1150" s="149"/>
      <c r="N1150" s="149"/>
      <c r="O1150" s="149"/>
      <c r="P1150" s="149"/>
      <c r="Q1150" s="149"/>
      <c r="R1150" s="149"/>
      <c r="S1150" s="149"/>
      <c r="T1150" s="149"/>
      <c r="U1150" s="149"/>
      <c r="V1150" s="149"/>
      <c r="W1150" s="149"/>
      <c r="X1150" s="149"/>
      <c r="Y1150" s="149"/>
      <c r="Z1150" s="149"/>
      <c r="AA1150" s="149"/>
      <c r="AB1150" s="149"/>
      <c r="AC1150" s="149"/>
      <c r="AD1150" s="148"/>
      <c r="AE1150" s="148"/>
      <c r="AF1150" s="148"/>
      <c r="DB1150" s="149"/>
    </row>
    <row r="1151" spans="2:106">
      <c r="B1151" s="149"/>
      <c r="C1151" s="149"/>
      <c r="D1151" s="149"/>
      <c r="E1151" s="149"/>
      <c r="F1151" s="149"/>
      <c r="G1151" s="149"/>
      <c r="H1151" s="149"/>
      <c r="I1151" s="149"/>
      <c r="J1151" s="149"/>
      <c r="K1151" s="149"/>
      <c r="L1151" s="149"/>
      <c r="M1151" s="149"/>
      <c r="N1151" s="149"/>
      <c r="O1151" s="149"/>
      <c r="P1151" s="149"/>
      <c r="Q1151" s="149"/>
      <c r="R1151" s="149"/>
      <c r="S1151" s="149"/>
      <c r="T1151" s="149"/>
      <c r="U1151" s="149"/>
      <c r="V1151" s="149"/>
      <c r="W1151" s="149"/>
      <c r="X1151" s="149"/>
      <c r="Y1151" s="149"/>
      <c r="Z1151" s="149"/>
      <c r="AA1151" s="149"/>
      <c r="AB1151" s="149"/>
      <c r="AC1151" s="149"/>
      <c r="AD1151" s="148"/>
      <c r="AE1151" s="148"/>
      <c r="AF1151" s="148"/>
      <c r="DB1151" s="149"/>
    </row>
    <row r="1152" spans="2:106">
      <c r="B1152" s="149"/>
      <c r="C1152" s="149"/>
      <c r="D1152" s="149"/>
      <c r="E1152" s="149"/>
      <c r="F1152" s="149"/>
      <c r="G1152" s="149"/>
      <c r="H1152" s="149"/>
      <c r="I1152" s="149"/>
      <c r="J1152" s="149"/>
      <c r="K1152" s="149"/>
      <c r="L1152" s="149"/>
      <c r="M1152" s="149"/>
      <c r="N1152" s="149"/>
      <c r="O1152" s="149"/>
      <c r="P1152" s="149"/>
      <c r="Q1152" s="149"/>
      <c r="R1152" s="149"/>
      <c r="S1152" s="149"/>
      <c r="T1152" s="149"/>
      <c r="U1152" s="149"/>
      <c r="V1152" s="149"/>
      <c r="W1152" s="149"/>
      <c r="X1152" s="149"/>
      <c r="Y1152" s="149"/>
      <c r="Z1152" s="149"/>
      <c r="AA1152" s="149"/>
      <c r="AB1152" s="149"/>
      <c r="AC1152" s="149"/>
      <c r="AD1152" s="148"/>
      <c r="AE1152" s="148"/>
      <c r="AF1152" s="148"/>
      <c r="DB1152" s="149"/>
    </row>
    <row r="1153" spans="2:106">
      <c r="B1153" s="149"/>
      <c r="C1153" s="149"/>
      <c r="D1153" s="149"/>
      <c r="E1153" s="149"/>
      <c r="F1153" s="149"/>
      <c r="G1153" s="149"/>
      <c r="H1153" s="149"/>
      <c r="I1153" s="149"/>
      <c r="J1153" s="149"/>
      <c r="K1153" s="149"/>
      <c r="L1153" s="149"/>
      <c r="M1153" s="149"/>
      <c r="N1153" s="149"/>
      <c r="O1153" s="149"/>
      <c r="P1153" s="149"/>
      <c r="Q1153" s="149"/>
      <c r="R1153" s="149"/>
      <c r="S1153" s="149"/>
      <c r="T1153" s="149"/>
      <c r="U1153" s="149"/>
      <c r="V1153" s="149"/>
      <c r="W1153" s="149"/>
      <c r="X1153" s="149"/>
      <c r="Y1153" s="149"/>
      <c r="Z1153" s="149"/>
      <c r="AA1153" s="149"/>
      <c r="AB1153" s="149"/>
      <c r="AC1153" s="149"/>
      <c r="AD1153" s="148"/>
      <c r="AE1153" s="148"/>
      <c r="AF1153" s="148"/>
      <c r="DB1153" s="149"/>
    </row>
    <row r="1154" spans="2:106">
      <c r="B1154" s="149"/>
      <c r="C1154" s="149"/>
      <c r="D1154" s="149"/>
      <c r="E1154" s="149"/>
      <c r="F1154" s="149"/>
      <c r="G1154" s="149"/>
      <c r="H1154" s="149"/>
      <c r="I1154" s="149"/>
      <c r="J1154" s="149"/>
      <c r="K1154" s="149"/>
      <c r="L1154" s="149"/>
      <c r="M1154" s="149"/>
      <c r="N1154" s="149"/>
      <c r="O1154" s="149"/>
      <c r="P1154" s="149"/>
      <c r="Q1154" s="149"/>
      <c r="R1154" s="149"/>
      <c r="S1154" s="149"/>
      <c r="T1154" s="149"/>
      <c r="U1154" s="149"/>
      <c r="V1154" s="149"/>
      <c r="W1154" s="149"/>
      <c r="X1154" s="149"/>
      <c r="Y1154" s="149"/>
      <c r="Z1154" s="149"/>
      <c r="AA1154" s="149"/>
      <c r="AB1154" s="149"/>
      <c r="AC1154" s="149"/>
      <c r="AD1154" s="148"/>
      <c r="AE1154" s="148"/>
      <c r="AF1154" s="148"/>
      <c r="DB1154" s="149"/>
    </row>
    <row r="1155" spans="2:106">
      <c r="B1155" s="149"/>
      <c r="C1155" s="149"/>
      <c r="D1155" s="149"/>
      <c r="E1155" s="149"/>
      <c r="F1155" s="149"/>
      <c r="G1155" s="149"/>
      <c r="H1155" s="149"/>
      <c r="I1155" s="149"/>
      <c r="J1155" s="149"/>
      <c r="K1155" s="149"/>
      <c r="L1155" s="149"/>
      <c r="M1155" s="149"/>
      <c r="N1155" s="149"/>
      <c r="O1155" s="149"/>
      <c r="P1155" s="149"/>
      <c r="Q1155" s="149"/>
      <c r="R1155" s="149"/>
      <c r="S1155" s="149"/>
      <c r="T1155" s="149"/>
      <c r="U1155" s="149"/>
      <c r="V1155" s="149"/>
      <c r="W1155" s="149"/>
      <c r="X1155" s="149"/>
      <c r="Y1155" s="149"/>
      <c r="Z1155" s="149"/>
      <c r="AA1155" s="149"/>
      <c r="AB1155" s="149"/>
      <c r="AC1155" s="149"/>
      <c r="AD1155" s="148"/>
      <c r="AE1155" s="148"/>
      <c r="AF1155" s="148"/>
      <c r="DB1155" s="149"/>
    </row>
    <row r="1156" spans="2:106">
      <c r="B1156" s="149"/>
      <c r="C1156" s="149"/>
      <c r="D1156" s="149"/>
      <c r="E1156" s="149"/>
      <c r="F1156" s="149"/>
      <c r="G1156" s="149"/>
      <c r="H1156" s="149"/>
      <c r="I1156" s="149"/>
      <c r="J1156" s="149"/>
      <c r="K1156" s="149"/>
      <c r="L1156" s="149"/>
      <c r="M1156" s="149"/>
      <c r="N1156" s="149"/>
      <c r="O1156" s="149"/>
      <c r="P1156" s="149"/>
      <c r="Q1156" s="149"/>
      <c r="R1156" s="149"/>
      <c r="S1156" s="149"/>
      <c r="T1156" s="149"/>
      <c r="U1156" s="149"/>
      <c r="V1156" s="149"/>
      <c r="W1156" s="149"/>
      <c r="X1156" s="149"/>
      <c r="Y1156" s="149"/>
      <c r="Z1156" s="149"/>
      <c r="AA1156" s="149"/>
      <c r="AB1156" s="149"/>
      <c r="AC1156" s="149"/>
      <c r="AD1156" s="148"/>
      <c r="AE1156" s="148"/>
      <c r="AF1156" s="148"/>
      <c r="DB1156" s="149"/>
    </row>
    <row r="1157" spans="2:106">
      <c r="B1157" s="149"/>
      <c r="C1157" s="149"/>
      <c r="D1157" s="149"/>
      <c r="E1157" s="149"/>
      <c r="F1157" s="149"/>
      <c r="G1157" s="149"/>
      <c r="H1157" s="149"/>
      <c r="I1157" s="149"/>
      <c r="J1157" s="149"/>
      <c r="K1157" s="149"/>
      <c r="L1157" s="149"/>
      <c r="M1157" s="149"/>
      <c r="N1157" s="149"/>
      <c r="O1157" s="149"/>
      <c r="P1157" s="149"/>
      <c r="Q1157" s="149"/>
      <c r="R1157" s="149"/>
      <c r="S1157" s="149"/>
      <c r="T1157" s="149"/>
      <c r="U1157" s="149"/>
      <c r="V1157" s="149"/>
      <c r="W1157" s="149"/>
      <c r="X1157" s="149"/>
      <c r="Y1157" s="149"/>
      <c r="Z1157" s="149"/>
      <c r="AA1157" s="149"/>
      <c r="AB1157" s="149"/>
      <c r="AC1157" s="149"/>
      <c r="AD1157" s="148"/>
      <c r="AE1157" s="148"/>
      <c r="AF1157" s="148"/>
      <c r="DB1157" s="149"/>
    </row>
    <row r="1158" spans="2:106">
      <c r="B1158" s="149"/>
      <c r="C1158" s="149"/>
      <c r="D1158" s="149"/>
      <c r="E1158" s="149"/>
      <c r="F1158" s="149"/>
      <c r="G1158" s="149"/>
      <c r="H1158" s="149"/>
      <c r="I1158" s="149"/>
      <c r="J1158" s="149"/>
      <c r="K1158" s="149"/>
      <c r="L1158" s="149"/>
      <c r="M1158" s="149"/>
      <c r="N1158" s="149"/>
      <c r="O1158" s="149"/>
      <c r="P1158" s="149"/>
      <c r="Q1158" s="149"/>
      <c r="R1158" s="149"/>
      <c r="S1158" s="149"/>
      <c r="T1158" s="149"/>
      <c r="U1158" s="149"/>
      <c r="V1158" s="149"/>
      <c r="W1158" s="149"/>
      <c r="X1158" s="149"/>
      <c r="Y1158" s="149"/>
      <c r="Z1158" s="149"/>
      <c r="AA1158" s="149"/>
      <c r="AB1158" s="149"/>
      <c r="AC1158" s="149"/>
      <c r="AD1158" s="148"/>
      <c r="AE1158" s="148"/>
      <c r="AF1158" s="148"/>
      <c r="DB1158" s="149"/>
    </row>
    <row r="1159" spans="2:106">
      <c r="B1159" s="149"/>
      <c r="C1159" s="149"/>
      <c r="D1159" s="149"/>
      <c r="E1159" s="149"/>
      <c r="F1159" s="149"/>
      <c r="G1159" s="149"/>
      <c r="H1159" s="149"/>
      <c r="I1159" s="149"/>
      <c r="J1159" s="149"/>
      <c r="K1159" s="149"/>
      <c r="L1159" s="149"/>
      <c r="M1159" s="149"/>
      <c r="N1159" s="149"/>
      <c r="O1159" s="149"/>
      <c r="P1159" s="149"/>
      <c r="Q1159" s="149"/>
      <c r="R1159" s="149"/>
      <c r="S1159" s="149"/>
      <c r="T1159" s="149"/>
      <c r="U1159" s="149"/>
      <c r="V1159" s="149"/>
      <c r="W1159" s="149"/>
      <c r="X1159" s="149"/>
      <c r="Y1159" s="149"/>
      <c r="Z1159" s="149"/>
      <c r="AA1159" s="149"/>
      <c r="AB1159" s="149"/>
      <c r="AC1159" s="149"/>
      <c r="AD1159" s="148"/>
      <c r="AE1159" s="148"/>
      <c r="AF1159" s="148"/>
      <c r="DB1159" s="149"/>
    </row>
    <row r="1160" spans="2:106">
      <c r="B1160" s="149"/>
      <c r="C1160" s="149"/>
      <c r="D1160" s="149"/>
      <c r="E1160" s="149"/>
      <c r="F1160" s="149"/>
      <c r="G1160" s="149"/>
      <c r="H1160" s="149"/>
      <c r="I1160" s="149"/>
      <c r="J1160" s="149"/>
      <c r="K1160" s="149"/>
      <c r="L1160" s="149"/>
      <c r="M1160" s="149"/>
      <c r="N1160" s="149"/>
      <c r="O1160" s="149"/>
      <c r="P1160" s="149"/>
      <c r="Q1160" s="149"/>
      <c r="R1160" s="149"/>
      <c r="S1160" s="149"/>
      <c r="T1160" s="149"/>
      <c r="U1160" s="149"/>
      <c r="V1160" s="149"/>
      <c r="W1160" s="149"/>
      <c r="X1160" s="149"/>
      <c r="Y1160" s="149"/>
      <c r="Z1160" s="149"/>
      <c r="AA1160" s="149"/>
      <c r="AB1160" s="149"/>
      <c r="AC1160" s="149"/>
      <c r="AD1160" s="148"/>
      <c r="AE1160" s="148"/>
      <c r="AF1160" s="148"/>
      <c r="DB1160" s="149"/>
    </row>
    <row r="1161" spans="2:106">
      <c r="B1161" s="149"/>
      <c r="C1161" s="149"/>
      <c r="D1161" s="149"/>
      <c r="E1161" s="149"/>
      <c r="F1161" s="149"/>
      <c r="G1161" s="149"/>
      <c r="H1161" s="149"/>
      <c r="I1161" s="149"/>
      <c r="J1161" s="149"/>
      <c r="K1161" s="149"/>
      <c r="L1161" s="149"/>
      <c r="M1161" s="149"/>
      <c r="N1161" s="149"/>
      <c r="O1161" s="149"/>
      <c r="P1161" s="149"/>
      <c r="Q1161" s="149"/>
      <c r="R1161" s="149"/>
      <c r="S1161" s="149"/>
      <c r="T1161" s="149"/>
      <c r="U1161" s="149"/>
      <c r="V1161" s="149"/>
      <c r="W1161" s="149"/>
      <c r="X1161" s="149"/>
      <c r="Y1161" s="149"/>
      <c r="Z1161" s="149"/>
      <c r="AA1161" s="149"/>
      <c r="AB1161" s="149"/>
      <c r="AC1161" s="149"/>
      <c r="AD1161" s="148"/>
      <c r="AE1161" s="148"/>
      <c r="AF1161" s="148"/>
      <c r="DB1161" s="149"/>
    </row>
    <row r="1162" spans="2:106">
      <c r="B1162" s="149"/>
      <c r="C1162" s="149"/>
      <c r="D1162" s="149"/>
      <c r="E1162" s="149"/>
      <c r="F1162" s="149"/>
      <c r="G1162" s="149"/>
      <c r="H1162" s="149"/>
      <c r="I1162" s="149"/>
      <c r="J1162" s="149"/>
      <c r="K1162" s="149"/>
      <c r="L1162" s="149"/>
      <c r="M1162" s="149"/>
      <c r="N1162" s="149"/>
      <c r="O1162" s="149"/>
      <c r="P1162" s="149"/>
      <c r="Q1162" s="149"/>
      <c r="R1162" s="149"/>
      <c r="S1162" s="149"/>
      <c r="T1162" s="149"/>
      <c r="U1162" s="149"/>
      <c r="V1162" s="149"/>
      <c r="W1162" s="149"/>
      <c r="X1162" s="149"/>
      <c r="Y1162" s="149"/>
      <c r="Z1162" s="149"/>
      <c r="AA1162" s="149"/>
      <c r="AB1162" s="149"/>
      <c r="AC1162" s="149"/>
      <c r="AD1162" s="148"/>
      <c r="AE1162" s="148"/>
      <c r="AF1162" s="148"/>
      <c r="DB1162" s="149"/>
    </row>
    <row r="1163" spans="2:106">
      <c r="B1163" s="149"/>
      <c r="C1163" s="149"/>
      <c r="D1163" s="149"/>
      <c r="E1163" s="149"/>
      <c r="F1163" s="149"/>
      <c r="G1163" s="149"/>
      <c r="H1163" s="149"/>
      <c r="I1163" s="149"/>
      <c r="J1163" s="149"/>
      <c r="K1163" s="149"/>
      <c r="L1163" s="149"/>
      <c r="M1163" s="149"/>
      <c r="N1163" s="149"/>
      <c r="O1163" s="149"/>
      <c r="P1163" s="149"/>
      <c r="Q1163" s="149"/>
      <c r="R1163" s="149"/>
      <c r="S1163" s="149"/>
      <c r="T1163" s="149"/>
      <c r="U1163" s="149"/>
      <c r="V1163" s="149"/>
      <c r="W1163" s="149"/>
      <c r="X1163" s="149"/>
      <c r="Y1163" s="149"/>
      <c r="Z1163" s="149"/>
      <c r="AA1163" s="149"/>
      <c r="AB1163" s="149"/>
      <c r="AC1163" s="149"/>
      <c r="AD1163" s="148"/>
      <c r="AE1163" s="148"/>
      <c r="AF1163" s="148"/>
      <c r="DB1163" s="149"/>
    </row>
    <row r="1164" spans="2:106">
      <c r="B1164" s="149"/>
      <c r="C1164" s="149"/>
      <c r="D1164" s="149"/>
      <c r="E1164" s="149"/>
      <c r="F1164" s="149"/>
      <c r="G1164" s="149"/>
      <c r="H1164" s="149"/>
      <c r="I1164" s="149"/>
      <c r="J1164" s="149"/>
      <c r="K1164" s="149"/>
      <c r="L1164" s="149"/>
      <c r="M1164" s="149"/>
      <c r="N1164" s="149"/>
      <c r="O1164" s="149"/>
      <c r="P1164" s="149"/>
      <c r="Q1164" s="149"/>
      <c r="R1164" s="149"/>
      <c r="S1164" s="149"/>
      <c r="T1164" s="149"/>
      <c r="U1164" s="149"/>
      <c r="V1164" s="149"/>
      <c r="W1164" s="149"/>
      <c r="X1164" s="149"/>
      <c r="Y1164" s="149"/>
      <c r="Z1164" s="149"/>
      <c r="AA1164" s="149"/>
      <c r="AB1164" s="149"/>
      <c r="AC1164" s="149"/>
      <c r="AD1164" s="148"/>
      <c r="AE1164" s="148"/>
      <c r="AF1164" s="148"/>
      <c r="DB1164" s="149"/>
    </row>
    <row r="1165" spans="2:106">
      <c r="B1165" s="149"/>
      <c r="C1165" s="149"/>
      <c r="D1165" s="149"/>
      <c r="E1165" s="149"/>
      <c r="F1165" s="149"/>
      <c r="G1165" s="149"/>
      <c r="H1165" s="149"/>
      <c r="I1165" s="149"/>
      <c r="J1165" s="149"/>
      <c r="K1165" s="149"/>
      <c r="L1165" s="149"/>
      <c r="M1165" s="149"/>
      <c r="N1165" s="149"/>
      <c r="O1165" s="149"/>
      <c r="P1165" s="149"/>
      <c r="Q1165" s="149"/>
      <c r="R1165" s="149"/>
      <c r="S1165" s="149"/>
      <c r="T1165" s="149"/>
      <c r="U1165" s="149"/>
      <c r="V1165" s="149"/>
      <c r="W1165" s="149"/>
      <c r="X1165" s="149"/>
      <c r="Y1165" s="149"/>
      <c r="Z1165" s="149"/>
      <c r="AA1165" s="149"/>
      <c r="AB1165" s="149"/>
      <c r="AC1165" s="149"/>
      <c r="AD1165" s="148"/>
      <c r="AE1165" s="148"/>
      <c r="AF1165" s="148"/>
      <c r="DB1165" s="149"/>
    </row>
    <row r="1166" spans="2:106">
      <c r="B1166" s="149"/>
      <c r="C1166" s="149"/>
      <c r="D1166" s="149"/>
      <c r="E1166" s="149"/>
      <c r="F1166" s="149"/>
      <c r="G1166" s="149"/>
      <c r="H1166" s="149"/>
      <c r="I1166" s="149"/>
      <c r="J1166" s="149"/>
      <c r="K1166" s="149"/>
      <c r="L1166" s="149"/>
      <c r="M1166" s="149"/>
      <c r="N1166" s="149"/>
      <c r="O1166" s="149"/>
      <c r="P1166" s="149"/>
      <c r="Q1166" s="149"/>
      <c r="R1166" s="149"/>
      <c r="S1166" s="149"/>
      <c r="T1166" s="149"/>
      <c r="U1166" s="149"/>
      <c r="V1166" s="149"/>
      <c r="W1166" s="149"/>
      <c r="X1166" s="149"/>
      <c r="Y1166" s="149"/>
      <c r="Z1166" s="149"/>
      <c r="AA1166" s="149"/>
      <c r="AB1166" s="149"/>
      <c r="AC1166" s="149"/>
      <c r="AD1166" s="148"/>
      <c r="AE1166" s="148"/>
      <c r="AF1166" s="148"/>
      <c r="DB1166" s="149"/>
    </row>
    <row r="1167" spans="2:106">
      <c r="B1167" s="149"/>
      <c r="C1167" s="149"/>
      <c r="D1167" s="149"/>
      <c r="E1167" s="149"/>
      <c r="F1167" s="149"/>
      <c r="G1167" s="149"/>
      <c r="H1167" s="149"/>
      <c r="I1167" s="149"/>
      <c r="J1167" s="149"/>
      <c r="K1167" s="149"/>
      <c r="L1167" s="149"/>
      <c r="M1167" s="149"/>
      <c r="N1167" s="149"/>
      <c r="O1167" s="149"/>
      <c r="P1167" s="149"/>
      <c r="Q1167" s="149"/>
      <c r="R1167" s="149"/>
      <c r="S1167" s="149"/>
      <c r="T1167" s="149"/>
      <c r="U1167" s="149"/>
      <c r="V1167" s="149"/>
      <c r="W1167" s="149"/>
      <c r="X1167" s="149"/>
      <c r="Y1167" s="149"/>
      <c r="Z1167" s="149"/>
      <c r="AA1167" s="149"/>
      <c r="AB1167" s="149"/>
      <c r="AC1167" s="149"/>
      <c r="AD1167" s="148"/>
      <c r="AE1167" s="148"/>
      <c r="AF1167" s="148"/>
      <c r="DB1167" s="149"/>
    </row>
    <row r="1168" spans="2:106">
      <c r="B1168" s="149"/>
      <c r="C1168" s="149"/>
      <c r="D1168" s="149"/>
      <c r="E1168" s="149"/>
      <c r="F1168" s="149"/>
      <c r="G1168" s="149"/>
      <c r="H1168" s="149"/>
      <c r="I1168" s="149"/>
      <c r="J1168" s="149"/>
      <c r="K1168" s="149"/>
      <c r="L1168" s="149"/>
      <c r="M1168" s="149"/>
      <c r="N1168" s="149"/>
      <c r="O1168" s="149"/>
      <c r="P1168" s="149"/>
      <c r="Q1168" s="149"/>
      <c r="R1168" s="149"/>
      <c r="S1168" s="149"/>
      <c r="T1168" s="149"/>
      <c r="U1168" s="149"/>
      <c r="V1168" s="149"/>
      <c r="W1168" s="149"/>
      <c r="X1168" s="149"/>
      <c r="Y1168" s="149"/>
      <c r="Z1168" s="149"/>
      <c r="AA1168" s="149"/>
      <c r="AB1168" s="149"/>
      <c r="AC1168" s="149"/>
      <c r="AD1168" s="148"/>
      <c r="AE1168" s="148"/>
      <c r="AF1168" s="148"/>
      <c r="DB1168" s="149"/>
    </row>
    <row r="1169" spans="2:106">
      <c r="B1169" s="149"/>
      <c r="C1169" s="149"/>
      <c r="D1169" s="149"/>
      <c r="E1169" s="149"/>
      <c r="F1169" s="149"/>
      <c r="G1169" s="149"/>
      <c r="H1169" s="149"/>
      <c r="I1169" s="149"/>
      <c r="J1169" s="149"/>
      <c r="K1169" s="149"/>
      <c r="L1169" s="149"/>
      <c r="M1169" s="149"/>
      <c r="N1169" s="149"/>
      <c r="O1169" s="149"/>
      <c r="P1169" s="149"/>
      <c r="Q1169" s="149"/>
      <c r="R1169" s="149"/>
      <c r="S1169" s="149"/>
      <c r="T1169" s="149"/>
      <c r="U1169" s="149"/>
      <c r="V1169" s="149"/>
      <c r="W1169" s="149"/>
      <c r="X1169" s="149"/>
      <c r="Y1169" s="149"/>
      <c r="Z1169" s="149"/>
      <c r="AA1169" s="149"/>
      <c r="AB1169" s="149"/>
      <c r="AC1169" s="149"/>
      <c r="AD1169" s="148"/>
      <c r="AE1169" s="148"/>
      <c r="AF1169" s="148"/>
      <c r="DB1169" s="149"/>
    </row>
    <row r="1170" spans="2:106">
      <c r="B1170" s="149"/>
      <c r="C1170" s="149"/>
      <c r="D1170" s="149"/>
      <c r="E1170" s="149"/>
      <c r="F1170" s="149"/>
      <c r="G1170" s="149"/>
      <c r="H1170" s="149"/>
      <c r="I1170" s="149"/>
      <c r="J1170" s="149"/>
      <c r="K1170" s="149"/>
      <c r="L1170" s="149"/>
      <c r="M1170" s="149"/>
      <c r="N1170" s="149"/>
      <c r="O1170" s="149"/>
      <c r="P1170" s="149"/>
      <c r="Q1170" s="149"/>
      <c r="R1170" s="149"/>
      <c r="S1170" s="149"/>
      <c r="T1170" s="149"/>
      <c r="U1170" s="149"/>
      <c r="V1170" s="149"/>
      <c r="W1170" s="149"/>
      <c r="X1170" s="149"/>
      <c r="Y1170" s="149"/>
      <c r="Z1170" s="149"/>
      <c r="AA1170" s="149"/>
      <c r="AB1170" s="149"/>
      <c r="AC1170" s="149"/>
      <c r="AD1170" s="148"/>
      <c r="AE1170" s="148"/>
      <c r="AF1170" s="148"/>
      <c r="DB1170" s="149"/>
    </row>
    <row r="1171" spans="2:106">
      <c r="B1171" s="149"/>
      <c r="C1171" s="149"/>
      <c r="D1171" s="149"/>
      <c r="E1171" s="149"/>
      <c r="F1171" s="149"/>
      <c r="G1171" s="149"/>
      <c r="H1171" s="149"/>
      <c r="I1171" s="149"/>
      <c r="J1171" s="149"/>
      <c r="K1171" s="149"/>
      <c r="L1171" s="149"/>
      <c r="M1171" s="149"/>
      <c r="N1171" s="149"/>
      <c r="O1171" s="149"/>
      <c r="P1171" s="149"/>
      <c r="Q1171" s="149"/>
      <c r="R1171" s="149"/>
      <c r="S1171" s="149"/>
      <c r="T1171" s="149"/>
      <c r="U1171" s="149"/>
      <c r="V1171" s="149"/>
      <c r="W1171" s="149"/>
      <c r="X1171" s="149"/>
      <c r="Y1171" s="149"/>
      <c r="Z1171" s="149"/>
      <c r="AA1171" s="149"/>
      <c r="AB1171" s="149"/>
      <c r="AC1171" s="149"/>
      <c r="AD1171" s="148"/>
      <c r="AE1171" s="148"/>
      <c r="AF1171" s="148"/>
      <c r="DB1171" s="149"/>
    </row>
    <row r="1172" spans="2:106">
      <c r="B1172" s="149"/>
      <c r="C1172" s="149"/>
      <c r="D1172" s="149"/>
      <c r="E1172" s="149"/>
      <c r="F1172" s="149"/>
      <c r="G1172" s="149"/>
      <c r="H1172" s="149"/>
      <c r="I1172" s="149"/>
      <c r="J1172" s="149"/>
      <c r="K1172" s="149"/>
      <c r="L1172" s="149"/>
      <c r="M1172" s="149"/>
      <c r="N1172" s="149"/>
      <c r="O1172" s="149"/>
      <c r="P1172" s="149"/>
      <c r="Q1172" s="149"/>
      <c r="R1172" s="149"/>
      <c r="S1172" s="149"/>
      <c r="T1172" s="149"/>
      <c r="U1172" s="149"/>
      <c r="V1172" s="149"/>
      <c r="W1172" s="149"/>
      <c r="X1172" s="149"/>
      <c r="Y1172" s="149"/>
      <c r="Z1172" s="149"/>
      <c r="AA1172" s="149"/>
      <c r="AB1172" s="149"/>
      <c r="AC1172" s="149"/>
      <c r="AD1172" s="148"/>
      <c r="AE1172" s="148"/>
      <c r="AF1172" s="148"/>
      <c r="DB1172" s="149"/>
    </row>
    <row r="1173" spans="2:106">
      <c r="B1173" s="149"/>
      <c r="C1173" s="149"/>
      <c r="D1173" s="149"/>
      <c r="E1173" s="149"/>
      <c r="F1173" s="149"/>
      <c r="G1173" s="149"/>
      <c r="H1173" s="149"/>
      <c r="I1173" s="149"/>
      <c r="J1173" s="149"/>
      <c r="K1173" s="149"/>
      <c r="L1173" s="149"/>
      <c r="M1173" s="149"/>
      <c r="N1173" s="149"/>
      <c r="O1173" s="149"/>
      <c r="P1173" s="149"/>
      <c r="Q1173" s="149"/>
      <c r="R1173" s="149"/>
      <c r="S1173" s="149"/>
      <c r="T1173" s="149"/>
      <c r="U1173" s="149"/>
      <c r="V1173" s="149"/>
      <c r="W1173" s="149"/>
      <c r="X1173" s="149"/>
      <c r="Y1173" s="149"/>
      <c r="Z1173" s="149"/>
      <c r="AA1173" s="149"/>
      <c r="AB1173" s="149"/>
      <c r="AC1173" s="149"/>
      <c r="AD1173" s="148"/>
      <c r="AE1173" s="148"/>
      <c r="AF1173" s="148"/>
      <c r="DB1173" s="149"/>
    </row>
    <row r="1174" spans="2:106">
      <c r="B1174" s="149"/>
      <c r="C1174" s="149"/>
      <c r="D1174" s="149"/>
      <c r="E1174" s="149"/>
      <c r="F1174" s="149"/>
      <c r="G1174" s="149"/>
      <c r="H1174" s="149"/>
      <c r="I1174" s="149"/>
      <c r="J1174" s="149"/>
      <c r="K1174" s="149"/>
      <c r="L1174" s="149"/>
      <c r="M1174" s="149"/>
      <c r="N1174" s="149"/>
      <c r="O1174" s="149"/>
      <c r="P1174" s="149"/>
      <c r="Q1174" s="149"/>
      <c r="R1174" s="149"/>
      <c r="S1174" s="149"/>
      <c r="T1174" s="149"/>
      <c r="U1174" s="149"/>
      <c r="V1174" s="149"/>
      <c r="W1174" s="149"/>
      <c r="X1174" s="149"/>
      <c r="Y1174" s="149"/>
      <c r="Z1174" s="149"/>
      <c r="AA1174" s="149"/>
      <c r="AB1174" s="149"/>
      <c r="AC1174" s="149"/>
      <c r="AD1174" s="148"/>
      <c r="AE1174" s="148"/>
      <c r="AF1174" s="148"/>
      <c r="DB1174" s="149"/>
    </row>
    <row r="1175" spans="2:106">
      <c r="B1175" s="149"/>
      <c r="C1175" s="149"/>
      <c r="D1175" s="149"/>
      <c r="E1175" s="149"/>
      <c r="F1175" s="149"/>
      <c r="G1175" s="149"/>
      <c r="H1175" s="149"/>
      <c r="I1175" s="149"/>
      <c r="J1175" s="149"/>
      <c r="K1175" s="149"/>
      <c r="L1175" s="149"/>
      <c r="M1175" s="149"/>
      <c r="N1175" s="149"/>
      <c r="O1175" s="149"/>
      <c r="P1175" s="149"/>
      <c r="Q1175" s="149"/>
      <c r="R1175" s="149"/>
      <c r="S1175" s="149"/>
      <c r="T1175" s="149"/>
      <c r="U1175" s="149"/>
      <c r="V1175" s="149"/>
      <c r="W1175" s="149"/>
      <c r="X1175" s="149"/>
      <c r="Y1175" s="149"/>
      <c r="Z1175" s="149"/>
      <c r="AA1175" s="149"/>
      <c r="AB1175" s="149"/>
      <c r="AC1175" s="149"/>
      <c r="AD1175" s="148"/>
      <c r="AE1175" s="148"/>
      <c r="AF1175" s="148"/>
      <c r="DB1175" s="149"/>
    </row>
    <row r="1176" spans="2:106">
      <c r="B1176" s="149"/>
      <c r="C1176" s="149"/>
      <c r="D1176" s="149"/>
      <c r="E1176" s="149"/>
      <c r="F1176" s="149"/>
      <c r="G1176" s="149"/>
      <c r="H1176" s="149"/>
      <c r="I1176" s="149"/>
      <c r="J1176" s="149"/>
      <c r="K1176" s="149"/>
      <c r="L1176" s="149"/>
      <c r="M1176" s="149"/>
      <c r="N1176" s="149"/>
      <c r="O1176" s="149"/>
      <c r="P1176" s="149"/>
      <c r="Q1176" s="149"/>
      <c r="R1176" s="149"/>
      <c r="S1176" s="149"/>
      <c r="T1176" s="149"/>
      <c r="U1176" s="149"/>
      <c r="V1176" s="149"/>
      <c r="W1176" s="149"/>
      <c r="X1176" s="149"/>
      <c r="Y1176" s="149"/>
      <c r="Z1176" s="149"/>
      <c r="AA1176" s="149"/>
      <c r="AB1176" s="149"/>
      <c r="AC1176" s="149"/>
      <c r="AD1176" s="148"/>
      <c r="AE1176" s="148"/>
      <c r="AF1176" s="148"/>
      <c r="DB1176" s="149"/>
    </row>
    <row r="1177" spans="2:106">
      <c r="B1177" s="149"/>
      <c r="C1177" s="149"/>
      <c r="D1177" s="149"/>
      <c r="E1177" s="149"/>
      <c r="F1177" s="149"/>
      <c r="G1177" s="149"/>
      <c r="H1177" s="149"/>
      <c r="I1177" s="149"/>
      <c r="J1177" s="149"/>
      <c r="K1177" s="149"/>
      <c r="L1177" s="149"/>
      <c r="M1177" s="149"/>
      <c r="N1177" s="149"/>
      <c r="O1177" s="149"/>
      <c r="P1177" s="149"/>
      <c r="Q1177" s="149"/>
      <c r="R1177" s="149"/>
      <c r="S1177" s="149"/>
      <c r="T1177" s="149"/>
      <c r="U1177" s="149"/>
      <c r="V1177" s="149"/>
      <c r="W1177" s="149"/>
      <c r="X1177" s="149"/>
      <c r="Y1177" s="149"/>
      <c r="Z1177" s="149"/>
      <c r="AA1177" s="149"/>
      <c r="AB1177" s="149"/>
      <c r="AC1177" s="149"/>
      <c r="AD1177" s="148"/>
      <c r="AE1177" s="148"/>
      <c r="AF1177" s="148"/>
      <c r="DB1177" s="149"/>
    </row>
    <row r="1178" spans="2:106">
      <c r="B1178" s="149"/>
      <c r="C1178" s="149"/>
      <c r="D1178" s="149"/>
      <c r="E1178" s="149"/>
      <c r="F1178" s="149"/>
      <c r="G1178" s="149"/>
      <c r="H1178" s="149"/>
      <c r="I1178" s="149"/>
      <c r="J1178" s="149"/>
      <c r="K1178" s="149"/>
      <c r="L1178" s="149"/>
      <c r="M1178" s="149"/>
      <c r="N1178" s="149"/>
      <c r="O1178" s="149"/>
      <c r="P1178" s="149"/>
      <c r="Q1178" s="149"/>
      <c r="R1178" s="149"/>
      <c r="S1178" s="149"/>
      <c r="T1178" s="149"/>
      <c r="U1178" s="149"/>
      <c r="V1178" s="149"/>
      <c r="W1178" s="149"/>
      <c r="X1178" s="149"/>
      <c r="Y1178" s="149"/>
      <c r="Z1178" s="149"/>
      <c r="AA1178" s="149"/>
      <c r="AB1178" s="149"/>
      <c r="AC1178" s="149"/>
      <c r="AD1178" s="148"/>
      <c r="AE1178" s="148"/>
      <c r="AF1178" s="148"/>
      <c r="DB1178" s="149"/>
    </row>
    <row r="1179" spans="2:106">
      <c r="B1179" s="149"/>
      <c r="C1179" s="149"/>
      <c r="D1179" s="149"/>
      <c r="E1179" s="149"/>
      <c r="F1179" s="149"/>
      <c r="G1179" s="149"/>
      <c r="H1179" s="149"/>
      <c r="I1179" s="149"/>
      <c r="J1179" s="149"/>
      <c r="K1179" s="149"/>
      <c r="L1179" s="149"/>
      <c r="M1179" s="149"/>
      <c r="N1179" s="149"/>
      <c r="O1179" s="149"/>
      <c r="P1179" s="149"/>
      <c r="Q1179" s="149"/>
      <c r="R1179" s="149"/>
      <c r="S1179" s="149"/>
      <c r="T1179" s="149"/>
      <c r="U1179" s="149"/>
      <c r="V1179" s="149"/>
      <c r="W1179" s="149"/>
      <c r="X1179" s="149"/>
      <c r="Y1179" s="149"/>
      <c r="Z1179" s="149"/>
      <c r="AA1179" s="149"/>
      <c r="AB1179" s="149"/>
      <c r="AC1179" s="149"/>
      <c r="AD1179" s="148"/>
      <c r="AE1179" s="148"/>
      <c r="AF1179" s="148"/>
      <c r="DB1179" s="149"/>
    </row>
    <row r="1180" spans="2:106">
      <c r="B1180" s="149"/>
      <c r="C1180" s="149"/>
      <c r="D1180" s="149"/>
      <c r="E1180" s="149"/>
      <c r="F1180" s="149"/>
      <c r="G1180" s="149"/>
      <c r="H1180" s="149"/>
      <c r="I1180" s="149"/>
      <c r="J1180" s="149"/>
      <c r="K1180" s="149"/>
      <c r="L1180" s="149"/>
      <c r="M1180" s="149"/>
      <c r="N1180" s="149"/>
      <c r="O1180" s="149"/>
      <c r="P1180" s="149"/>
      <c r="Q1180" s="149"/>
      <c r="R1180" s="149"/>
      <c r="S1180" s="149"/>
      <c r="T1180" s="149"/>
      <c r="U1180" s="149"/>
      <c r="V1180" s="149"/>
      <c r="W1180" s="149"/>
      <c r="X1180" s="149"/>
      <c r="Y1180" s="149"/>
      <c r="Z1180" s="149"/>
      <c r="AA1180" s="149"/>
      <c r="AB1180" s="149"/>
      <c r="AC1180" s="149"/>
      <c r="AD1180" s="148"/>
      <c r="AE1180" s="148"/>
      <c r="AF1180" s="148"/>
      <c r="DB1180" s="149"/>
    </row>
    <row r="1181" spans="2:106">
      <c r="B1181" s="149"/>
      <c r="C1181" s="149"/>
      <c r="D1181" s="149"/>
      <c r="E1181" s="149"/>
      <c r="F1181" s="149"/>
      <c r="G1181" s="149"/>
      <c r="H1181" s="149"/>
      <c r="I1181" s="149"/>
      <c r="J1181" s="149"/>
      <c r="K1181" s="149"/>
      <c r="L1181" s="149"/>
      <c r="M1181" s="149"/>
      <c r="N1181" s="149"/>
      <c r="O1181" s="149"/>
      <c r="P1181" s="149"/>
      <c r="Q1181" s="149"/>
      <c r="R1181" s="149"/>
      <c r="S1181" s="149"/>
      <c r="T1181" s="149"/>
      <c r="U1181" s="149"/>
      <c r="V1181" s="149"/>
      <c r="W1181" s="149"/>
      <c r="X1181" s="149"/>
      <c r="Y1181" s="149"/>
      <c r="Z1181" s="149"/>
      <c r="AA1181" s="149"/>
      <c r="AB1181" s="149"/>
      <c r="AC1181" s="149"/>
      <c r="AD1181" s="148"/>
      <c r="AE1181" s="148"/>
      <c r="AF1181" s="148"/>
      <c r="DB1181" s="149"/>
    </row>
    <row r="1182" spans="2:106">
      <c r="B1182" s="149"/>
      <c r="C1182" s="149"/>
      <c r="D1182" s="149"/>
      <c r="E1182" s="149"/>
      <c r="F1182" s="149"/>
      <c r="G1182" s="149"/>
      <c r="H1182" s="149"/>
      <c r="I1182" s="149"/>
      <c r="J1182" s="149"/>
      <c r="K1182" s="149"/>
      <c r="L1182" s="149"/>
      <c r="M1182" s="149"/>
      <c r="N1182" s="149"/>
      <c r="O1182" s="149"/>
      <c r="P1182" s="149"/>
      <c r="Q1182" s="149"/>
      <c r="R1182" s="149"/>
      <c r="S1182" s="149"/>
      <c r="T1182" s="149"/>
      <c r="U1182" s="149"/>
      <c r="V1182" s="149"/>
      <c r="W1182" s="149"/>
      <c r="X1182" s="149"/>
      <c r="Y1182" s="149"/>
      <c r="Z1182" s="149"/>
      <c r="AA1182" s="149"/>
      <c r="AB1182" s="149"/>
      <c r="AC1182" s="149"/>
      <c r="AD1182" s="148"/>
      <c r="AE1182" s="148"/>
      <c r="AF1182" s="148"/>
      <c r="DB1182" s="149"/>
    </row>
    <row r="1183" spans="2:106">
      <c r="B1183" s="149"/>
      <c r="C1183" s="149"/>
      <c r="D1183" s="149"/>
      <c r="E1183" s="149"/>
      <c r="F1183" s="149"/>
      <c r="G1183" s="149"/>
      <c r="H1183" s="149"/>
      <c r="I1183" s="149"/>
      <c r="J1183" s="149"/>
      <c r="K1183" s="149"/>
      <c r="L1183" s="149"/>
      <c r="M1183" s="149"/>
      <c r="N1183" s="149"/>
      <c r="O1183" s="149"/>
      <c r="P1183" s="149"/>
      <c r="Q1183" s="149"/>
      <c r="R1183" s="149"/>
      <c r="S1183" s="149"/>
      <c r="T1183" s="149"/>
      <c r="U1183" s="149"/>
      <c r="V1183" s="149"/>
      <c r="W1183" s="149"/>
      <c r="X1183" s="149"/>
      <c r="Y1183" s="149"/>
      <c r="Z1183" s="149"/>
      <c r="AA1183" s="149"/>
      <c r="AB1183" s="149"/>
      <c r="AC1183" s="149"/>
      <c r="AD1183" s="148"/>
      <c r="AE1183" s="148"/>
      <c r="AF1183" s="148"/>
      <c r="DB1183" s="149"/>
    </row>
    <row r="1184" spans="2:106">
      <c r="B1184" s="149"/>
      <c r="C1184" s="149"/>
      <c r="D1184" s="149"/>
      <c r="E1184" s="149"/>
      <c r="F1184" s="149"/>
      <c r="G1184" s="149"/>
      <c r="H1184" s="149"/>
      <c r="I1184" s="149"/>
      <c r="J1184" s="149"/>
      <c r="K1184" s="149"/>
      <c r="L1184" s="149"/>
      <c r="M1184" s="149"/>
      <c r="N1184" s="149"/>
      <c r="O1184" s="149"/>
      <c r="P1184" s="149"/>
      <c r="Q1184" s="149"/>
      <c r="R1184" s="149"/>
      <c r="S1184" s="149"/>
      <c r="T1184" s="149"/>
      <c r="U1184" s="149"/>
      <c r="V1184" s="149"/>
      <c r="W1184" s="149"/>
      <c r="X1184" s="149"/>
      <c r="Y1184" s="149"/>
      <c r="Z1184" s="149"/>
      <c r="AA1184" s="149"/>
      <c r="AB1184" s="149"/>
      <c r="AC1184" s="149"/>
      <c r="AD1184" s="148"/>
      <c r="AE1184" s="148"/>
      <c r="AF1184" s="148"/>
      <c r="DB1184" s="149"/>
    </row>
    <row r="1185" spans="2:106">
      <c r="B1185" s="149"/>
      <c r="C1185" s="149"/>
      <c r="D1185" s="149"/>
      <c r="E1185" s="149"/>
      <c r="F1185" s="149"/>
      <c r="G1185" s="149"/>
      <c r="H1185" s="149"/>
      <c r="I1185" s="149"/>
      <c r="J1185" s="149"/>
      <c r="K1185" s="149"/>
      <c r="L1185" s="149"/>
      <c r="M1185" s="149"/>
      <c r="N1185" s="149"/>
      <c r="O1185" s="149"/>
      <c r="P1185" s="149"/>
      <c r="Q1185" s="149"/>
      <c r="R1185" s="149"/>
      <c r="S1185" s="149"/>
      <c r="T1185" s="149"/>
      <c r="U1185" s="149"/>
      <c r="V1185" s="149"/>
      <c r="W1185" s="149"/>
      <c r="X1185" s="149"/>
      <c r="Y1185" s="149"/>
      <c r="Z1185" s="149"/>
      <c r="AA1185" s="149"/>
      <c r="AB1185" s="149"/>
      <c r="AC1185" s="149"/>
      <c r="AD1185" s="148"/>
      <c r="AE1185" s="148"/>
      <c r="AF1185" s="148"/>
      <c r="DB1185" s="149"/>
    </row>
    <row r="1186" spans="2:106">
      <c r="B1186" s="149"/>
      <c r="C1186" s="149"/>
      <c r="D1186" s="149"/>
      <c r="E1186" s="149"/>
      <c r="F1186" s="149"/>
      <c r="G1186" s="149"/>
      <c r="H1186" s="149"/>
      <c r="I1186" s="149"/>
      <c r="J1186" s="149"/>
      <c r="K1186" s="149"/>
      <c r="L1186" s="149"/>
      <c r="M1186" s="149"/>
      <c r="N1186" s="149"/>
      <c r="O1186" s="149"/>
      <c r="P1186" s="149"/>
      <c r="Q1186" s="149"/>
      <c r="R1186" s="149"/>
      <c r="S1186" s="149"/>
      <c r="T1186" s="149"/>
      <c r="U1186" s="149"/>
      <c r="V1186" s="149"/>
      <c r="W1186" s="149"/>
      <c r="X1186" s="149"/>
      <c r="Y1186" s="149"/>
      <c r="Z1186" s="149"/>
      <c r="AA1186" s="149"/>
      <c r="AB1186" s="149"/>
      <c r="AC1186" s="149"/>
      <c r="AD1186" s="148"/>
      <c r="AE1186" s="148"/>
      <c r="AF1186" s="148"/>
      <c r="DB1186" s="149"/>
    </row>
    <row r="1187" spans="2:106">
      <c r="B1187" s="149"/>
      <c r="C1187" s="149"/>
      <c r="D1187" s="149"/>
      <c r="E1187" s="149"/>
      <c r="F1187" s="149"/>
      <c r="G1187" s="149"/>
      <c r="H1187" s="149"/>
      <c r="I1187" s="149"/>
      <c r="J1187" s="149"/>
      <c r="K1187" s="149"/>
      <c r="L1187" s="149"/>
      <c r="M1187" s="149"/>
      <c r="N1187" s="149"/>
      <c r="O1187" s="149"/>
      <c r="P1187" s="149"/>
      <c r="Q1187" s="149"/>
      <c r="R1187" s="149"/>
      <c r="S1187" s="149"/>
      <c r="T1187" s="149"/>
      <c r="U1187" s="149"/>
      <c r="V1187" s="149"/>
      <c r="W1187" s="149"/>
      <c r="X1187" s="149"/>
      <c r="Y1187" s="149"/>
      <c r="Z1187" s="149"/>
      <c r="AA1187" s="149"/>
      <c r="AB1187" s="149"/>
      <c r="AC1187" s="149"/>
      <c r="AD1187" s="148"/>
      <c r="AE1187" s="148"/>
      <c r="AF1187" s="148"/>
      <c r="DB1187" s="149"/>
    </row>
    <row r="1188" spans="2:106">
      <c r="B1188" s="149"/>
      <c r="C1188" s="149"/>
      <c r="D1188" s="149"/>
      <c r="E1188" s="149"/>
      <c r="F1188" s="149"/>
      <c r="G1188" s="149"/>
      <c r="H1188" s="149"/>
      <c r="I1188" s="149"/>
      <c r="J1188" s="149"/>
      <c r="K1188" s="149"/>
      <c r="L1188" s="149"/>
      <c r="M1188" s="149"/>
      <c r="N1188" s="149"/>
      <c r="O1188" s="149"/>
      <c r="P1188" s="149"/>
      <c r="Q1188" s="149"/>
      <c r="R1188" s="149"/>
      <c r="S1188" s="149"/>
      <c r="T1188" s="149"/>
      <c r="U1188" s="149"/>
      <c r="V1188" s="149"/>
      <c r="W1188" s="149"/>
      <c r="X1188" s="149"/>
      <c r="Y1188" s="149"/>
      <c r="Z1188" s="149"/>
      <c r="AA1188" s="149"/>
      <c r="AB1188" s="149"/>
      <c r="AC1188" s="149"/>
      <c r="AD1188" s="148"/>
      <c r="AE1188" s="148"/>
      <c r="AF1188" s="148"/>
      <c r="DB1188" s="149"/>
    </row>
    <row r="1189" spans="2:106">
      <c r="B1189" s="149"/>
      <c r="C1189" s="149"/>
      <c r="D1189" s="149"/>
      <c r="E1189" s="149"/>
      <c r="F1189" s="149"/>
      <c r="G1189" s="149"/>
      <c r="H1189" s="149"/>
      <c r="I1189" s="149"/>
      <c r="J1189" s="149"/>
      <c r="K1189" s="149"/>
      <c r="L1189" s="149"/>
      <c r="M1189" s="149"/>
      <c r="N1189" s="149"/>
      <c r="O1189" s="149"/>
      <c r="P1189" s="149"/>
      <c r="Q1189" s="149"/>
      <c r="R1189" s="149"/>
      <c r="S1189" s="149"/>
      <c r="T1189" s="149"/>
      <c r="U1189" s="149"/>
      <c r="V1189" s="149"/>
      <c r="W1189" s="149"/>
      <c r="X1189" s="149"/>
      <c r="Y1189" s="149"/>
      <c r="Z1189" s="149"/>
      <c r="AA1189" s="149"/>
      <c r="AB1189" s="149"/>
      <c r="AC1189" s="149"/>
      <c r="AD1189" s="148"/>
      <c r="AE1189" s="148"/>
      <c r="AF1189" s="148"/>
      <c r="DB1189" s="149"/>
    </row>
    <row r="1190" spans="2:106">
      <c r="B1190" s="149"/>
      <c r="C1190" s="149"/>
      <c r="D1190" s="149"/>
      <c r="E1190" s="149"/>
      <c r="F1190" s="149"/>
      <c r="G1190" s="149"/>
      <c r="H1190" s="149"/>
      <c r="I1190" s="149"/>
      <c r="J1190" s="149"/>
      <c r="K1190" s="149"/>
      <c r="L1190" s="149"/>
      <c r="M1190" s="149"/>
      <c r="N1190" s="149"/>
      <c r="O1190" s="149"/>
      <c r="P1190" s="149"/>
      <c r="Q1190" s="149"/>
      <c r="R1190" s="149"/>
      <c r="S1190" s="149"/>
      <c r="T1190" s="149"/>
      <c r="U1190" s="149"/>
      <c r="V1190" s="149"/>
      <c r="W1190" s="149"/>
      <c r="X1190" s="149"/>
      <c r="Y1190" s="149"/>
      <c r="Z1190" s="149"/>
      <c r="AA1190" s="149"/>
      <c r="AB1190" s="149"/>
      <c r="AC1190" s="149"/>
      <c r="AD1190" s="148"/>
      <c r="AE1190" s="148"/>
      <c r="AF1190" s="148"/>
      <c r="DB1190" s="149"/>
    </row>
    <row r="1191" spans="2:106">
      <c r="B1191" s="149"/>
      <c r="C1191" s="149"/>
      <c r="D1191" s="149"/>
      <c r="E1191" s="149"/>
      <c r="F1191" s="149"/>
      <c r="G1191" s="149"/>
      <c r="H1191" s="149"/>
      <c r="I1191" s="149"/>
      <c r="J1191" s="149"/>
      <c r="K1191" s="149"/>
      <c r="L1191" s="149"/>
      <c r="M1191" s="149"/>
      <c r="N1191" s="149"/>
      <c r="O1191" s="149"/>
      <c r="P1191" s="149"/>
      <c r="Q1191" s="149"/>
      <c r="R1191" s="149"/>
      <c r="S1191" s="149"/>
      <c r="T1191" s="149"/>
      <c r="U1191" s="149"/>
      <c r="V1191" s="149"/>
      <c r="W1191" s="149"/>
      <c r="X1191" s="149"/>
      <c r="Y1191" s="149"/>
      <c r="Z1191" s="149"/>
      <c r="AA1191" s="149"/>
      <c r="AB1191" s="149"/>
      <c r="AC1191" s="149"/>
      <c r="AD1191" s="148"/>
      <c r="AE1191" s="148"/>
      <c r="AF1191" s="148"/>
      <c r="DB1191" s="149"/>
    </row>
    <row r="1192" spans="2:106">
      <c r="B1192" s="149"/>
      <c r="C1192" s="149"/>
      <c r="D1192" s="149"/>
      <c r="E1192" s="149"/>
      <c r="F1192" s="149"/>
      <c r="G1192" s="149"/>
      <c r="H1192" s="149"/>
      <c r="I1192" s="149"/>
      <c r="J1192" s="149"/>
      <c r="K1192" s="149"/>
      <c r="L1192" s="149"/>
      <c r="M1192" s="149"/>
      <c r="N1192" s="149"/>
      <c r="O1192" s="149"/>
      <c r="P1192" s="149"/>
      <c r="Q1192" s="149"/>
      <c r="R1192" s="149"/>
      <c r="S1192" s="149"/>
      <c r="T1192" s="149"/>
      <c r="U1192" s="149"/>
      <c r="V1192" s="149"/>
      <c r="W1192" s="149"/>
      <c r="X1192" s="149"/>
      <c r="Y1192" s="149"/>
      <c r="Z1192" s="149"/>
      <c r="AA1192" s="149"/>
      <c r="AB1192" s="149"/>
      <c r="AC1192" s="149"/>
      <c r="AD1192" s="148"/>
      <c r="AE1192" s="148"/>
      <c r="AF1192" s="148"/>
      <c r="DB1192" s="149"/>
    </row>
    <row r="1193" spans="2:106">
      <c r="B1193" s="149"/>
      <c r="C1193" s="149"/>
      <c r="D1193" s="149"/>
      <c r="E1193" s="149"/>
      <c r="F1193" s="149"/>
      <c r="G1193" s="149"/>
      <c r="H1193" s="149"/>
      <c r="I1193" s="149"/>
      <c r="J1193" s="149"/>
      <c r="K1193" s="149"/>
      <c r="L1193" s="149"/>
      <c r="M1193" s="149"/>
      <c r="N1193" s="149"/>
      <c r="O1193" s="149"/>
      <c r="P1193" s="149"/>
      <c r="Q1193" s="149"/>
      <c r="R1193" s="149"/>
      <c r="S1193" s="149"/>
      <c r="T1193" s="149"/>
      <c r="U1193" s="149"/>
      <c r="V1193" s="149"/>
      <c r="W1193" s="149"/>
      <c r="X1193" s="149"/>
      <c r="Y1193" s="149"/>
      <c r="Z1193" s="149"/>
      <c r="AA1193" s="149"/>
      <c r="AB1193" s="149"/>
      <c r="AC1193" s="149"/>
      <c r="AD1193" s="148"/>
      <c r="AE1193" s="148"/>
      <c r="AF1193" s="148"/>
      <c r="DB1193" s="149"/>
    </row>
    <row r="1194" spans="2:106">
      <c r="B1194" s="149"/>
      <c r="C1194" s="149"/>
      <c r="D1194" s="149"/>
      <c r="E1194" s="149"/>
      <c r="F1194" s="149"/>
      <c r="G1194" s="149"/>
      <c r="H1194" s="149"/>
      <c r="I1194" s="149"/>
      <c r="J1194" s="149"/>
      <c r="K1194" s="149"/>
      <c r="L1194" s="149"/>
      <c r="M1194" s="149"/>
      <c r="N1194" s="149"/>
      <c r="O1194" s="149"/>
      <c r="P1194" s="149"/>
      <c r="Q1194" s="149"/>
      <c r="R1194" s="149"/>
      <c r="S1194" s="149"/>
      <c r="T1194" s="149"/>
      <c r="U1194" s="149"/>
      <c r="V1194" s="149"/>
      <c r="W1194" s="149"/>
      <c r="X1194" s="149"/>
      <c r="Y1194" s="149"/>
      <c r="Z1194" s="149"/>
      <c r="AA1194" s="149"/>
      <c r="AB1194" s="149"/>
      <c r="AC1194" s="149"/>
      <c r="AD1194" s="148"/>
      <c r="AE1194" s="148"/>
      <c r="AF1194" s="148"/>
      <c r="DB1194" s="149"/>
    </row>
    <row r="1195" spans="2:106">
      <c r="B1195" s="149"/>
      <c r="C1195" s="149"/>
      <c r="D1195" s="149"/>
      <c r="E1195" s="149"/>
      <c r="F1195" s="149"/>
      <c r="G1195" s="149"/>
      <c r="H1195" s="149"/>
      <c r="I1195" s="149"/>
      <c r="J1195" s="149"/>
      <c r="K1195" s="149"/>
      <c r="L1195" s="149"/>
      <c r="M1195" s="149"/>
      <c r="N1195" s="149"/>
      <c r="O1195" s="149"/>
      <c r="P1195" s="149"/>
      <c r="Q1195" s="149"/>
      <c r="R1195" s="149"/>
      <c r="S1195" s="149"/>
      <c r="T1195" s="149"/>
      <c r="U1195" s="149"/>
      <c r="V1195" s="149"/>
      <c r="W1195" s="149"/>
      <c r="X1195" s="149"/>
      <c r="Y1195" s="149"/>
      <c r="Z1195" s="149"/>
      <c r="AA1195" s="149"/>
      <c r="AB1195" s="149"/>
      <c r="AC1195" s="149"/>
      <c r="AD1195" s="148"/>
      <c r="AE1195" s="148"/>
      <c r="AF1195" s="148"/>
      <c r="DB1195" s="149"/>
    </row>
    <row r="1196" spans="2:106">
      <c r="B1196" s="149"/>
      <c r="C1196" s="149"/>
      <c r="D1196" s="149"/>
      <c r="E1196" s="149"/>
      <c r="F1196" s="149"/>
      <c r="G1196" s="149"/>
      <c r="H1196" s="149"/>
      <c r="I1196" s="149"/>
      <c r="J1196" s="149"/>
      <c r="K1196" s="149"/>
      <c r="L1196" s="149"/>
      <c r="M1196" s="149"/>
      <c r="N1196" s="149"/>
      <c r="O1196" s="149"/>
      <c r="P1196" s="149"/>
      <c r="Q1196" s="149"/>
      <c r="R1196" s="149"/>
      <c r="S1196" s="149"/>
      <c r="T1196" s="149"/>
      <c r="U1196" s="149"/>
      <c r="V1196" s="149"/>
      <c r="W1196" s="149"/>
      <c r="X1196" s="149"/>
      <c r="Y1196" s="149"/>
      <c r="Z1196" s="149"/>
      <c r="AA1196" s="149"/>
      <c r="AB1196" s="149"/>
      <c r="AC1196" s="149"/>
      <c r="AD1196" s="148"/>
      <c r="AE1196" s="148"/>
      <c r="AF1196" s="148"/>
      <c r="DB1196" s="149"/>
    </row>
    <row r="1197" spans="2:106">
      <c r="B1197" s="149"/>
      <c r="C1197" s="149"/>
      <c r="D1197" s="149"/>
      <c r="E1197" s="149"/>
      <c r="F1197" s="149"/>
      <c r="G1197" s="149"/>
      <c r="H1197" s="149"/>
      <c r="I1197" s="149"/>
      <c r="J1197" s="149"/>
      <c r="K1197" s="149"/>
      <c r="L1197" s="149"/>
      <c r="M1197" s="149"/>
      <c r="N1197" s="149"/>
      <c r="O1197" s="149"/>
      <c r="P1197" s="149"/>
      <c r="Q1197" s="149"/>
      <c r="R1197" s="149"/>
      <c r="S1197" s="149"/>
      <c r="T1197" s="149"/>
      <c r="U1197" s="149"/>
      <c r="V1197" s="149"/>
      <c r="W1197" s="149"/>
      <c r="X1197" s="149"/>
      <c r="Y1197" s="149"/>
      <c r="Z1197" s="149"/>
      <c r="AA1197" s="149"/>
      <c r="AB1197" s="149"/>
      <c r="AC1197" s="149"/>
      <c r="AD1197" s="148"/>
      <c r="AE1197" s="148"/>
      <c r="AF1197" s="148"/>
      <c r="DB1197" s="149"/>
    </row>
    <row r="1198" spans="2:106">
      <c r="B1198" s="149"/>
      <c r="C1198" s="149"/>
      <c r="D1198" s="149"/>
      <c r="E1198" s="149"/>
      <c r="F1198" s="149"/>
      <c r="G1198" s="149"/>
      <c r="H1198" s="149"/>
      <c r="I1198" s="149"/>
      <c r="J1198" s="149"/>
      <c r="K1198" s="149"/>
      <c r="L1198" s="149"/>
      <c r="M1198" s="149"/>
      <c r="N1198" s="149"/>
      <c r="O1198" s="149"/>
      <c r="P1198" s="149"/>
      <c r="Q1198" s="149"/>
      <c r="R1198" s="149"/>
      <c r="S1198" s="149"/>
      <c r="T1198" s="149"/>
      <c r="U1198" s="149"/>
      <c r="V1198" s="149"/>
      <c r="W1198" s="149"/>
      <c r="X1198" s="149"/>
      <c r="Y1198" s="149"/>
      <c r="Z1198" s="149"/>
      <c r="AA1198" s="149"/>
      <c r="AB1198" s="149"/>
      <c r="AC1198" s="149"/>
      <c r="AD1198" s="148"/>
      <c r="AE1198" s="148"/>
      <c r="AF1198" s="148"/>
      <c r="DB1198" s="149"/>
    </row>
    <row r="1199" spans="2:106">
      <c r="B1199" s="149"/>
      <c r="C1199" s="149"/>
      <c r="D1199" s="149"/>
      <c r="E1199" s="149"/>
      <c r="F1199" s="149"/>
      <c r="G1199" s="149"/>
      <c r="H1199" s="149"/>
      <c r="I1199" s="149"/>
      <c r="J1199" s="149"/>
      <c r="K1199" s="149"/>
      <c r="L1199" s="149"/>
      <c r="M1199" s="149"/>
      <c r="N1199" s="149"/>
      <c r="O1199" s="149"/>
      <c r="P1199" s="149"/>
      <c r="Q1199" s="149"/>
      <c r="R1199" s="149"/>
      <c r="S1199" s="149"/>
      <c r="T1199" s="149"/>
      <c r="U1199" s="149"/>
      <c r="V1199" s="149"/>
      <c r="W1199" s="149"/>
      <c r="X1199" s="149"/>
      <c r="Y1199" s="149"/>
      <c r="Z1199" s="149"/>
      <c r="AA1199" s="149"/>
      <c r="AB1199" s="149"/>
      <c r="AC1199" s="149"/>
      <c r="AD1199" s="148"/>
      <c r="AE1199" s="148"/>
      <c r="AF1199" s="148"/>
      <c r="DB1199" s="149"/>
    </row>
    <row r="1200" spans="2:106">
      <c r="B1200" s="149"/>
      <c r="C1200" s="149"/>
      <c r="D1200" s="149"/>
      <c r="E1200" s="149"/>
      <c r="F1200" s="149"/>
      <c r="G1200" s="149"/>
      <c r="H1200" s="149"/>
      <c r="I1200" s="149"/>
      <c r="J1200" s="149"/>
      <c r="K1200" s="149"/>
      <c r="L1200" s="149"/>
      <c r="M1200" s="149"/>
      <c r="N1200" s="149"/>
      <c r="O1200" s="149"/>
      <c r="P1200" s="149"/>
      <c r="Q1200" s="149"/>
      <c r="R1200" s="149"/>
      <c r="S1200" s="149"/>
      <c r="T1200" s="149"/>
      <c r="U1200" s="149"/>
      <c r="V1200" s="149"/>
      <c r="W1200" s="149"/>
      <c r="X1200" s="149"/>
      <c r="Y1200" s="149"/>
      <c r="Z1200" s="149"/>
      <c r="AA1200" s="149"/>
      <c r="AB1200" s="149"/>
      <c r="AC1200" s="149"/>
      <c r="AD1200" s="148"/>
      <c r="AE1200" s="148"/>
      <c r="AF1200" s="148"/>
      <c r="DB1200" s="149"/>
    </row>
    <row r="1201" spans="2:106">
      <c r="B1201" s="149"/>
      <c r="C1201" s="149"/>
      <c r="D1201" s="149"/>
      <c r="E1201" s="149"/>
      <c r="F1201" s="149"/>
      <c r="G1201" s="149"/>
      <c r="H1201" s="149"/>
      <c r="I1201" s="149"/>
      <c r="J1201" s="149"/>
      <c r="K1201" s="149"/>
      <c r="L1201" s="149"/>
      <c r="M1201" s="149"/>
      <c r="N1201" s="149"/>
      <c r="O1201" s="149"/>
      <c r="P1201" s="149"/>
      <c r="Q1201" s="149"/>
      <c r="R1201" s="149"/>
      <c r="S1201" s="149"/>
      <c r="T1201" s="149"/>
      <c r="U1201" s="149"/>
      <c r="V1201" s="149"/>
      <c r="W1201" s="149"/>
      <c r="X1201" s="149"/>
      <c r="Y1201" s="149"/>
      <c r="Z1201" s="149"/>
      <c r="AA1201" s="149"/>
      <c r="AB1201" s="149"/>
      <c r="AC1201" s="149"/>
      <c r="AD1201" s="148"/>
      <c r="AE1201" s="148"/>
      <c r="AF1201" s="148"/>
      <c r="DB1201" s="149"/>
    </row>
    <row r="1202" spans="2:106">
      <c r="B1202" s="149"/>
      <c r="C1202" s="149"/>
      <c r="D1202" s="149"/>
      <c r="E1202" s="149"/>
      <c r="F1202" s="149"/>
      <c r="G1202" s="149"/>
      <c r="H1202" s="149"/>
      <c r="I1202" s="149"/>
      <c r="J1202" s="149"/>
      <c r="K1202" s="149"/>
      <c r="L1202" s="149"/>
      <c r="M1202" s="149"/>
      <c r="N1202" s="149"/>
      <c r="O1202" s="149"/>
      <c r="P1202" s="149"/>
      <c r="Q1202" s="149"/>
      <c r="R1202" s="149"/>
      <c r="S1202" s="149"/>
      <c r="T1202" s="149"/>
      <c r="U1202" s="149"/>
      <c r="V1202" s="149"/>
      <c r="W1202" s="149"/>
      <c r="X1202" s="149"/>
      <c r="Y1202" s="149"/>
      <c r="Z1202" s="149"/>
      <c r="AA1202" s="149"/>
      <c r="AB1202" s="149"/>
      <c r="AC1202" s="149"/>
      <c r="AD1202" s="148"/>
      <c r="AE1202" s="148"/>
      <c r="AF1202" s="148"/>
      <c r="DB1202" s="149"/>
    </row>
    <row r="1203" spans="2:106">
      <c r="B1203" s="149"/>
      <c r="C1203" s="149"/>
      <c r="D1203" s="149"/>
      <c r="E1203" s="149"/>
      <c r="F1203" s="149"/>
      <c r="G1203" s="149"/>
      <c r="H1203" s="149"/>
      <c r="I1203" s="149"/>
      <c r="J1203" s="149"/>
      <c r="K1203" s="149"/>
      <c r="L1203" s="149"/>
      <c r="M1203" s="149"/>
      <c r="N1203" s="149"/>
      <c r="O1203" s="149"/>
      <c r="P1203" s="149"/>
      <c r="Q1203" s="149"/>
      <c r="R1203" s="149"/>
      <c r="S1203" s="149"/>
      <c r="T1203" s="149"/>
      <c r="U1203" s="149"/>
      <c r="V1203" s="149"/>
      <c r="W1203" s="149"/>
      <c r="X1203" s="149"/>
      <c r="Y1203" s="149"/>
      <c r="Z1203" s="149"/>
      <c r="AA1203" s="149"/>
      <c r="AB1203" s="149"/>
      <c r="AC1203" s="149"/>
      <c r="AD1203" s="148"/>
      <c r="AE1203" s="148"/>
      <c r="AF1203" s="148"/>
      <c r="DB1203" s="149"/>
    </row>
    <row r="1204" spans="2:106">
      <c r="B1204" s="149"/>
      <c r="C1204" s="149"/>
      <c r="D1204" s="149"/>
      <c r="E1204" s="149"/>
      <c r="F1204" s="149"/>
      <c r="G1204" s="149"/>
      <c r="H1204" s="149"/>
      <c r="I1204" s="149"/>
      <c r="J1204" s="149"/>
      <c r="K1204" s="149"/>
      <c r="L1204" s="149"/>
      <c r="M1204" s="149"/>
      <c r="N1204" s="149"/>
      <c r="O1204" s="149"/>
      <c r="P1204" s="149"/>
      <c r="Q1204" s="149"/>
      <c r="R1204" s="149"/>
      <c r="S1204" s="149"/>
      <c r="T1204" s="149"/>
      <c r="U1204" s="149"/>
      <c r="V1204" s="149"/>
      <c r="W1204" s="149"/>
      <c r="X1204" s="149"/>
      <c r="Y1204" s="149"/>
      <c r="Z1204" s="149"/>
      <c r="AA1204" s="149"/>
      <c r="AB1204" s="149"/>
      <c r="AC1204" s="149"/>
      <c r="AD1204" s="148"/>
      <c r="AE1204" s="148"/>
      <c r="AF1204" s="148"/>
      <c r="DB1204" s="149"/>
    </row>
    <row r="1205" spans="2:106">
      <c r="B1205" s="149"/>
      <c r="C1205" s="149"/>
      <c r="D1205" s="149"/>
      <c r="E1205" s="149"/>
      <c r="F1205" s="149"/>
      <c r="G1205" s="149"/>
      <c r="H1205" s="149"/>
      <c r="I1205" s="149"/>
      <c r="J1205" s="149"/>
      <c r="K1205" s="149"/>
      <c r="L1205" s="149"/>
      <c r="M1205" s="149"/>
      <c r="N1205" s="149"/>
      <c r="O1205" s="149"/>
      <c r="P1205" s="149"/>
      <c r="Q1205" s="149"/>
      <c r="R1205" s="149"/>
      <c r="S1205" s="149"/>
      <c r="T1205" s="149"/>
      <c r="U1205" s="149"/>
      <c r="V1205" s="149"/>
      <c r="W1205" s="149"/>
      <c r="X1205" s="149"/>
      <c r="Y1205" s="149"/>
      <c r="Z1205" s="149"/>
      <c r="AA1205" s="149"/>
      <c r="AB1205" s="149"/>
      <c r="AC1205" s="149"/>
      <c r="AD1205" s="148"/>
      <c r="AE1205" s="148"/>
      <c r="AF1205" s="148"/>
      <c r="DB1205" s="149"/>
    </row>
    <row r="1206" spans="2:106">
      <c r="B1206" s="149"/>
      <c r="C1206" s="149"/>
      <c r="D1206" s="149"/>
      <c r="E1206" s="149"/>
      <c r="F1206" s="149"/>
      <c r="G1206" s="149"/>
      <c r="H1206" s="149"/>
      <c r="I1206" s="149"/>
      <c r="J1206" s="149"/>
      <c r="K1206" s="149"/>
      <c r="L1206" s="149"/>
      <c r="M1206" s="149"/>
      <c r="N1206" s="149"/>
      <c r="O1206" s="149"/>
      <c r="P1206" s="149"/>
      <c r="Q1206" s="149"/>
      <c r="R1206" s="149"/>
      <c r="S1206" s="149"/>
      <c r="T1206" s="149"/>
      <c r="U1206" s="149"/>
      <c r="V1206" s="149"/>
      <c r="W1206" s="149"/>
      <c r="X1206" s="149"/>
      <c r="Y1206" s="149"/>
      <c r="Z1206" s="149"/>
      <c r="AA1206" s="149"/>
      <c r="AB1206" s="149"/>
      <c r="AC1206" s="149"/>
      <c r="AD1206" s="148"/>
      <c r="AE1206" s="148"/>
      <c r="AF1206" s="148"/>
      <c r="DB1206" s="149"/>
    </row>
    <row r="1207" spans="2:106">
      <c r="B1207" s="149"/>
      <c r="C1207" s="149"/>
      <c r="D1207" s="149"/>
      <c r="E1207" s="149"/>
      <c r="F1207" s="149"/>
      <c r="G1207" s="149"/>
      <c r="H1207" s="149"/>
      <c r="I1207" s="149"/>
      <c r="J1207" s="149"/>
      <c r="K1207" s="149"/>
      <c r="L1207" s="149"/>
      <c r="M1207" s="149"/>
      <c r="N1207" s="149"/>
      <c r="O1207" s="149"/>
      <c r="P1207" s="149"/>
      <c r="Q1207" s="149"/>
      <c r="R1207" s="149"/>
      <c r="S1207" s="149"/>
      <c r="T1207" s="149"/>
      <c r="U1207" s="149"/>
      <c r="V1207" s="149"/>
      <c r="W1207" s="149"/>
      <c r="X1207" s="149"/>
      <c r="Y1207" s="149"/>
      <c r="Z1207" s="149"/>
      <c r="AA1207" s="149"/>
      <c r="AB1207" s="149"/>
      <c r="AC1207" s="149"/>
      <c r="AD1207" s="148"/>
      <c r="AE1207" s="148"/>
      <c r="AF1207" s="148"/>
      <c r="DB1207" s="149"/>
    </row>
    <row r="1208" spans="2:106">
      <c r="B1208" s="149"/>
      <c r="C1208" s="149"/>
      <c r="D1208" s="149"/>
      <c r="E1208" s="149"/>
      <c r="F1208" s="149"/>
      <c r="G1208" s="149"/>
      <c r="H1208" s="149"/>
      <c r="I1208" s="149"/>
      <c r="J1208" s="149"/>
      <c r="K1208" s="149"/>
      <c r="L1208" s="149"/>
      <c r="M1208" s="149"/>
      <c r="N1208" s="149"/>
      <c r="O1208" s="149"/>
      <c r="P1208" s="149"/>
      <c r="Q1208" s="149"/>
      <c r="R1208" s="149"/>
      <c r="S1208" s="149"/>
      <c r="T1208" s="149"/>
      <c r="U1208" s="149"/>
      <c r="V1208" s="149"/>
      <c r="W1208" s="149"/>
      <c r="X1208" s="149"/>
      <c r="Y1208" s="149"/>
      <c r="Z1208" s="149"/>
      <c r="AA1208" s="149"/>
      <c r="AB1208" s="149"/>
      <c r="AC1208" s="149"/>
      <c r="AD1208" s="148"/>
      <c r="AE1208" s="148"/>
      <c r="AF1208" s="148"/>
      <c r="DB1208" s="149"/>
    </row>
    <row r="1209" spans="2:106">
      <c r="B1209" s="149"/>
      <c r="C1209" s="149"/>
      <c r="D1209" s="149"/>
      <c r="E1209" s="149"/>
      <c r="F1209" s="149"/>
      <c r="G1209" s="149"/>
      <c r="H1209" s="149"/>
      <c r="I1209" s="149"/>
      <c r="J1209" s="149"/>
      <c r="K1209" s="149"/>
      <c r="L1209" s="149"/>
      <c r="M1209" s="149"/>
      <c r="N1209" s="149"/>
      <c r="O1209" s="149"/>
      <c r="P1209" s="149"/>
      <c r="Q1209" s="149"/>
      <c r="R1209" s="149"/>
      <c r="S1209" s="149"/>
      <c r="T1209" s="149"/>
      <c r="U1209" s="149"/>
      <c r="V1209" s="149"/>
      <c r="W1209" s="149"/>
      <c r="X1209" s="149"/>
      <c r="Y1209" s="149"/>
      <c r="Z1209" s="149"/>
      <c r="AA1209" s="149"/>
      <c r="AB1209" s="149"/>
      <c r="AC1209" s="149"/>
      <c r="AD1209" s="148"/>
      <c r="AE1209" s="148"/>
      <c r="AF1209" s="148"/>
      <c r="DB1209" s="149"/>
    </row>
    <row r="1210" spans="2:106">
      <c r="B1210" s="149"/>
      <c r="C1210" s="149"/>
      <c r="D1210" s="149"/>
      <c r="E1210" s="149"/>
      <c r="F1210" s="149"/>
      <c r="G1210" s="149"/>
      <c r="H1210" s="149"/>
      <c r="I1210" s="149"/>
      <c r="J1210" s="149"/>
      <c r="K1210" s="149"/>
      <c r="L1210" s="149"/>
      <c r="M1210" s="149"/>
      <c r="N1210" s="149"/>
      <c r="O1210" s="149"/>
      <c r="P1210" s="149"/>
      <c r="Q1210" s="149"/>
      <c r="R1210" s="149"/>
      <c r="S1210" s="149"/>
      <c r="T1210" s="149"/>
      <c r="U1210" s="149"/>
      <c r="V1210" s="149"/>
      <c r="W1210" s="149"/>
      <c r="X1210" s="149"/>
      <c r="Y1210" s="149"/>
      <c r="Z1210" s="149"/>
      <c r="AA1210" s="149"/>
      <c r="AB1210" s="149"/>
      <c r="AC1210" s="149"/>
      <c r="AD1210" s="148"/>
      <c r="AE1210" s="148"/>
      <c r="AF1210" s="148"/>
      <c r="DB1210" s="149"/>
    </row>
    <row r="1211" spans="2:106">
      <c r="B1211" s="149"/>
      <c r="C1211" s="149"/>
      <c r="D1211" s="149"/>
      <c r="E1211" s="149"/>
      <c r="F1211" s="149"/>
      <c r="G1211" s="149"/>
      <c r="H1211" s="149"/>
      <c r="I1211" s="149"/>
      <c r="J1211" s="149"/>
      <c r="K1211" s="149"/>
      <c r="L1211" s="149"/>
      <c r="M1211" s="149"/>
      <c r="N1211" s="149"/>
      <c r="O1211" s="149"/>
      <c r="P1211" s="149"/>
      <c r="Q1211" s="149"/>
      <c r="R1211" s="149"/>
      <c r="S1211" s="149"/>
      <c r="T1211" s="149"/>
      <c r="U1211" s="149"/>
      <c r="V1211" s="149"/>
      <c r="W1211" s="149"/>
      <c r="X1211" s="149"/>
      <c r="Y1211" s="149"/>
      <c r="Z1211" s="149"/>
      <c r="AA1211" s="149"/>
      <c r="AB1211" s="149"/>
      <c r="AC1211" s="149"/>
      <c r="AD1211" s="148"/>
      <c r="AE1211" s="148"/>
      <c r="AF1211" s="148"/>
      <c r="DB1211" s="149"/>
    </row>
    <row r="1212" spans="2:106">
      <c r="B1212" s="149"/>
      <c r="C1212" s="149"/>
      <c r="D1212" s="149"/>
      <c r="E1212" s="149"/>
      <c r="F1212" s="149"/>
      <c r="G1212" s="149"/>
      <c r="H1212" s="149"/>
      <c r="I1212" s="149"/>
      <c r="J1212" s="149"/>
      <c r="K1212" s="149"/>
      <c r="L1212" s="149"/>
      <c r="M1212" s="149"/>
      <c r="N1212" s="149"/>
      <c r="O1212" s="149"/>
      <c r="P1212" s="149"/>
      <c r="Q1212" s="149"/>
      <c r="R1212" s="149"/>
      <c r="S1212" s="149"/>
      <c r="T1212" s="149"/>
      <c r="U1212" s="149"/>
      <c r="V1212" s="149"/>
      <c r="W1212" s="149"/>
      <c r="X1212" s="149"/>
      <c r="Y1212" s="149"/>
      <c r="Z1212" s="149"/>
      <c r="AA1212" s="149"/>
      <c r="AB1212" s="149"/>
      <c r="AC1212" s="149"/>
      <c r="AD1212" s="148"/>
      <c r="AE1212" s="148"/>
      <c r="AF1212" s="148"/>
      <c r="DB1212" s="149"/>
    </row>
    <row r="1213" spans="2:106">
      <c r="B1213" s="149"/>
      <c r="C1213" s="149"/>
      <c r="D1213" s="149"/>
      <c r="E1213" s="149"/>
      <c r="F1213" s="149"/>
      <c r="G1213" s="149"/>
      <c r="H1213" s="149"/>
      <c r="I1213" s="149"/>
      <c r="J1213" s="149"/>
      <c r="K1213" s="149"/>
      <c r="L1213" s="149"/>
      <c r="M1213" s="149"/>
      <c r="N1213" s="149"/>
      <c r="O1213" s="149"/>
      <c r="P1213" s="149"/>
      <c r="Q1213" s="149"/>
      <c r="R1213" s="149"/>
      <c r="S1213" s="149"/>
      <c r="T1213" s="149"/>
      <c r="U1213" s="149"/>
      <c r="V1213" s="149"/>
      <c r="W1213" s="149"/>
      <c r="X1213" s="149"/>
      <c r="Y1213" s="149"/>
      <c r="Z1213" s="149"/>
      <c r="AA1213" s="149"/>
      <c r="AB1213" s="149"/>
      <c r="AC1213" s="149"/>
      <c r="AD1213" s="148"/>
      <c r="AE1213" s="148"/>
      <c r="AF1213" s="148"/>
      <c r="DB1213" s="149"/>
    </row>
    <row r="1214" spans="2:106">
      <c r="B1214" s="149"/>
      <c r="C1214" s="149"/>
      <c r="D1214" s="149"/>
      <c r="E1214" s="149"/>
      <c r="F1214" s="149"/>
      <c r="G1214" s="149"/>
      <c r="H1214" s="149"/>
      <c r="I1214" s="149"/>
      <c r="J1214" s="149"/>
      <c r="K1214" s="149"/>
      <c r="L1214" s="149"/>
      <c r="M1214" s="149"/>
      <c r="N1214" s="149"/>
      <c r="O1214" s="149"/>
      <c r="P1214" s="149"/>
      <c r="Q1214" s="149"/>
      <c r="R1214" s="149"/>
      <c r="S1214" s="149"/>
      <c r="T1214" s="149"/>
      <c r="U1214" s="149"/>
      <c r="V1214" s="149"/>
      <c r="W1214" s="149"/>
      <c r="X1214" s="149"/>
      <c r="Y1214" s="149"/>
      <c r="Z1214" s="149"/>
      <c r="AA1214" s="149"/>
      <c r="AB1214" s="149"/>
      <c r="AC1214" s="149"/>
      <c r="AD1214" s="148"/>
      <c r="AE1214" s="148"/>
      <c r="AF1214" s="148"/>
      <c r="DB1214" s="149"/>
    </row>
    <row r="1215" spans="2:106">
      <c r="B1215" s="149"/>
      <c r="C1215" s="149"/>
      <c r="D1215" s="149"/>
      <c r="E1215" s="149"/>
      <c r="F1215" s="149"/>
      <c r="G1215" s="149"/>
      <c r="H1215" s="149"/>
      <c r="I1215" s="149"/>
      <c r="J1215" s="149"/>
      <c r="K1215" s="149"/>
      <c r="L1215" s="149"/>
      <c r="M1215" s="149"/>
      <c r="N1215" s="149"/>
      <c r="O1215" s="149"/>
      <c r="P1215" s="149"/>
      <c r="Q1215" s="149"/>
      <c r="R1215" s="149"/>
      <c r="S1215" s="149"/>
      <c r="T1215" s="149"/>
      <c r="U1215" s="149"/>
      <c r="V1215" s="149"/>
      <c r="W1215" s="149"/>
      <c r="X1215" s="149"/>
      <c r="Y1215" s="149"/>
      <c r="Z1215" s="149"/>
      <c r="AA1215" s="149"/>
      <c r="AB1215" s="149"/>
      <c r="AC1215" s="149"/>
      <c r="AD1215" s="148"/>
      <c r="AE1215" s="148"/>
      <c r="AF1215" s="148"/>
      <c r="DB1215" s="149"/>
    </row>
    <row r="1216" spans="2:106">
      <c r="B1216" s="149"/>
      <c r="C1216" s="149"/>
      <c r="D1216" s="149"/>
      <c r="E1216" s="149"/>
      <c r="F1216" s="149"/>
      <c r="G1216" s="149"/>
      <c r="H1216" s="149"/>
      <c r="I1216" s="149"/>
      <c r="J1216" s="149"/>
      <c r="K1216" s="149"/>
      <c r="L1216" s="149"/>
      <c r="M1216" s="149"/>
      <c r="N1216" s="149"/>
      <c r="O1216" s="149"/>
      <c r="P1216" s="149"/>
      <c r="Q1216" s="149"/>
      <c r="R1216" s="149"/>
      <c r="S1216" s="149"/>
      <c r="T1216" s="149"/>
      <c r="U1216" s="149"/>
      <c r="V1216" s="149"/>
      <c r="W1216" s="149"/>
      <c r="X1216" s="149"/>
      <c r="Y1216" s="149"/>
      <c r="Z1216" s="149"/>
      <c r="AA1216" s="149"/>
      <c r="AB1216" s="149"/>
      <c r="AC1216" s="149"/>
      <c r="AD1216" s="148"/>
      <c r="AE1216" s="148"/>
      <c r="AF1216" s="148"/>
      <c r="DB1216" s="149"/>
    </row>
    <row r="1217" spans="2:106">
      <c r="B1217" s="149"/>
      <c r="C1217" s="149"/>
      <c r="D1217" s="149"/>
      <c r="E1217" s="149"/>
      <c r="F1217" s="149"/>
      <c r="G1217" s="149"/>
      <c r="H1217" s="149"/>
      <c r="I1217" s="149"/>
      <c r="J1217" s="149"/>
      <c r="K1217" s="149"/>
      <c r="L1217" s="149"/>
      <c r="M1217" s="149"/>
      <c r="N1217" s="149"/>
      <c r="O1217" s="149"/>
      <c r="P1217" s="149"/>
      <c r="Q1217" s="149"/>
      <c r="R1217" s="149"/>
      <c r="S1217" s="149"/>
      <c r="T1217" s="149"/>
      <c r="U1217" s="149"/>
      <c r="V1217" s="149"/>
      <c r="W1217" s="149"/>
      <c r="X1217" s="149"/>
      <c r="Y1217" s="149"/>
      <c r="Z1217" s="149"/>
      <c r="AA1217" s="149"/>
      <c r="AB1217" s="149"/>
      <c r="AC1217" s="149"/>
      <c r="AD1217" s="148"/>
      <c r="AE1217" s="148"/>
      <c r="AF1217" s="148"/>
      <c r="DB1217" s="149"/>
    </row>
    <row r="1218" spans="2:106">
      <c r="B1218" s="149"/>
      <c r="C1218" s="149"/>
      <c r="D1218" s="149"/>
      <c r="E1218" s="149"/>
      <c r="F1218" s="149"/>
      <c r="G1218" s="149"/>
      <c r="H1218" s="149"/>
      <c r="I1218" s="149"/>
      <c r="J1218" s="149"/>
      <c r="K1218" s="149"/>
      <c r="L1218" s="149"/>
      <c r="M1218" s="149"/>
      <c r="N1218" s="149"/>
      <c r="O1218" s="149"/>
      <c r="P1218" s="149"/>
      <c r="Q1218" s="149"/>
      <c r="R1218" s="149"/>
      <c r="S1218" s="149"/>
      <c r="T1218" s="149"/>
      <c r="U1218" s="149"/>
      <c r="V1218" s="149"/>
      <c r="W1218" s="149"/>
      <c r="X1218" s="149"/>
      <c r="Y1218" s="149"/>
      <c r="Z1218" s="149"/>
      <c r="AA1218" s="149"/>
      <c r="AB1218" s="149"/>
      <c r="AC1218" s="149"/>
      <c r="AD1218" s="148"/>
      <c r="AE1218" s="148"/>
      <c r="AF1218" s="148"/>
      <c r="DB1218" s="149"/>
    </row>
    <row r="1219" spans="2:106">
      <c r="B1219" s="149"/>
      <c r="C1219" s="149"/>
      <c r="D1219" s="149"/>
      <c r="E1219" s="149"/>
      <c r="F1219" s="149"/>
      <c r="G1219" s="149"/>
      <c r="H1219" s="149"/>
      <c r="I1219" s="149"/>
      <c r="J1219" s="149"/>
      <c r="K1219" s="149"/>
      <c r="L1219" s="149"/>
      <c r="M1219" s="149"/>
      <c r="N1219" s="149"/>
      <c r="O1219" s="149"/>
      <c r="P1219" s="149"/>
      <c r="Q1219" s="149"/>
      <c r="R1219" s="149"/>
      <c r="S1219" s="149"/>
      <c r="T1219" s="149"/>
      <c r="U1219" s="149"/>
      <c r="V1219" s="149"/>
      <c r="W1219" s="149"/>
      <c r="X1219" s="149"/>
      <c r="Y1219" s="149"/>
      <c r="Z1219" s="149"/>
      <c r="AA1219" s="149"/>
      <c r="AB1219" s="149"/>
      <c r="AC1219" s="149"/>
      <c r="AD1219" s="148"/>
      <c r="AE1219" s="148"/>
      <c r="AF1219" s="148"/>
      <c r="DB1219" s="149"/>
    </row>
    <row r="1220" spans="2:106">
      <c r="B1220" s="149"/>
      <c r="C1220" s="149"/>
      <c r="D1220" s="149"/>
      <c r="E1220" s="149"/>
      <c r="F1220" s="149"/>
      <c r="G1220" s="149"/>
      <c r="H1220" s="149"/>
      <c r="I1220" s="149"/>
      <c r="J1220" s="149"/>
      <c r="K1220" s="149"/>
      <c r="L1220" s="149"/>
      <c r="M1220" s="149"/>
      <c r="N1220" s="149"/>
      <c r="O1220" s="149"/>
      <c r="P1220" s="149"/>
      <c r="Q1220" s="149"/>
      <c r="R1220" s="149"/>
      <c r="S1220" s="149"/>
      <c r="T1220" s="149"/>
      <c r="U1220" s="149"/>
      <c r="V1220" s="149"/>
      <c r="W1220" s="149"/>
      <c r="X1220" s="149"/>
      <c r="Y1220" s="149"/>
      <c r="Z1220" s="149"/>
      <c r="AA1220" s="149"/>
      <c r="AB1220" s="149"/>
      <c r="AC1220" s="149"/>
      <c r="AD1220" s="148"/>
      <c r="AE1220" s="148"/>
      <c r="AF1220" s="148"/>
      <c r="DB1220" s="149"/>
    </row>
    <row r="1221" spans="2:106">
      <c r="B1221" s="149"/>
      <c r="C1221" s="149"/>
      <c r="D1221" s="149"/>
      <c r="E1221" s="149"/>
      <c r="F1221" s="149"/>
      <c r="G1221" s="149"/>
      <c r="H1221" s="149"/>
      <c r="I1221" s="149"/>
      <c r="J1221" s="149"/>
      <c r="K1221" s="149"/>
      <c r="L1221" s="149"/>
      <c r="M1221" s="149"/>
      <c r="N1221" s="149"/>
      <c r="O1221" s="149"/>
      <c r="P1221" s="149"/>
      <c r="Q1221" s="149"/>
      <c r="R1221" s="149"/>
      <c r="S1221" s="149"/>
      <c r="T1221" s="149"/>
      <c r="U1221" s="149"/>
      <c r="V1221" s="149"/>
      <c r="W1221" s="149"/>
      <c r="X1221" s="149"/>
      <c r="Y1221" s="149"/>
      <c r="Z1221" s="149"/>
      <c r="AA1221" s="149"/>
      <c r="AB1221" s="149"/>
      <c r="AC1221" s="149"/>
      <c r="AD1221" s="148"/>
      <c r="AE1221" s="148"/>
      <c r="AF1221" s="148"/>
      <c r="DB1221" s="149"/>
    </row>
    <row r="1222" spans="2:106">
      <c r="B1222" s="149"/>
      <c r="C1222" s="149"/>
      <c r="D1222" s="149"/>
      <c r="E1222" s="149"/>
      <c r="F1222" s="149"/>
      <c r="G1222" s="149"/>
      <c r="H1222" s="149"/>
      <c r="I1222" s="149"/>
      <c r="J1222" s="149"/>
      <c r="K1222" s="149"/>
      <c r="L1222" s="149"/>
      <c r="M1222" s="149"/>
      <c r="N1222" s="149"/>
      <c r="O1222" s="149"/>
      <c r="P1222" s="149"/>
      <c r="Q1222" s="149"/>
      <c r="R1222" s="149"/>
      <c r="S1222" s="149"/>
      <c r="T1222" s="149"/>
      <c r="U1222" s="149"/>
      <c r="V1222" s="149"/>
      <c r="W1222" s="149"/>
      <c r="X1222" s="149"/>
      <c r="Y1222" s="149"/>
      <c r="Z1222" s="149"/>
      <c r="AA1222" s="149"/>
      <c r="AB1222" s="149"/>
      <c r="AC1222" s="149"/>
      <c r="AD1222" s="148"/>
      <c r="AE1222" s="148"/>
      <c r="AF1222" s="148"/>
      <c r="DB1222" s="149"/>
    </row>
    <row r="1223" spans="2:106">
      <c r="B1223" s="149"/>
      <c r="C1223" s="149"/>
      <c r="D1223" s="149"/>
      <c r="E1223" s="149"/>
      <c r="F1223" s="149"/>
      <c r="G1223" s="149"/>
      <c r="H1223" s="149"/>
      <c r="I1223" s="149"/>
      <c r="J1223" s="149"/>
      <c r="K1223" s="149"/>
      <c r="L1223" s="149"/>
      <c r="M1223" s="149"/>
      <c r="N1223" s="149"/>
      <c r="O1223" s="149"/>
      <c r="P1223" s="149"/>
      <c r="Q1223" s="149"/>
      <c r="R1223" s="149"/>
      <c r="S1223" s="149"/>
      <c r="T1223" s="149"/>
      <c r="U1223" s="149"/>
      <c r="V1223" s="149"/>
      <c r="W1223" s="149"/>
      <c r="X1223" s="149"/>
      <c r="Y1223" s="149"/>
      <c r="Z1223" s="149"/>
      <c r="AA1223" s="149"/>
      <c r="AB1223" s="149"/>
      <c r="AC1223" s="149"/>
      <c r="AD1223" s="148"/>
      <c r="AE1223" s="148"/>
      <c r="AF1223" s="148"/>
      <c r="DB1223" s="149"/>
    </row>
    <row r="1224" spans="2:106">
      <c r="B1224" s="149"/>
      <c r="C1224" s="149"/>
      <c r="D1224" s="149"/>
      <c r="E1224" s="149"/>
      <c r="F1224" s="149"/>
      <c r="G1224" s="149"/>
      <c r="H1224" s="149"/>
      <c r="I1224" s="149"/>
      <c r="J1224" s="149"/>
      <c r="K1224" s="149"/>
      <c r="L1224" s="149"/>
      <c r="M1224" s="149"/>
      <c r="N1224" s="149"/>
      <c r="O1224" s="149"/>
      <c r="P1224" s="149"/>
      <c r="Q1224" s="149"/>
      <c r="R1224" s="149"/>
      <c r="S1224" s="149"/>
      <c r="T1224" s="149"/>
      <c r="U1224" s="149"/>
      <c r="V1224" s="149"/>
      <c r="W1224" s="149"/>
      <c r="X1224" s="149"/>
      <c r="Y1224" s="149"/>
      <c r="Z1224" s="149"/>
      <c r="AA1224" s="149"/>
      <c r="AB1224" s="149"/>
      <c r="AC1224" s="149"/>
      <c r="AD1224" s="148"/>
      <c r="AE1224" s="148"/>
      <c r="AF1224" s="148"/>
      <c r="DB1224" s="149"/>
    </row>
    <row r="1225" spans="2:106">
      <c r="B1225" s="149"/>
      <c r="C1225" s="149"/>
      <c r="D1225" s="149"/>
      <c r="E1225" s="149"/>
      <c r="F1225" s="149"/>
      <c r="G1225" s="149"/>
      <c r="H1225" s="149"/>
      <c r="I1225" s="149"/>
      <c r="J1225" s="149"/>
      <c r="K1225" s="149"/>
      <c r="L1225" s="149"/>
      <c r="M1225" s="149"/>
      <c r="N1225" s="149"/>
      <c r="O1225" s="149"/>
      <c r="P1225" s="149"/>
      <c r="Q1225" s="149"/>
      <c r="R1225" s="149"/>
      <c r="S1225" s="149"/>
      <c r="T1225" s="149"/>
      <c r="U1225" s="149"/>
      <c r="V1225" s="149"/>
      <c r="W1225" s="149"/>
      <c r="X1225" s="149"/>
      <c r="Y1225" s="149"/>
      <c r="Z1225" s="149"/>
      <c r="AA1225" s="149"/>
      <c r="AB1225" s="149"/>
      <c r="AC1225" s="149"/>
      <c r="AD1225" s="148"/>
      <c r="AE1225" s="148"/>
      <c r="AF1225" s="148"/>
      <c r="DB1225" s="149"/>
    </row>
    <row r="1226" spans="2:106">
      <c r="B1226" s="149"/>
      <c r="C1226" s="149"/>
      <c r="D1226" s="149"/>
      <c r="E1226" s="149"/>
      <c r="F1226" s="149"/>
      <c r="G1226" s="149"/>
      <c r="H1226" s="149"/>
      <c r="I1226" s="149"/>
      <c r="J1226" s="149"/>
      <c r="K1226" s="149"/>
      <c r="L1226" s="149"/>
      <c r="M1226" s="149"/>
      <c r="N1226" s="149"/>
      <c r="O1226" s="149"/>
      <c r="P1226" s="149"/>
      <c r="Q1226" s="149"/>
      <c r="R1226" s="149"/>
      <c r="S1226" s="149"/>
      <c r="T1226" s="149"/>
      <c r="U1226" s="149"/>
      <c r="V1226" s="149"/>
      <c r="W1226" s="149"/>
      <c r="X1226" s="149"/>
      <c r="Y1226" s="149"/>
      <c r="Z1226" s="149"/>
      <c r="AA1226" s="149"/>
      <c r="AB1226" s="149"/>
      <c r="AC1226" s="149"/>
      <c r="AD1226" s="148"/>
      <c r="AE1226" s="148"/>
      <c r="AF1226" s="148"/>
      <c r="DB1226" s="149"/>
    </row>
    <row r="1227" spans="2:106">
      <c r="B1227" s="149"/>
      <c r="C1227" s="149"/>
      <c r="D1227" s="149"/>
      <c r="E1227" s="149"/>
      <c r="F1227" s="149"/>
      <c r="G1227" s="149"/>
      <c r="H1227" s="149"/>
      <c r="I1227" s="149"/>
      <c r="J1227" s="149"/>
      <c r="K1227" s="149"/>
      <c r="L1227" s="149"/>
      <c r="M1227" s="149"/>
      <c r="N1227" s="149"/>
      <c r="O1227" s="149"/>
      <c r="P1227" s="149"/>
      <c r="Q1227" s="149"/>
      <c r="R1227" s="149"/>
      <c r="S1227" s="149"/>
      <c r="T1227" s="149"/>
      <c r="U1227" s="149"/>
      <c r="V1227" s="149"/>
      <c r="W1227" s="149"/>
      <c r="X1227" s="149"/>
      <c r="Y1227" s="149"/>
      <c r="Z1227" s="149"/>
      <c r="AA1227" s="149"/>
      <c r="AB1227" s="149"/>
      <c r="AC1227" s="149"/>
      <c r="AD1227" s="148"/>
      <c r="AE1227" s="148"/>
      <c r="AF1227" s="148"/>
      <c r="DB1227" s="149"/>
    </row>
    <row r="1228" spans="2:106">
      <c r="B1228" s="149"/>
      <c r="C1228" s="149"/>
      <c r="D1228" s="149"/>
      <c r="E1228" s="149"/>
      <c r="F1228" s="149"/>
      <c r="G1228" s="149"/>
      <c r="H1228" s="149"/>
      <c r="I1228" s="149"/>
      <c r="J1228" s="149"/>
      <c r="K1228" s="149"/>
      <c r="L1228" s="149"/>
      <c r="M1228" s="149"/>
      <c r="N1228" s="149"/>
      <c r="O1228" s="149"/>
      <c r="P1228" s="149"/>
      <c r="Q1228" s="149"/>
      <c r="R1228" s="149"/>
      <c r="S1228" s="149"/>
      <c r="T1228" s="149"/>
      <c r="U1228" s="149"/>
      <c r="V1228" s="149"/>
      <c r="W1228" s="149"/>
      <c r="X1228" s="149"/>
      <c r="Y1228" s="149"/>
      <c r="Z1228" s="149"/>
      <c r="AA1228" s="149"/>
      <c r="AB1228" s="149"/>
      <c r="AC1228" s="149"/>
      <c r="AD1228" s="148"/>
      <c r="AE1228" s="148"/>
      <c r="AF1228" s="148"/>
      <c r="DB1228" s="149"/>
    </row>
    <row r="1229" spans="2:106">
      <c r="B1229" s="149"/>
      <c r="C1229" s="149"/>
      <c r="D1229" s="149"/>
      <c r="E1229" s="149"/>
      <c r="F1229" s="149"/>
      <c r="G1229" s="149"/>
      <c r="H1229" s="149"/>
      <c r="I1229" s="149"/>
      <c r="J1229" s="149"/>
      <c r="K1229" s="149"/>
      <c r="L1229" s="149"/>
      <c r="M1229" s="149"/>
      <c r="N1229" s="149"/>
      <c r="O1229" s="149"/>
      <c r="P1229" s="149"/>
      <c r="Q1229" s="149"/>
      <c r="R1229" s="149"/>
      <c r="S1229" s="149"/>
      <c r="T1229" s="149"/>
      <c r="U1229" s="149"/>
      <c r="V1229" s="149"/>
      <c r="W1229" s="149"/>
      <c r="X1229" s="149"/>
      <c r="Y1229" s="149"/>
      <c r="Z1229" s="149"/>
      <c r="AA1229" s="149"/>
      <c r="AB1229" s="149"/>
      <c r="AC1229" s="149"/>
      <c r="AD1229" s="148"/>
      <c r="AE1229" s="148"/>
      <c r="AF1229" s="148"/>
      <c r="DB1229" s="149"/>
    </row>
    <row r="1230" spans="2:106">
      <c r="B1230" s="149"/>
      <c r="C1230" s="149"/>
      <c r="D1230" s="149"/>
      <c r="E1230" s="149"/>
      <c r="F1230" s="149"/>
      <c r="G1230" s="149"/>
      <c r="H1230" s="149"/>
      <c r="I1230" s="149"/>
      <c r="J1230" s="149"/>
      <c r="K1230" s="149"/>
      <c r="L1230" s="149"/>
      <c r="M1230" s="149"/>
      <c r="N1230" s="149"/>
      <c r="O1230" s="149"/>
      <c r="P1230" s="149"/>
      <c r="Q1230" s="149"/>
      <c r="R1230" s="149"/>
      <c r="S1230" s="149"/>
      <c r="T1230" s="149"/>
      <c r="U1230" s="149"/>
      <c r="V1230" s="149"/>
      <c r="W1230" s="149"/>
      <c r="X1230" s="149"/>
      <c r="Y1230" s="149"/>
      <c r="Z1230" s="149"/>
      <c r="AA1230" s="149"/>
      <c r="AB1230" s="149"/>
      <c r="AC1230" s="149"/>
      <c r="AD1230" s="148"/>
      <c r="AE1230" s="148"/>
      <c r="AF1230" s="148"/>
      <c r="DB1230" s="149"/>
    </row>
    <row r="1231" spans="2:106">
      <c r="B1231" s="149"/>
      <c r="C1231" s="149"/>
      <c r="D1231" s="149"/>
      <c r="E1231" s="149"/>
      <c r="F1231" s="149"/>
      <c r="G1231" s="149"/>
      <c r="H1231" s="149"/>
      <c r="I1231" s="149"/>
      <c r="J1231" s="149"/>
      <c r="K1231" s="149"/>
      <c r="L1231" s="149"/>
      <c r="M1231" s="149"/>
      <c r="N1231" s="149"/>
      <c r="O1231" s="149"/>
      <c r="P1231" s="149"/>
      <c r="Q1231" s="149"/>
      <c r="R1231" s="149"/>
      <c r="S1231" s="149"/>
      <c r="T1231" s="149"/>
      <c r="U1231" s="149"/>
      <c r="V1231" s="149"/>
      <c r="W1231" s="149"/>
      <c r="X1231" s="149"/>
      <c r="Y1231" s="149"/>
      <c r="Z1231" s="149"/>
      <c r="AA1231" s="149"/>
      <c r="AB1231" s="149"/>
      <c r="AC1231" s="149"/>
      <c r="AD1231" s="148"/>
      <c r="AE1231" s="148"/>
      <c r="AF1231" s="148"/>
      <c r="DB1231" s="149"/>
    </row>
    <row r="1232" spans="2:106">
      <c r="B1232" s="149"/>
      <c r="C1232" s="149"/>
      <c r="D1232" s="149"/>
      <c r="E1232" s="149"/>
      <c r="F1232" s="149"/>
      <c r="G1232" s="149"/>
      <c r="H1232" s="149"/>
      <c r="I1232" s="149"/>
      <c r="J1232" s="149"/>
      <c r="K1232" s="149"/>
      <c r="L1232" s="149"/>
      <c r="M1232" s="149"/>
      <c r="N1232" s="149"/>
      <c r="O1232" s="149"/>
      <c r="P1232" s="149"/>
      <c r="Q1232" s="149"/>
      <c r="R1232" s="149"/>
      <c r="S1232" s="149"/>
      <c r="T1232" s="149"/>
      <c r="U1232" s="149"/>
      <c r="V1232" s="149"/>
      <c r="W1232" s="149"/>
      <c r="X1232" s="149"/>
      <c r="Y1232" s="149"/>
      <c r="Z1232" s="149"/>
      <c r="AA1232" s="149"/>
      <c r="AB1232" s="149"/>
      <c r="AC1232" s="149"/>
      <c r="AD1232" s="148"/>
      <c r="AE1232" s="148"/>
      <c r="AF1232" s="148"/>
      <c r="DB1232" s="149"/>
    </row>
    <row r="1233" spans="2:106">
      <c r="B1233" s="149"/>
      <c r="C1233" s="149"/>
      <c r="D1233" s="149"/>
      <c r="E1233" s="149"/>
      <c r="F1233" s="149"/>
      <c r="G1233" s="149"/>
      <c r="H1233" s="149"/>
      <c r="I1233" s="149"/>
      <c r="J1233" s="149"/>
      <c r="K1233" s="149"/>
      <c r="L1233" s="149"/>
      <c r="M1233" s="149"/>
      <c r="N1233" s="149"/>
      <c r="O1233" s="149"/>
      <c r="P1233" s="149"/>
      <c r="Q1233" s="149"/>
      <c r="R1233" s="149"/>
      <c r="S1233" s="149"/>
      <c r="T1233" s="149"/>
      <c r="U1233" s="149"/>
      <c r="V1233" s="149"/>
      <c r="W1233" s="149"/>
      <c r="X1233" s="149"/>
      <c r="Y1233" s="149"/>
      <c r="Z1233" s="149"/>
      <c r="AA1233" s="149"/>
      <c r="AB1233" s="149"/>
      <c r="AC1233" s="149"/>
      <c r="AD1233" s="148"/>
      <c r="AE1233" s="148"/>
      <c r="AF1233" s="148"/>
      <c r="DB1233" s="149"/>
    </row>
    <row r="1234" spans="2:106">
      <c r="B1234" s="149"/>
      <c r="C1234" s="149"/>
      <c r="D1234" s="149"/>
      <c r="E1234" s="149"/>
      <c r="F1234" s="149"/>
      <c r="G1234" s="149"/>
      <c r="H1234" s="149"/>
      <c r="I1234" s="149"/>
      <c r="J1234" s="149"/>
      <c r="K1234" s="149"/>
      <c r="L1234" s="149"/>
      <c r="M1234" s="149"/>
      <c r="N1234" s="149"/>
      <c r="O1234" s="149"/>
      <c r="P1234" s="149"/>
      <c r="Q1234" s="149"/>
      <c r="R1234" s="149"/>
      <c r="S1234" s="149"/>
      <c r="T1234" s="149"/>
      <c r="U1234" s="149"/>
      <c r="V1234" s="149"/>
      <c r="W1234" s="149"/>
      <c r="X1234" s="149"/>
      <c r="Y1234" s="149"/>
      <c r="Z1234" s="149"/>
      <c r="AA1234" s="149"/>
      <c r="AB1234" s="149"/>
      <c r="AC1234" s="149"/>
      <c r="AD1234" s="148"/>
      <c r="AE1234" s="148"/>
      <c r="AF1234" s="148"/>
      <c r="DB1234" s="149"/>
    </row>
    <row r="1235" spans="2:106">
      <c r="B1235" s="149"/>
      <c r="C1235" s="149"/>
      <c r="D1235" s="149"/>
      <c r="E1235" s="149"/>
      <c r="F1235" s="149"/>
      <c r="G1235" s="149"/>
      <c r="H1235" s="149"/>
      <c r="I1235" s="149"/>
      <c r="J1235" s="149"/>
      <c r="K1235" s="149"/>
      <c r="L1235" s="149"/>
      <c r="M1235" s="149"/>
      <c r="N1235" s="149"/>
      <c r="O1235" s="149"/>
      <c r="P1235" s="149"/>
      <c r="Q1235" s="149"/>
      <c r="R1235" s="149"/>
      <c r="S1235" s="149"/>
      <c r="T1235" s="149"/>
      <c r="U1235" s="149"/>
      <c r="V1235" s="149"/>
      <c r="W1235" s="149"/>
      <c r="X1235" s="149"/>
      <c r="Y1235" s="149"/>
      <c r="Z1235" s="149"/>
      <c r="AA1235" s="149"/>
      <c r="AB1235" s="149"/>
      <c r="AC1235" s="149"/>
      <c r="AD1235" s="148"/>
      <c r="AE1235" s="148"/>
      <c r="AF1235" s="148"/>
      <c r="DB1235" s="149"/>
    </row>
    <row r="1236" spans="2:106">
      <c r="B1236" s="149"/>
      <c r="C1236" s="149"/>
      <c r="D1236" s="149"/>
      <c r="E1236" s="149"/>
      <c r="F1236" s="149"/>
      <c r="G1236" s="149"/>
      <c r="H1236" s="149"/>
      <c r="I1236" s="149"/>
      <c r="J1236" s="149"/>
      <c r="K1236" s="149"/>
      <c r="L1236" s="149"/>
      <c r="M1236" s="149"/>
      <c r="N1236" s="149"/>
      <c r="O1236" s="149"/>
      <c r="P1236" s="149"/>
      <c r="Q1236" s="149"/>
      <c r="R1236" s="149"/>
      <c r="S1236" s="149"/>
      <c r="T1236" s="149"/>
      <c r="U1236" s="149"/>
      <c r="V1236" s="149"/>
      <c r="W1236" s="149"/>
      <c r="X1236" s="149"/>
      <c r="Y1236" s="149"/>
      <c r="Z1236" s="149"/>
      <c r="AA1236" s="149"/>
      <c r="AB1236" s="149"/>
      <c r="AC1236" s="149"/>
      <c r="AD1236" s="148"/>
      <c r="AE1236" s="148"/>
      <c r="AF1236" s="148"/>
      <c r="DB1236" s="149"/>
    </row>
    <row r="1237" spans="2:106">
      <c r="B1237" s="149"/>
      <c r="C1237" s="149"/>
      <c r="D1237" s="149"/>
      <c r="E1237" s="149"/>
      <c r="F1237" s="149"/>
      <c r="G1237" s="149"/>
      <c r="H1237" s="149"/>
      <c r="I1237" s="149"/>
      <c r="J1237" s="149"/>
      <c r="K1237" s="149"/>
      <c r="L1237" s="149"/>
      <c r="M1237" s="149"/>
      <c r="N1237" s="149"/>
      <c r="O1237" s="149"/>
      <c r="P1237" s="149"/>
      <c r="Q1237" s="149"/>
      <c r="R1237" s="149"/>
      <c r="S1237" s="149"/>
      <c r="T1237" s="149"/>
      <c r="U1237" s="149"/>
      <c r="V1237" s="149"/>
      <c r="W1237" s="149"/>
      <c r="X1237" s="149"/>
      <c r="Y1237" s="149"/>
      <c r="Z1237" s="149"/>
      <c r="AA1237" s="149"/>
      <c r="AB1237" s="149"/>
      <c r="AC1237" s="149"/>
      <c r="AD1237" s="148"/>
      <c r="AE1237" s="148"/>
      <c r="AF1237" s="148"/>
      <c r="DB1237" s="149"/>
    </row>
    <row r="1238" spans="2:106">
      <c r="B1238" s="149"/>
      <c r="C1238" s="149"/>
      <c r="D1238" s="149"/>
      <c r="E1238" s="149"/>
      <c r="F1238" s="149"/>
      <c r="G1238" s="149"/>
      <c r="H1238" s="149"/>
      <c r="I1238" s="149"/>
      <c r="J1238" s="149"/>
      <c r="K1238" s="149"/>
      <c r="L1238" s="149"/>
      <c r="M1238" s="149"/>
      <c r="N1238" s="149"/>
      <c r="O1238" s="149"/>
      <c r="P1238" s="149"/>
      <c r="Q1238" s="149"/>
      <c r="R1238" s="149"/>
      <c r="S1238" s="149"/>
      <c r="T1238" s="149"/>
      <c r="U1238" s="149"/>
      <c r="V1238" s="149"/>
      <c r="W1238" s="149"/>
      <c r="X1238" s="149"/>
      <c r="Y1238" s="149"/>
      <c r="Z1238" s="149"/>
      <c r="AA1238" s="149"/>
      <c r="AB1238" s="149"/>
      <c r="AC1238" s="149"/>
      <c r="AD1238" s="148"/>
      <c r="AE1238" s="148"/>
      <c r="AF1238" s="148"/>
      <c r="DB1238" s="149"/>
    </row>
    <row r="1239" spans="2:106">
      <c r="B1239" s="149"/>
      <c r="C1239" s="149"/>
      <c r="D1239" s="149"/>
      <c r="E1239" s="149"/>
      <c r="F1239" s="149"/>
      <c r="G1239" s="149"/>
      <c r="H1239" s="149"/>
      <c r="I1239" s="149"/>
      <c r="J1239" s="149"/>
      <c r="K1239" s="149"/>
      <c r="L1239" s="149"/>
      <c r="M1239" s="149"/>
      <c r="N1239" s="149"/>
      <c r="O1239" s="149"/>
      <c r="P1239" s="149"/>
      <c r="Q1239" s="149"/>
      <c r="R1239" s="149"/>
      <c r="S1239" s="149"/>
      <c r="T1239" s="149"/>
      <c r="U1239" s="149"/>
      <c r="V1239" s="149"/>
      <c r="W1239" s="149"/>
      <c r="X1239" s="149"/>
      <c r="Y1239" s="149"/>
      <c r="Z1239" s="149"/>
      <c r="AA1239" s="149"/>
      <c r="AB1239" s="149"/>
      <c r="AC1239" s="149"/>
      <c r="AD1239" s="148"/>
      <c r="AE1239" s="148"/>
      <c r="AF1239" s="148"/>
      <c r="DB1239" s="149"/>
    </row>
    <row r="1240" spans="2:106">
      <c r="B1240" s="149"/>
      <c r="C1240" s="149"/>
      <c r="D1240" s="149"/>
      <c r="E1240" s="149"/>
      <c r="F1240" s="149"/>
      <c r="G1240" s="149"/>
      <c r="H1240" s="149"/>
      <c r="I1240" s="149"/>
      <c r="J1240" s="149"/>
      <c r="K1240" s="149"/>
      <c r="L1240" s="149"/>
      <c r="M1240" s="149"/>
      <c r="N1240" s="149"/>
      <c r="O1240" s="149"/>
      <c r="P1240" s="149"/>
      <c r="Q1240" s="149"/>
      <c r="R1240" s="149"/>
      <c r="S1240" s="149"/>
      <c r="T1240" s="149"/>
      <c r="U1240" s="149"/>
      <c r="V1240" s="149"/>
      <c r="W1240" s="149"/>
      <c r="X1240" s="149"/>
      <c r="Y1240" s="149"/>
      <c r="Z1240" s="149"/>
      <c r="AA1240" s="149"/>
      <c r="AB1240" s="149"/>
      <c r="AC1240" s="149"/>
      <c r="AD1240" s="148"/>
      <c r="AE1240" s="148"/>
      <c r="AF1240" s="148"/>
      <c r="DB1240" s="149"/>
    </row>
    <row r="1241" spans="2:106">
      <c r="B1241" s="149"/>
      <c r="C1241" s="149"/>
      <c r="D1241" s="149"/>
      <c r="E1241" s="149"/>
      <c r="F1241" s="149"/>
      <c r="G1241" s="149"/>
      <c r="H1241" s="149"/>
      <c r="I1241" s="149"/>
      <c r="J1241" s="149"/>
      <c r="K1241" s="149"/>
      <c r="L1241" s="149"/>
      <c r="M1241" s="149"/>
      <c r="N1241" s="149"/>
      <c r="O1241" s="149"/>
      <c r="P1241" s="149"/>
      <c r="Q1241" s="149"/>
      <c r="R1241" s="149"/>
      <c r="S1241" s="149"/>
      <c r="T1241" s="149"/>
      <c r="U1241" s="149"/>
      <c r="V1241" s="149"/>
      <c r="W1241" s="149"/>
      <c r="X1241" s="149"/>
      <c r="Y1241" s="149"/>
      <c r="Z1241" s="149"/>
      <c r="AA1241" s="149"/>
      <c r="AB1241" s="149"/>
      <c r="AC1241" s="149"/>
      <c r="AD1241" s="148"/>
      <c r="AE1241" s="148"/>
      <c r="AF1241" s="148"/>
      <c r="DB1241" s="149"/>
    </row>
    <row r="1242" spans="2:106">
      <c r="B1242" s="149"/>
      <c r="C1242" s="149"/>
      <c r="D1242" s="149"/>
      <c r="E1242" s="149"/>
      <c r="F1242" s="149"/>
      <c r="G1242" s="149"/>
      <c r="H1242" s="149"/>
      <c r="I1242" s="149"/>
      <c r="J1242" s="149"/>
      <c r="K1242" s="149"/>
      <c r="L1242" s="149"/>
      <c r="M1242" s="149"/>
      <c r="N1242" s="149"/>
      <c r="O1242" s="149"/>
      <c r="P1242" s="149"/>
      <c r="Q1242" s="149"/>
      <c r="R1242" s="149"/>
      <c r="S1242" s="149"/>
      <c r="T1242" s="149"/>
      <c r="U1242" s="149"/>
      <c r="V1242" s="149"/>
      <c r="W1242" s="149"/>
      <c r="X1242" s="149"/>
      <c r="Y1242" s="149"/>
      <c r="Z1242" s="149"/>
      <c r="AA1242" s="149"/>
      <c r="AB1242" s="149"/>
      <c r="AC1242" s="149"/>
      <c r="AD1242" s="148"/>
      <c r="AE1242" s="148"/>
      <c r="AF1242" s="148"/>
      <c r="DB1242" s="149"/>
    </row>
    <row r="1243" spans="2:106">
      <c r="B1243" s="149"/>
      <c r="C1243" s="149"/>
      <c r="D1243" s="149"/>
      <c r="E1243" s="149"/>
      <c r="F1243" s="149"/>
      <c r="G1243" s="149"/>
      <c r="H1243" s="149"/>
      <c r="I1243" s="149"/>
      <c r="J1243" s="149"/>
      <c r="K1243" s="149"/>
      <c r="L1243" s="149"/>
      <c r="M1243" s="149"/>
      <c r="N1243" s="149"/>
      <c r="O1243" s="149"/>
      <c r="P1243" s="149"/>
      <c r="Q1243" s="149"/>
      <c r="R1243" s="149"/>
      <c r="S1243" s="149"/>
      <c r="T1243" s="149"/>
      <c r="U1243" s="149"/>
      <c r="V1243" s="149"/>
      <c r="W1243" s="149"/>
      <c r="X1243" s="149"/>
      <c r="Y1243" s="149"/>
      <c r="Z1243" s="149"/>
      <c r="AA1243" s="149"/>
      <c r="AB1243" s="149"/>
      <c r="AC1243" s="149"/>
      <c r="AD1243" s="148"/>
      <c r="AE1243" s="148"/>
      <c r="AF1243" s="148"/>
      <c r="DB1243" s="149"/>
    </row>
    <row r="1244" spans="2:106">
      <c r="B1244" s="149"/>
      <c r="C1244" s="149"/>
      <c r="D1244" s="149"/>
      <c r="E1244" s="149"/>
      <c r="F1244" s="149"/>
      <c r="G1244" s="149"/>
      <c r="H1244" s="149"/>
      <c r="I1244" s="149"/>
      <c r="J1244" s="149"/>
      <c r="K1244" s="149"/>
      <c r="L1244" s="149"/>
      <c r="M1244" s="149"/>
      <c r="N1244" s="149"/>
      <c r="O1244" s="149"/>
      <c r="P1244" s="149"/>
      <c r="Q1244" s="149"/>
      <c r="R1244" s="149"/>
      <c r="S1244" s="149"/>
      <c r="T1244" s="149"/>
      <c r="U1244" s="149"/>
      <c r="V1244" s="149"/>
      <c r="W1244" s="149"/>
      <c r="X1244" s="149"/>
      <c r="Y1244" s="149"/>
      <c r="Z1244" s="149"/>
      <c r="AA1244" s="149"/>
      <c r="AB1244" s="149"/>
      <c r="AC1244" s="149"/>
      <c r="AD1244" s="148"/>
      <c r="AE1244" s="148"/>
      <c r="AF1244" s="148"/>
      <c r="DB1244" s="149"/>
    </row>
    <row r="1245" spans="2:106">
      <c r="B1245" s="149"/>
      <c r="C1245" s="149"/>
      <c r="D1245" s="149"/>
      <c r="E1245" s="149"/>
      <c r="F1245" s="149"/>
      <c r="G1245" s="149"/>
      <c r="H1245" s="149"/>
      <c r="I1245" s="149"/>
      <c r="J1245" s="149"/>
      <c r="K1245" s="149"/>
      <c r="L1245" s="149"/>
      <c r="M1245" s="149"/>
      <c r="N1245" s="149"/>
      <c r="O1245" s="149"/>
      <c r="P1245" s="149"/>
      <c r="Q1245" s="149"/>
      <c r="R1245" s="149"/>
      <c r="S1245" s="149"/>
      <c r="T1245" s="149"/>
      <c r="U1245" s="149"/>
      <c r="V1245" s="149"/>
      <c r="W1245" s="149"/>
      <c r="X1245" s="149"/>
      <c r="Y1245" s="149"/>
      <c r="Z1245" s="149"/>
      <c r="AA1245" s="149"/>
      <c r="AB1245" s="149"/>
      <c r="AC1245" s="149"/>
      <c r="AD1245" s="148"/>
      <c r="AE1245" s="148"/>
      <c r="AF1245" s="148"/>
      <c r="DB1245" s="149"/>
    </row>
    <row r="1246" spans="2:106">
      <c r="B1246" s="149"/>
      <c r="C1246" s="149"/>
      <c r="D1246" s="149"/>
      <c r="E1246" s="149"/>
      <c r="F1246" s="149"/>
      <c r="G1246" s="149"/>
      <c r="H1246" s="149"/>
      <c r="I1246" s="149"/>
      <c r="J1246" s="149"/>
      <c r="K1246" s="149"/>
      <c r="L1246" s="149"/>
      <c r="M1246" s="149"/>
      <c r="N1246" s="149"/>
      <c r="O1246" s="149"/>
      <c r="P1246" s="149"/>
      <c r="Q1246" s="149"/>
      <c r="R1246" s="149"/>
      <c r="S1246" s="149"/>
      <c r="T1246" s="149"/>
      <c r="U1246" s="149"/>
      <c r="V1246" s="149"/>
      <c r="W1246" s="149"/>
      <c r="X1246" s="149"/>
      <c r="Y1246" s="149"/>
      <c r="Z1246" s="149"/>
      <c r="AA1246" s="149"/>
      <c r="AB1246" s="149"/>
      <c r="AC1246" s="149"/>
      <c r="AD1246" s="148"/>
      <c r="AE1246" s="148"/>
      <c r="AF1246" s="148"/>
      <c r="DB1246" s="149"/>
    </row>
    <row r="1247" spans="2:106">
      <c r="B1247" s="149"/>
      <c r="C1247" s="149"/>
      <c r="D1247" s="149"/>
      <c r="E1247" s="149"/>
      <c r="F1247" s="149"/>
      <c r="G1247" s="149"/>
      <c r="H1247" s="149"/>
      <c r="I1247" s="149"/>
      <c r="J1247" s="149"/>
      <c r="K1247" s="149"/>
      <c r="L1247" s="149"/>
      <c r="M1247" s="149"/>
      <c r="N1247" s="149"/>
      <c r="O1247" s="149"/>
      <c r="P1247" s="149"/>
      <c r="Q1247" s="149"/>
      <c r="R1247" s="149"/>
      <c r="S1247" s="149"/>
      <c r="T1247" s="149"/>
      <c r="U1247" s="149"/>
      <c r="V1247" s="149"/>
      <c r="W1247" s="149"/>
      <c r="X1247" s="149"/>
      <c r="Y1247" s="149"/>
      <c r="Z1247" s="149"/>
      <c r="AA1247" s="149"/>
      <c r="AB1247" s="149"/>
      <c r="AC1247" s="149"/>
      <c r="AD1247" s="148"/>
      <c r="AE1247" s="148"/>
      <c r="AF1247" s="148"/>
      <c r="DB1247" s="149"/>
    </row>
    <row r="1248" spans="2:106">
      <c r="B1248" s="149"/>
      <c r="C1248" s="149"/>
      <c r="D1248" s="149"/>
      <c r="E1248" s="149"/>
      <c r="F1248" s="149"/>
      <c r="G1248" s="149"/>
      <c r="H1248" s="149"/>
      <c r="I1248" s="149"/>
      <c r="J1248" s="149"/>
      <c r="K1248" s="149"/>
      <c r="L1248" s="149"/>
      <c r="M1248" s="149"/>
      <c r="N1248" s="149"/>
      <c r="O1248" s="149"/>
      <c r="P1248" s="149"/>
      <c r="Q1248" s="149"/>
      <c r="R1248" s="149"/>
      <c r="S1248" s="149"/>
      <c r="T1248" s="149"/>
      <c r="U1248" s="149"/>
      <c r="V1248" s="149"/>
      <c r="W1248" s="149"/>
      <c r="X1248" s="149"/>
      <c r="Y1248" s="149"/>
      <c r="Z1248" s="149"/>
      <c r="AA1248" s="149"/>
      <c r="AB1248" s="149"/>
      <c r="AC1248" s="149"/>
      <c r="AD1248" s="148"/>
      <c r="AE1248" s="148"/>
      <c r="AF1248" s="148"/>
      <c r="DB1248" s="149"/>
    </row>
    <row r="1249" spans="2:106">
      <c r="B1249" s="149"/>
      <c r="C1249" s="149"/>
      <c r="D1249" s="149"/>
      <c r="E1249" s="149"/>
      <c r="F1249" s="149"/>
      <c r="G1249" s="149"/>
      <c r="H1249" s="149"/>
      <c r="I1249" s="149"/>
      <c r="J1249" s="149"/>
      <c r="K1249" s="149"/>
      <c r="L1249" s="149"/>
      <c r="M1249" s="149"/>
      <c r="N1249" s="149"/>
      <c r="O1249" s="149"/>
      <c r="P1249" s="149"/>
      <c r="Q1249" s="149"/>
      <c r="R1249" s="149"/>
      <c r="S1249" s="149"/>
      <c r="T1249" s="149"/>
      <c r="U1249" s="149"/>
      <c r="V1249" s="149"/>
      <c r="W1249" s="149"/>
      <c r="X1249" s="149"/>
      <c r="Y1249" s="149"/>
      <c r="Z1249" s="149"/>
      <c r="AA1249" s="149"/>
      <c r="AB1249" s="149"/>
      <c r="AC1249" s="149"/>
      <c r="AD1249" s="148"/>
      <c r="AE1249" s="148"/>
      <c r="AF1249" s="148"/>
      <c r="DB1249" s="149"/>
    </row>
    <row r="1250" spans="2:106">
      <c r="B1250" s="149"/>
      <c r="C1250" s="149"/>
      <c r="D1250" s="149"/>
      <c r="E1250" s="149"/>
      <c r="F1250" s="149"/>
      <c r="G1250" s="149"/>
      <c r="H1250" s="149"/>
      <c r="I1250" s="149"/>
      <c r="J1250" s="149"/>
      <c r="K1250" s="149"/>
      <c r="L1250" s="149"/>
      <c r="M1250" s="149"/>
      <c r="N1250" s="149"/>
      <c r="O1250" s="149"/>
      <c r="P1250" s="149"/>
      <c r="Q1250" s="149"/>
      <c r="R1250" s="149"/>
      <c r="S1250" s="149"/>
      <c r="T1250" s="149"/>
      <c r="U1250" s="149"/>
      <c r="V1250" s="149"/>
      <c r="W1250" s="149"/>
      <c r="X1250" s="149"/>
      <c r="Y1250" s="149"/>
      <c r="Z1250" s="149"/>
      <c r="AA1250" s="149"/>
      <c r="AB1250" s="149"/>
      <c r="AC1250" s="149"/>
      <c r="AD1250" s="148"/>
      <c r="AE1250" s="148"/>
      <c r="AF1250" s="148"/>
      <c r="DB1250" s="149"/>
    </row>
    <row r="1251" spans="2:106">
      <c r="B1251" s="149"/>
      <c r="C1251" s="149"/>
      <c r="D1251" s="149"/>
      <c r="E1251" s="149"/>
      <c r="F1251" s="149"/>
      <c r="G1251" s="149"/>
      <c r="H1251" s="149"/>
      <c r="I1251" s="149"/>
      <c r="J1251" s="149"/>
      <c r="K1251" s="149"/>
      <c r="L1251" s="149"/>
      <c r="M1251" s="149"/>
      <c r="N1251" s="149"/>
      <c r="O1251" s="149"/>
      <c r="P1251" s="149"/>
      <c r="Q1251" s="149"/>
      <c r="R1251" s="149"/>
      <c r="S1251" s="149"/>
      <c r="T1251" s="149"/>
      <c r="U1251" s="149"/>
      <c r="V1251" s="149"/>
      <c r="W1251" s="149"/>
      <c r="X1251" s="149"/>
      <c r="Y1251" s="149"/>
      <c r="Z1251" s="149"/>
      <c r="AA1251" s="149"/>
      <c r="AB1251" s="149"/>
      <c r="AC1251" s="149"/>
      <c r="AD1251" s="148"/>
      <c r="AE1251" s="148"/>
      <c r="AF1251" s="148"/>
      <c r="DB1251" s="149"/>
    </row>
    <row r="1252" spans="2:106">
      <c r="B1252" s="149"/>
      <c r="C1252" s="149"/>
      <c r="D1252" s="149"/>
      <c r="E1252" s="149"/>
      <c r="F1252" s="149"/>
      <c r="G1252" s="149"/>
      <c r="H1252" s="149"/>
      <c r="I1252" s="149"/>
      <c r="J1252" s="149"/>
      <c r="K1252" s="149"/>
      <c r="L1252" s="149"/>
      <c r="M1252" s="149"/>
      <c r="N1252" s="149"/>
      <c r="O1252" s="149"/>
      <c r="P1252" s="149"/>
      <c r="Q1252" s="149"/>
      <c r="R1252" s="149"/>
      <c r="S1252" s="149"/>
      <c r="T1252" s="149"/>
      <c r="U1252" s="149"/>
      <c r="V1252" s="149"/>
      <c r="W1252" s="149"/>
      <c r="X1252" s="149"/>
      <c r="Y1252" s="149"/>
      <c r="Z1252" s="149"/>
      <c r="AA1252" s="149"/>
      <c r="AB1252" s="149"/>
      <c r="AC1252" s="149"/>
      <c r="AD1252" s="148"/>
      <c r="AE1252" s="148"/>
      <c r="AF1252" s="148"/>
      <c r="DB1252" s="149"/>
    </row>
    <row r="1253" spans="2:106">
      <c r="B1253" s="149"/>
      <c r="C1253" s="149"/>
      <c r="D1253" s="149"/>
      <c r="E1253" s="149"/>
      <c r="F1253" s="149"/>
      <c r="G1253" s="149"/>
      <c r="H1253" s="149"/>
      <c r="I1253" s="149"/>
      <c r="J1253" s="149"/>
      <c r="K1253" s="149"/>
      <c r="L1253" s="149"/>
      <c r="M1253" s="149"/>
      <c r="N1253" s="149"/>
      <c r="O1253" s="149"/>
      <c r="P1253" s="149"/>
      <c r="Q1253" s="149"/>
      <c r="R1253" s="149"/>
      <c r="S1253" s="149"/>
      <c r="T1253" s="149"/>
      <c r="U1253" s="149"/>
      <c r="V1253" s="149"/>
      <c r="W1253" s="149"/>
      <c r="X1253" s="149"/>
      <c r="Y1253" s="149"/>
      <c r="Z1253" s="149"/>
      <c r="AA1253" s="149"/>
      <c r="AB1253" s="149"/>
      <c r="AC1253" s="149"/>
      <c r="AD1253" s="148"/>
      <c r="AE1253" s="148"/>
      <c r="AF1253" s="148"/>
      <c r="DB1253" s="149"/>
    </row>
    <row r="1254" spans="2:106">
      <c r="B1254" s="149"/>
      <c r="C1254" s="149"/>
      <c r="D1254" s="149"/>
      <c r="E1254" s="149"/>
      <c r="F1254" s="149"/>
      <c r="G1254" s="149"/>
      <c r="H1254" s="149"/>
      <c r="I1254" s="149"/>
      <c r="J1254" s="149"/>
      <c r="K1254" s="149"/>
      <c r="L1254" s="149"/>
      <c r="M1254" s="149"/>
      <c r="N1254" s="149"/>
      <c r="O1254" s="149"/>
      <c r="P1254" s="149"/>
      <c r="Q1254" s="149"/>
      <c r="R1254" s="149"/>
      <c r="S1254" s="149"/>
      <c r="T1254" s="149"/>
      <c r="U1254" s="149"/>
      <c r="V1254" s="149"/>
      <c r="W1254" s="149"/>
      <c r="X1254" s="149"/>
      <c r="Y1254" s="149"/>
      <c r="Z1254" s="149"/>
      <c r="AA1254" s="149"/>
      <c r="AB1254" s="149"/>
      <c r="AC1254" s="149"/>
      <c r="AD1254" s="148"/>
      <c r="AE1254" s="148"/>
      <c r="AF1254" s="148"/>
      <c r="DB1254" s="149"/>
    </row>
    <row r="1255" spans="2:106">
      <c r="B1255" s="149"/>
      <c r="C1255" s="149"/>
      <c r="D1255" s="149"/>
      <c r="E1255" s="149"/>
      <c r="F1255" s="149"/>
      <c r="G1255" s="149"/>
      <c r="H1255" s="149"/>
      <c r="I1255" s="149"/>
      <c r="J1255" s="149"/>
      <c r="K1255" s="149"/>
      <c r="L1255" s="149"/>
      <c r="M1255" s="149"/>
      <c r="N1255" s="149"/>
      <c r="O1255" s="149"/>
      <c r="P1255" s="149"/>
      <c r="Q1255" s="149"/>
      <c r="R1255" s="149"/>
      <c r="S1255" s="149"/>
      <c r="T1255" s="149"/>
      <c r="U1255" s="149"/>
      <c r="V1255" s="149"/>
      <c r="W1255" s="149"/>
      <c r="X1255" s="149"/>
      <c r="Y1255" s="149"/>
      <c r="Z1255" s="149"/>
      <c r="AA1255" s="149"/>
      <c r="AB1255" s="149"/>
      <c r="AC1255" s="149"/>
      <c r="AD1255" s="148"/>
      <c r="AE1255" s="148"/>
      <c r="AF1255" s="148"/>
      <c r="DB1255" s="149"/>
    </row>
    <row r="1256" spans="2:106">
      <c r="B1256" s="149"/>
      <c r="C1256" s="149"/>
      <c r="D1256" s="149"/>
      <c r="E1256" s="149"/>
      <c r="F1256" s="149"/>
      <c r="G1256" s="149"/>
      <c r="H1256" s="149"/>
      <c r="I1256" s="149"/>
      <c r="J1256" s="149"/>
      <c r="K1256" s="149"/>
      <c r="L1256" s="149"/>
      <c r="M1256" s="149"/>
      <c r="N1256" s="149"/>
      <c r="O1256" s="149"/>
      <c r="P1256" s="149"/>
      <c r="Q1256" s="149"/>
      <c r="R1256" s="149"/>
      <c r="S1256" s="149"/>
      <c r="T1256" s="149"/>
      <c r="U1256" s="149"/>
      <c r="V1256" s="149"/>
      <c r="W1256" s="149"/>
      <c r="X1256" s="149"/>
      <c r="Y1256" s="149"/>
      <c r="Z1256" s="149"/>
      <c r="AA1256" s="149"/>
      <c r="AB1256" s="149"/>
      <c r="AC1256" s="149"/>
      <c r="AD1256" s="148"/>
      <c r="AE1256" s="148"/>
      <c r="AF1256" s="148"/>
      <c r="DB1256" s="149"/>
    </row>
    <row r="1257" spans="2:106">
      <c r="B1257" s="149"/>
      <c r="C1257" s="149"/>
      <c r="D1257" s="149"/>
      <c r="E1257" s="149"/>
      <c r="F1257" s="149"/>
      <c r="G1257" s="149"/>
      <c r="H1257" s="149"/>
      <c r="I1257" s="149"/>
      <c r="J1257" s="149"/>
      <c r="K1257" s="149"/>
      <c r="L1257" s="149"/>
      <c r="M1257" s="149"/>
      <c r="N1257" s="149"/>
      <c r="O1257" s="149"/>
      <c r="P1257" s="149"/>
      <c r="Q1257" s="149"/>
      <c r="R1257" s="149"/>
      <c r="S1257" s="149"/>
      <c r="T1257" s="149"/>
      <c r="U1257" s="149"/>
      <c r="V1257" s="149"/>
      <c r="W1257" s="149"/>
      <c r="X1257" s="149"/>
      <c r="Y1257" s="149"/>
      <c r="Z1257" s="149"/>
      <c r="AA1257" s="149"/>
      <c r="AB1257" s="149"/>
      <c r="AC1257" s="149"/>
      <c r="AD1257" s="148"/>
      <c r="AE1257" s="148"/>
      <c r="AF1257" s="148"/>
      <c r="DB1257" s="149"/>
    </row>
    <row r="1258" spans="2:106">
      <c r="B1258" s="149"/>
      <c r="C1258" s="149"/>
      <c r="D1258" s="149"/>
      <c r="E1258" s="149"/>
      <c r="F1258" s="149"/>
      <c r="G1258" s="149"/>
      <c r="H1258" s="149"/>
      <c r="I1258" s="149"/>
      <c r="J1258" s="149"/>
      <c r="K1258" s="149"/>
      <c r="L1258" s="149"/>
      <c r="M1258" s="149"/>
      <c r="N1258" s="149"/>
      <c r="O1258" s="149"/>
      <c r="P1258" s="149"/>
      <c r="Q1258" s="149"/>
      <c r="R1258" s="149"/>
      <c r="S1258" s="149"/>
      <c r="T1258" s="149"/>
      <c r="U1258" s="149"/>
      <c r="V1258" s="149"/>
      <c r="W1258" s="149"/>
      <c r="X1258" s="149"/>
      <c r="Y1258" s="149"/>
      <c r="Z1258" s="149"/>
      <c r="AA1258" s="149"/>
      <c r="AB1258" s="149"/>
      <c r="AC1258" s="149"/>
      <c r="AD1258" s="148"/>
      <c r="AE1258" s="148"/>
      <c r="AF1258" s="148"/>
      <c r="DB1258" s="149"/>
    </row>
    <row r="1259" spans="2:106">
      <c r="B1259" s="149"/>
      <c r="C1259" s="149"/>
      <c r="D1259" s="149"/>
      <c r="E1259" s="149"/>
      <c r="F1259" s="149"/>
      <c r="G1259" s="149"/>
      <c r="H1259" s="149"/>
      <c r="I1259" s="149"/>
      <c r="J1259" s="149"/>
      <c r="K1259" s="149"/>
      <c r="L1259" s="149"/>
      <c r="M1259" s="149"/>
      <c r="N1259" s="149"/>
      <c r="O1259" s="149"/>
      <c r="P1259" s="149"/>
      <c r="Q1259" s="149"/>
      <c r="R1259" s="149"/>
      <c r="S1259" s="149"/>
      <c r="T1259" s="149"/>
      <c r="U1259" s="149"/>
      <c r="V1259" s="149"/>
      <c r="W1259" s="149"/>
      <c r="X1259" s="149"/>
      <c r="Y1259" s="149"/>
      <c r="Z1259" s="149"/>
      <c r="AA1259" s="149"/>
      <c r="AB1259" s="149"/>
      <c r="AC1259" s="149"/>
      <c r="AD1259" s="148"/>
      <c r="AE1259" s="148"/>
      <c r="AF1259" s="148"/>
      <c r="DB1259" s="149"/>
    </row>
    <row r="1260" spans="2:106">
      <c r="B1260" s="149"/>
      <c r="C1260" s="149"/>
      <c r="D1260" s="149"/>
      <c r="E1260" s="149"/>
      <c r="F1260" s="149"/>
      <c r="G1260" s="149"/>
      <c r="H1260" s="149"/>
      <c r="I1260" s="149"/>
      <c r="J1260" s="149"/>
      <c r="K1260" s="149"/>
      <c r="L1260" s="149"/>
      <c r="M1260" s="149"/>
      <c r="N1260" s="149"/>
      <c r="O1260" s="149"/>
      <c r="P1260" s="149"/>
      <c r="Q1260" s="149"/>
      <c r="R1260" s="149"/>
      <c r="S1260" s="149"/>
      <c r="T1260" s="149"/>
      <c r="U1260" s="149"/>
      <c r="V1260" s="149"/>
      <c r="W1260" s="149"/>
      <c r="X1260" s="149"/>
      <c r="Y1260" s="149"/>
      <c r="Z1260" s="149"/>
      <c r="AA1260" s="149"/>
      <c r="AB1260" s="149"/>
      <c r="AC1260" s="149"/>
      <c r="AD1260" s="148"/>
      <c r="AE1260" s="148"/>
      <c r="AF1260" s="148"/>
      <c r="DB1260" s="149"/>
    </row>
    <row r="1261" spans="2:106">
      <c r="B1261" s="149"/>
      <c r="C1261" s="149"/>
      <c r="D1261" s="149"/>
      <c r="E1261" s="149"/>
      <c r="F1261" s="149"/>
      <c r="G1261" s="149"/>
      <c r="H1261" s="149"/>
      <c r="I1261" s="149"/>
      <c r="J1261" s="149"/>
      <c r="K1261" s="149"/>
      <c r="L1261" s="149"/>
      <c r="M1261" s="149"/>
      <c r="N1261" s="149"/>
      <c r="O1261" s="149"/>
      <c r="P1261" s="149"/>
      <c r="Q1261" s="149"/>
      <c r="R1261" s="149"/>
      <c r="S1261" s="149"/>
      <c r="T1261" s="149"/>
      <c r="U1261" s="149"/>
      <c r="V1261" s="149"/>
      <c r="W1261" s="149"/>
      <c r="X1261" s="149"/>
      <c r="Y1261" s="149"/>
      <c r="Z1261" s="149"/>
      <c r="AA1261" s="149"/>
      <c r="AB1261" s="149"/>
      <c r="AC1261" s="149"/>
      <c r="AD1261" s="148"/>
      <c r="AE1261" s="148"/>
      <c r="AF1261" s="148"/>
      <c r="DB1261" s="149"/>
    </row>
    <row r="1262" spans="2:106">
      <c r="B1262" s="149"/>
      <c r="C1262" s="149"/>
      <c r="D1262" s="149"/>
      <c r="E1262" s="149"/>
      <c r="F1262" s="149"/>
      <c r="G1262" s="149"/>
      <c r="H1262" s="149"/>
      <c r="I1262" s="149"/>
      <c r="J1262" s="149"/>
      <c r="K1262" s="149"/>
      <c r="L1262" s="149"/>
      <c r="M1262" s="149"/>
      <c r="N1262" s="149"/>
      <c r="O1262" s="149"/>
      <c r="P1262" s="149"/>
      <c r="Q1262" s="149"/>
      <c r="R1262" s="149"/>
      <c r="S1262" s="149"/>
      <c r="T1262" s="149"/>
      <c r="U1262" s="149"/>
      <c r="V1262" s="149"/>
      <c r="W1262" s="149"/>
      <c r="X1262" s="149"/>
      <c r="Y1262" s="149"/>
      <c r="Z1262" s="149"/>
      <c r="AA1262" s="149"/>
      <c r="AB1262" s="149"/>
      <c r="AC1262" s="149"/>
      <c r="AD1262" s="148"/>
      <c r="AE1262" s="148"/>
      <c r="AF1262" s="148"/>
      <c r="DB1262" s="149"/>
    </row>
    <row r="1263" spans="2:106">
      <c r="B1263" s="149"/>
      <c r="C1263" s="149"/>
      <c r="D1263" s="149"/>
      <c r="E1263" s="149"/>
      <c r="F1263" s="149"/>
      <c r="G1263" s="149"/>
      <c r="H1263" s="149"/>
      <c r="I1263" s="149"/>
      <c r="J1263" s="149"/>
      <c r="K1263" s="149"/>
      <c r="L1263" s="149"/>
      <c r="M1263" s="149"/>
      <c r="N1263" s="149"/>
      <c r="O1263" s="149"/>
      <c r="P1263" s="149"/>
      <c r="Q1263" s="149"/>
      <c r="R1263" s="149"/>
      <c r="S1263" s="149"/>
      <c r="T1263" s="149"/>
      <c r="U1263" s="149"/>
      <c r="V1263" s="149"/>
      <c r="W1263" s="149"/>
      <c r="X1263" s="149"/>
      <c r="Y1263" s="149"/>
      <c r="Z1263" s="149"/>
      <c r="AA1263" s="149"/>
      <c r="AB1263" s="149"/>
      <c r="AC1263" s="149"/>
      <c r="AD1263" s="148"/>
      <c r="AE1263" s="148"/>
      <c r="AF1263" s="148"/>
      <c r="DB1263" s="149"/>
    </row>
    <row r="1264" spans="2:106">
      <c r="B1264" s="149"/>
      <c r="C1264" s="149"/>
      <c r="D1264" s="149"/>
      <c r="E1264" s="149"/>
      <c r="F1264" s="149"/>
      <c r="G1264" s="149"/>
      <c r="H1264" s="149"/>
      <c r="I1264" s="149"/>
      <c r="J1264" s="149"/>
      <c r="K1264" s="149"/>
      <c r="L1264" s="149"/>
      <c r="M1264" s="149"/>
      <c r="N1264" s="149"/>
      <c r="O1264" s="149"/>
      <c r="P1264" s="149"/>
      <c r="Q1264" s="149"/>
      <c r="R1264" s="149"/>
      <c r="S1264" s="149"/>
      <c r="T1264" s="149"/>
      <c r="U1264" s="149"/>
      <c r="V1264" s="149"/>
      <c r="W1264" s="149"/>
      <c r="X1264" s="149"/>
      <c r="Y1264" s="149"/>
      <c r="Z1264" s="149"/>
      <c r="AA1264" s="149"/>
      <c r="AB1264" s="149"/>
      <c r="AC1264" s="149"/>
      <c r="AD1264" s="148"/>
      <c r="AE1264" s="148"/>
      <c r="AF1264" s="148"/>
      <c r="DB1264" s="149"/>
    </row>
    <row r="1265" spans="2:106">
      <c r="B1265" s="149"/>
      <c r="C1265" s="149"/>
      <c r="D1265" s="149"/>
      <c r="E1265" s="149"/>
      <c r="F1265" s="149"/>
      <c r="G1265" s="149"/>
      <c r="H1265" s="149"/>
      <c r="I1265" s="149"/>
      <c r="J1265" s="149"/>
      <c r="K1265" s="149"/>
      <c r="L1265" s="149"/>
      <c r="M1265" s="149"/>
      <c r="N1265" s="149"/>
      <c r="O1265" s="149"/>
      <c r="P1265" s="149"/>
      <c r="Q1265" s="149"/>
      <c r="R1265" s="149"/>
      <c r="S1265" s="149"/>
      <c r="T1265" s="149"/>
      <c r="U1265" s="149"/>
      <c r="V1265" s="149"/>
      <c r="W1265" s="149"/>
      <c r="X1265" s="149"/>
      <c r="Y1265" s="149"/>
      <c r="Z1265" s="149"/>
      <c r="AA1265" s="149"/>
      <c r="AB1265" s="149"/>
      <c r="AC1265" s="149"/>
      <c r="AD1265" s="148"/>
      <c r="AE1265" s="148"/>
      <c r="AF1265" s="148"/>
      <c r="DB1265" s="149"/>
    </row>
    <row r="1266" spans="2:106">
      <c r="B1266" s="149"/>
      <c r="C1266" s="149"/>
      <c r="D1266" s="149"/>
      <c r="E1266" s="149"/>
      <c r="F1266" s="149"/>
      <c r="G1266" s="149"/>
      <c r="H1266" s="149"/>
      <c r="I1266" s="149"/>
      <c r="J1266" s="149"/>
      <c r="K1266" s="149"/>
      <c r="L1266" s="149"/>
      <c r="M1266" s="149"/>
      <c r="N1266" s="149"/>
      <c r="O1266" s="149"/>
      <c r="P1266" s="149"/>
      <c r="Q1266" s="149"/>
      <c r="R1266" s="149"/>
      <c r="S1266" s="149"/>
      <c r="T1266" s="149"/>
      <c r="U1266" s="149"/>
      <c r="V1266" s="149"/>
      <c r="W1266" s="149"/>
      <c r="X1266" s="149"/>
      <c r="Y1266" s="149"/>
      <c r="Z1266" s="149"/>
      <c r="AA1266" s="149"/>
      <c r="AB1266" s="149"/>
      <c r="AC1266" s="149"/>
      <c r="AD1266" s="148"/>
      <c r="AE1266" s="148"/>
      <c r="AF1266" s="148"/>
      <c r="DB1266" s="149"/>
    </row>
    <row r="1267" spans="2:106">
      <c r="B1267" s="149"/>
      <c r="C1267" s="149"/>
      <c r="D1267" s="149"/>
      <c r="E1267" s="149"/>
      <c r="F1267" s="149"/>
      <c r="G1267" s="149"/>
      <c r="H1267" s="149"/>
      <c r="I1267" s="149"/>
      <c r="J1267" s="149"/>
      <c r="K1267" s="149"/>
      <c r="L1267" s="149"/>
      <c r="M1267" s="149"/>
      <c r="N1267" s="149"/>
      <c r="O1267" s="149"/>
      <c r="P1267" s="149"/>
      <c r="Q1267" s="149"/>
      <c r="R1267" s="149"/>
      <c r="S1267" s="149"/>
      <c r="T1267" s="149"/>
      <c r="U1267" s="149"/>
      <c r="V1267" s="149"/>
      <c r="W1267" s="149"/>
      <c r="X1267" s="149"/>
      <c r="Y1267" s="149"/>
      <c r="Z1267" s="149"/>
      <c r="AA1267" s="149"/>
      <c r="AB1267" s="149"/>
      <c r="AC1267" s="149"/>
      <c r="AD1267" s="148"/>
      <c r="AE1267" s="148"/>
      <c r="AF1267" s="148"/>
      <c r="DB1267" s="149"/>
    </row>
    <row r="1268" spans="2:106">
      <c r="B1268" s="149"/>
      <c r="C1268" s="149"/>
      <c r="D1268" s="149"/>
      <c r="E1268" s="149"/>
      <c r="F1268" s="149"/>
      <c r="G1268" s="149"/>
      <c r="H1268" s="149"/>
      <c r="I1268" s="149"/>
      <c r="J1268" s="149"/>
      <c r="K1268" s="149"/>
      <c r="L1268" s="149"/>
      <c r="M1268" s="149"/>
      <c r="N1268" s="149"/>
      <c r="O1268" s="149"/>
      <c r="P1268" s="149"/>
      <c r="Q1268" s="149"/>
      <c r="R1268" s="149"/>
      <c r="S1268" s="149"/>
      <c r="T1268" s="149"/>
      <c r="U1268" s="149"/>
      <c r="V1268" s="149"/>
      <c r="W1268" s="149"/>
      <c r="X1268" s="149"/>
      <c r="Y1268" s="149"/>
      <c r="Z1268" s="149"/>
      <c r="AA1268" s="149"/>
      <c r="AB1268" s="149"/>
      <c r="AC1268" s="149"/>
      <c r="AD1268" s="148"/>
      <c r="AE1268" s="148"/>
      <c r="AF1268" s="148"/>
      <c r="DB1268" s="149"/>
    </row>
    <row r="1269" spans="2:106">
      <c r="B1269" s="149"/>
      <c r="C1269" s="149"/>
      <c r="D1269" s="149"/>
      <c r="E1269" s="149"/>
      <c r="F1269" s="149"/>
      <c r="G1269" s="149"/>
      <c r="H1269" s="149"/>
      <c r="I1269" s="149"/>
      <c r="J1269" s="149"/>
      <c r="K1269" s="149"/>
      <c r="L1269" s="149"/>
      <c r="M1269" s="149"/>
      <c r="N1269" s="149"/>
      <c r="O1269" s="149"/>
      <c r="P1269" s="149"/>
      <c r="Q1269" s="149"/>
      <c r="R1269" s="149"/>
      <c r="S1269" s="149"/>
      <c r="T1269" s="149"/>
      <c r="U1269" s="149"/>
      <c r="V1269" s="149"/>
      <c r="W1269" s="149"/>
      <c r="X1269" s="149"/>
      <c r="Y1269" s="149"/>
      <c r="Z1269" s="149"/>
      <c r="AA1269" s="149"/>
      <c r="AB1269" s="149"/>
      <c r="AC1269" s="149"/>
      <c r="AD1269" s="148"/>
      <c r="AE1269" s="148"/>
      <c r="AF1269" s="148"/>
      <c r="DB1269" s="149"/>
    </row>
    <row r="1270" spans="2:106">
      <c r="B1270" s="149"/>
      <c r="C1270" s="149"/>
      <c r="D1270" s="149"/>
      <c r="E1270" s="149"/>
      <c r="F1270" s="149"/>
      <c r="G1270" s="149"/>
      <c r="H1270" s="149"/>
      <c r="I1270" s="149"/>
      <c r="J1270" s="149"/>
      <c r="K1270" s="149"/>
      <c r="L1270" s="149"/>
      <c r="M1270" s="149"/>
      <c r="N1270" s="149"/>
      <c r="O1270" s="149"/>
      <c r="P1270" s="149"/>
      <c r="Q1270" s="149"/>
      <c r="R1270" s="149"/>
      <c r="S1270" s="149"/>
      <c r="T1270" s="149"/>
      <c r="U1270" s="149"/>
      <c r="V1270" s="149"/>
      <c r="W1270" s="149"/>
      <c r="X1270" s="149"/>
      <c r="Y1270" s="149"/>
      <c r="Z1270" s="149"/>
      <c r="AA1270" s="149"/>
      <c r="AB1270" s="149"/>
      <c r="AC1270" s="149"/>
      <c r="AD1270" s="148"/>
      <c r="AE1270" s="148"/>
      <c r="AF1270" s="148"/>
      <c r="DB1270" s="149"/>
    </row>
    <row r="1271" spans="2:106">
      <c r="B1271" s="149"/>
      <c r="C1271" s="149"/>
      <c r="D1271" s="149"/>
      <c r="E1271" s="149"/>
      <c r="F1271" s="149"/>
      <c r="G1271" s="149"/>
      <c r="H1271" s="149"/>
      <c r="I1271" s="149"/>
      <c r="J1271" s="149"/>
      <c r="K1271" s="149"/>
      <c r="L1271" s="149"/>
      <c r="M1271" s="149"/>
      <c r="N1271" s="149"/>
      <c r="O1271" s="149"/>
      <c r="P1271" s="149"/>
      <c r="Q1271" s="149"/>
      <c r="R1271" s="149"/>
      <c r="S1271" s="149"/>
      <c r="T1271" s="149"/>
      <c r="U1271" s="149"/>
      <c r="V1271" s="149"/>
      <c r="W1271" s="149"/>
      <c r="X1271" s="149"/>
      <c r="Y1271" s="149"/>
      <c r="Z1271" s="149"/>
      <c r="AA1271" s="149"/>
      <c r="AB1271" s="149"/>
      <c r="AC1271" s="149"/>
      <c r="AD1271" s="148"/>
      <c r="AE1271" s="148"/>
      <c r="AF1271" s="148"/>
      <c r="DB1271" s="149"/>
    </row>
    <row r="1272" spans="2:106">
      <c r="B1272" s="149"/>
      <c r="C1272" s="149"/>
      <c r="D1272" s="149"/>
      <c r="E1272" s="149"/>
      <c r="F1272" s="149"/>
      <c r="G1272" s="149"/>
      <c r="H1272" s="149"/>
      <c r="I1272" s="149"/>
      <c r="J1272" s="149"/>
      <c r="K1272" s="149"/>
      <c r="L1272" s="149"/>
      <c r="M1272" s="149"/>
      <c r="N1272" s="149"/>
      <c r="O1272" s="149"/>
      <c r="P1272" s="149"/>
      <c r="Q1272" s="149"/>
      <c r="R1272" s="149"/>
      <c r="S1272" s="149"/>
      <c r="T1272" s="149"/>
      <c r="U1272" s="149"/>
      <c r="V1272" s="149"/>
      <c r="W1272" s="149"/>
      <c r="X1272" s="149"/>
      <c r="Y1272" s="149"/>
      <c r="Z1272" s="149"/>
      <c r="AA1272" s="149"/>
      <c r="AB1272" s="149"/>
      <c r="AC1272" s="149"/>
      <c r="AD1272" s="148"/>
      <c r="AE1272" s="148"/>
      <c r="AF1272" s="148"/>
      <c r="DB1272" s="149"/>
    </row>
    <row r="1273" spans="2:106">
      <c r="B1273" s="149"/>
      <c r="C1273" s="149"/>
      <c r="D1273" s="149"/>
      <c r="E1273" s="149"/>
      <c r="F1273" s="149"/>
      <c r="G1273" s="149"/>
      <c r="H1273" s="149"/>
      <c r="I1273" s="149"/>
      <c r="J1273" s="149"/>
      <c r="K1273" s="149"/>
      <c r="L1273" s="149"/>
      <c r="M1273" s="149"/>
      <c r="N1273" s="149"/>
      <c r="O1273" s="149"/>
      <c r="P1273" s="149"/>
      <c r="Q1273" s="149"/>
      <c r="R1273" s="149"/>
      <c r="S1273" s="149"/>
      <c r="T1273" s="149"/>
      <c r="U1273" s="149"/>
      <c r="V1273" s="149"/>
      <c r="W1273" s="149"/>
      <c r="X1273" s="149"/>
      <c r="Y1273" s="149"/>
      <c r="Z1273" s="149"/>
      <c r="AA1273" s="149"/>
      <c r="AB1273" s="149"/>
      <c r="AC1273" s="149"/>
      <c r="AD1273" s="148"/>
      <c r="AE1273" s="148"/>
      <c r="AF1273" s="148"/>
      <c r="DB1273" s="149"/>
    </row>
    <row r="1274" spans="2:106">
      <c r="B1274" s="149"/>
      <c r="C1274" s="149"/>
      <c r="D1274" s="149"/>
      <c r="E1274" s="149"/>
      <c r="F1274" s="149"/>
      <c r="G1274" s="149"/>
      <c r="H1274" s="149"/>
      <c r="I1274" s="149"/>
      <c r="J1274" s="149"/>
      <c r="K1274" s="149"/>
      <c r="L1274" s="149"/>
      <c r="M1274" s="149"/>
      <c r="N1274" s="149"/>
      <c r="O1274" s="149"/>
      <c r="P1274" s="149"/>
      <c r="Q1274" s="149"/>
      <c r="R1274" s="149"/>
      <c r="S1274" s="149"/>
      <c r="T1274" s="149"/>
      <c r="U1274" s="149"/>
      <c r="V1274" s="149"/>
      <c r="W1274" s="149"/>
      <c r="X1274" s="149"/>
      <c r="Y1274" s="149"/>
      <c r="Z1274" s="149"/>
      <c r="AA1274" s="149"/>
      <c r="AB1274" s="149"/>
      <c r="AC1274" s="149"/>
      <c r="AD1274" s="148"/>
      <c r="AE1274" s="148"/>
      <c r="AF1274" s="148"/>
      <c r="DB1274" s="149"/>
    </row>
    <row r="1275" spans="2:106">
      <c r="B1275" s="149"/>
      <c r="C1275" s="149"/>
      <c r="D1275" s="149"/>
      <c r="E1275" s="149"/>
      <c r="F1275" s="149"/>
      <c r="G1275" s="149"/>
      <c r="H1275" s="149"/>
      <c r="I1275" s="149"/>
      <c r="J1275" s="149"/>
      <c r="K1275" s="149"/>
      <c r="L1275" s="149"/>
      <c r="M1275" s="149"/>
      <c r="N1275" s="149"/>
      <c r="O1275" s="149"/>
      <c r="P1275" s="149"/>
      <c r="Q1275" s="149"/>
      <c r="R1275" s="149"/>
      <c r="S1275" s="149"/>
      <c r="T1275" s="149"/>
      <c r="U1275" s="149"/>
      <c r="V1275" s="149"/>
      <c r="W1275" s="149"/>
      <c r="X1275" s="149"/>
      <c r="Y1275" s="149"/>
      <c r="Z1275" s="149"/>
      <c r="AA1275" s="149"/>
      <c r="AB1275" s="149"/>
      <c r="AC1275" s="149"/>
      <c r="AD1275" s="148"/>
      <c r="AE1275" s="148"/>
      <c r="AF1275" s="148"/>
      <c r="DB1275" s="149"/>
    </row>
    <row r="1276" spans="2:106">
      <c r="B1276" s="149"/>
      <c r="C1276" s="149"/>
      <c r="D1276" s="149"/>
      <c r="E1276" s="149"/>
      <c r="F1276" s="149"/>
      <c r="G1276" s="149"/>
      <c r="H1276" s="149"/>
      <c r="I1276" s="149"/>
      <c r="J1276" s="149"/>
      <c r="K1276" s="149"/>
      <c r="L1276" s="149"/>
      <c r="M1276" s="149"/>
      <c r="N1276" s="149"/>
      <c r="O1276" s="149"/>
      <c r="P1276" s="149"/>
      <c r="Q1276" s="149"/>
      <c r="R1276" s="149"/>
      <c r="S1276" s="149"/>
      <c r="T1276" s="149"/>
      <c r="U1276" s="149"/>
      <c r="V1276" s="149"/>
      <c r="W1276" s="149"/>
      <c r="X1276" s="149"/>
      <c r="Y1276" s="149"/>
      <c r="Z1276" s="149"/>
      <c r="AA1276" s="149"/>
      <c r="AB1276" s="149"/>
      <c r="AC1276" s="149"/>
      <c r="AD1276" s="148"/>
      <c r="AE1276" s="148"/>
      <c r="AF1276" s="148"/>
      <c r="DB1276" s="149"/>
    </row>
    <row r="1277" spans="2:106">
      <c r="B1277" s="149"/>
      <c r="C1277" s="149"/>
      <c r="D1277" s="149"/>
      <c r="E1277" s="149"/>
      <c r="F1277" s="149"/>
      <c r="G1277" s="149"/>
      <c r="H1277" s="149"/>
      <c r="I1277" s="149"/>
      <c r="J1277" s="149"/>
      <c r="K1277" s="149"/>
      <c r="L1277" s="149"/>
      <c r="M1277" s="149"/>
      <c r="N1277" s="149"/>
      <c r="O1277" s="149"/>
      <c r="P1277" s="149"/>
      <c r="Q1277" s="149"/>
      <c r="R1277" s="149"/>
      <c r="S1277" s="149"/>
      <c r="T1277" s="149"/>
      <c r="U1277" s="149"/>
      <c r="V1277" s="149"/>
      <c r="W1277" s="149"/>
      <c r="X1277" s="149"/>
      <c r="Y1277" s="149"/>
      <c r="Z1277" s="149"/>
      <c r="AA1277" s="149"/>
      <c r="AB1277" s="149"/>
      <c r="AC1277" s="149"/>
      <c r="AD1277" s="148"/>
      <c r="AE1277" s="148"/>
      <c r="AF1277" s="148"/>
      <c r="DB1277" s="149"/>
    </row>
    <row r="1278" spans="2:106">
      <c r="B1278" s="149"/>
      <c r="C1278" s="149"/>
      <c r="D1278" s="149"/>
      <c r="E1278" s="149"/>
      <c r="F1278" s="149"/>
      <c r="G1278" s="149"/>
      <c r="H1278" s="149"/>
      <c r="I1278" s="149"/>
      <c r="J1278" s="149"/>
      <c r="K1278" s="149"/>
      <c r="L1278" s="149"/>
      <c r="M1278" s="149"/>
      <c r="N1278" s="149"/>
      <c r="O1278" s="149"/>
      <c r="P1278" s="149"/>
      <c r="Q1278" s="149"/>
      <c r="R1278" s="149"/>
      <c r="S1278" s="149"/>
      <c r="T1278" s="149"/>
      <c r="U1278" s="149"/>
      <c r="V1278" s="149"/>
      <c r="W1278" s="149"/>
      <c r="X1278" s="149"/>
      <c r="Y1278" s="149"/>
      <c r="Z1278" s="149"/>
      <c r="AA1278" s="149"/>
      <c r="AB1278" s="149"/>
      <c r="AC1278" s="149"/>
      <c r="AD1278" s="148"/>
      <c r="AE1278" s="148"/>
      <c r="AF1278" s="148"/>
      <c r="DB1278" s="149"/>
    </row>
    <row r="1279" spans="2:106">
      <c r="B1279" s="149"/>
      <c r="C1279" s="149"/>
      <c r="D1279" s="149"/>
      <c r="E1279" s="149"/>
      <c r="F1279" s="149"/>
      <c r="G1279" s="149"/>
      <c r="H1279" s="149"/>
      <c r="I1279" s="149"/>
      <c r="J1279" s="149"/>
      <c r="K1279" s="149"/>
      <c r="L1279" s="149"/>
      <c r="M1279" s="149"/>
      <c r="N1279" s="149"/>
      <c r="O1279" s="149"/>
      <c r="P1279" s="149"/>
      <c r="Q1279" s="149"/>
      <c r="R1279" s="149"/>
      <c r="S1279" s="149"/>
      <c r="T1279" s="149"/>
      <c r="U1279" s="149"/>
      <c r="V1279" s="149"/>
      <c r="W1279" s="149"/>
      <c r="X1279" s="149"/>
      <c r="Y1279" s="149"/>
      <c r="Z1279" s="149"/>
      <c r="AA1279" s="149"/>
      <c r="AB1279" s="149"/>
      <c r="AC1279" s="149"/>
      <c r="AD1279" s="148"/>
      <c r="AE1279" s="148"/>
      <c r="AF1279" s="148"/>
      <c r="DB1279" s="149"/>
    </row>
    <row r="1280" spans="2:106">
      <c r="B1280" s="149"/>
      <c r="C1280" s="149"/>
      <c r="D1280" s="149"/>
      <c r="E1280" s="149"/>
      <c r="F1280" s="149"/>
      <c r="G1280" s="149"/>
      <c r="H1280" s="149"/>
      <c r="I1280" s="149"/>
      <c r="J1280" s="149"/>
      <c r="K1280" s="149"/>
      <c r="L1280" s="149"/>
      <c r="M1280" s="149"/>
      <c r="N1280" s="149"/>
      <c r="O1280" s="149"/>
      <c r="P1280" s="149"/>
      <c r="Q1280" s="149"/>
      <c r="R1280" s="149"/>
      <c r="S1280" s="149"/>
      <c r="T1280" s="149"/>
      <c r="U1280" s="149"/>
      <c r="V1280" s="149"/>
      <c r="W1280" s="149"/>
      <c r="X1280" s="149"/>
      <c r="Y1280" s="149"/>
      <c r="Z1280" s="149"/>
      <c r="AA1280" s="149"/>
      <c r="AB1280" s="149"/>
      <c r="AC1280" s="149"/>
      <c r="AD1280" s="148"/>
      <c r="AE1280" s="148"/>
      <c r="AF1280" s="148"/>
      <c r="DB1280" s="149"/>
    </row>
    <row r="1281" spans="2:106">
      <c r="B1281" s="149"/>
      <c r="C1281" s="149"/>
      <c r="D1281" s="149"/>
      <c r="E1281" s="149"/>
      <c r="F1281" s="149"/>
      <c r="G1281" s="149"/>
      <c r="H1281" s="149"/>
      <c r="I1281" s="149"/>
      <c r="J1281" s="149"/>
      <c r="K1281" s="149"/>
      <c r="L1281" s="149"/>
      <c r="M1281" s="149"/>
      <c r="N1281" s="149"/>
      <c r="O1281" s="149"/>
      <c r="P1281" s="149"/>
      <c r="Q1281" s="149"/>
      <c r="R1281" s="149"/>
      <c r="S1281" s="149"/>
      <c r="T1281" s="149"/>
      <c r="U1281" s="149"/>
      <c r="V1281" s="149"/>
      <c r="W1281" s="149"/>
      <c r="X1281" s="149"/>
      <c r="Y1281" s="149"/>
      <c r="Z1281" s="149"/>
      <c r="AA1281" s="149"/>
      <c r="AB1281" s="149"/>
      <c r="AC1281" s="149"/>
      <c r="AD1281" s="148"/>
      <c r="AE1281" s="148"/>
      <c r="AF1281" s="148"/>
      <c r="DB1281" s="149"/>
    </row>
    <row r="1282" spans="2:106">
      <c r="B1282" s="149"/>
      <c r="C1282" s="149"/>
      <c r="D1282" s="149"/>
      <c r="E1282" s="149"/>
      <c r="F1282" s="149"/>
      <c r="G1282" s="149"/>
      <c r="H1282" s="149"/>
      <c r="I1282" s="149"/>
      <c r="J1282" s="149"/>
      <c r="K1282" s="149"/>
      <c r="L1282" s="149"/>
      <c r="M1282" s="149"/>
      <c r="N1282" s="149"/>
      <c r="O1282" s="149"/>
      <c r="P1282" s="149"/>
      <c r="Q1282" s="149"/>
      <c r="R1282" s="149"/>
      <c r="S1282" s="149"/>
      <c r="T1282" s="149"/>
      <c r="U1282" s="149"/>
      <c r="V1282" s="149"/>
      <c r="W1282" s="149"/>
      <c r="X1282" s="149"/>
      <c r="Y1282" s="149"/>
      <c r="Z1282" s="149"/>
      <c r="AA1282" s="149"/>
      <c r="AB1282" s="149"/>
      <c r="AC1282" s="149"/>
      <c r="AD1282" s="148"/>
      <c r="AE1282" s="148"/>
      <c r="AF1282" s="148"/>
      <c r="DB1282" s="149"/>
    </row>
    <row r="1283" spans="2:106">
      <c r="B1283" s="149"/>
      <c r="C1283" s="149"/>
      <c r="D1283" s="149"/>
      <c r="E1283" s="149"/>
      <c r="F1283" s="149"/>
      <c r="G1283" s="149"/>
      <c r="H1283" s="149"/>
      <c r="I1283" s="149"/>
      <c r="J1283" s="149"/>
      <c r="K1283" s="149"/>
      <c r="L1283" s="149"/>
      <c r="M1283" s="149"/>
      <c r="N1283" s="149"/>
      <c r="O1283" s="149"/>
      <c r="P1283" s="149"/>
      <c r="Q1283" s="149"/>
      <c r="R1283" s="149"/>
      <c r="S1283" s="149"/>
      <c r="T1283" s="149"/>
      <c r="U1283" s="149"/>
      <c r="V1283" s="149"/>
      <c r="W1283" s="149"/>
      <c r="X1283" s="149"/>
      <c r="Y1283" s="149"/>
      <c r="Z1283" s="149"/>
      <c r="AA1283" s="149"/>
      <c r="AB1283" s="149"/>
      <c r="AC1283" s="149"/>
      <c r="AD1283" s="148"/>
      <c r="AE1283" s="148"/>
      <c r="AF1283" s="148"/>
      <c r="DB1283" s="149"/>
    </row>
    <row r="1284" spans="2:106">
      <c r="B1284" s="149"/>
      <c r="C1284" s="149"/>
      <c r="D1284" s="149"/>
      <c r="E1284" s="149"/>
      <c r="F1284" s="149"/>
      <c r="G1284" s="149"/>
      <c r="H1284" s="149"/>
      <c r="I1284" s="149"/>
      <c r="J1284" s="149"/>
      <c r="K1284" s="149"/>
      <c r="L1284" s="149"/>
      <c r="M1284" s="149"/>
      <c r="N1284" s="149"/>
      <c r="O1284" s="149"/>
      <c r="P1284" s="149"/>
      <c r="Q1284" s="149"/>
      <c r="R1284" s="149"/>
      <c r="S1284" s="149"/>
      <c r="T1284" s="149"/>
      <c r="U1284" s="149"/>
      <c r="V1284" s="149"/>
      <c r="W1284" s="149"/>
      <c r="X1284" s="149"/>
      <c r="Y1284" s="149"/>
      <c r="Z1284" s="149"/>
      <c r="AA1284" s="149"/>
      <c r="AB1284" s="149"/>
      <c r="AC1284" s="149"/>
      <c r="AD1284" s="148"/>
      <c r="AE1284" s="148"/>
      <c r="AF1284" s="148"/>
      <c r="DB1284" s="149"/>
    </row>
    <row r="1285" spans="2:106">
      <c r="B1285" s="149"/>
      <c r="C1285" s="149"/>
      <c r="D1285" s="149"/>
      <c r="E1285" s="149"/>
      <c r="F1285" s="149"/>
      <c r="G1285" s="149"/>
      <c r="H1285" s="149"/>
      <c r="I1285" s="149"/>
      <c r="J1285" s="149"/>
      <c r="K1285" s="149"/>
      <c r="L1285" s="149"/>
      <c r="M1285" s="149"/>
      <c r="N1285" s="149"/>
      <c r="O1285" s="149"/>
      <c r="P1285" s="149"/>
      <c r="Q1285" s="149"/>
      <c r="R1285" s="149"/>
      <c r="S1285" s="149"/>
      <c r="T1285" s="149"/>
      <c r="U1285" s="149"/>
      <c r="V1285" s="149"/>
      <c r="W1285" s="149"/>
      <c r="X1285" s="149"/>
      <c r="Y1285" s="149"/>
      <c r="Z1285" s="149"/>
      <c r="AA1285" s="149"/>
      <c r="AB1285" s="149"/>
      <c r="AC1285" s="149"/>
      <c r="AD1285" s="148"/>
      <c r="AE1285" s="148"/>
      <c r="AF1285" s="148"/>
      <c r="DB1285" s="149"/>
    </row>
    <row r="1286" spans="2:106">
      <c r="B1286" s="149"/>
      <c r="C1286" s="149"/>
      <c r="D1286" s="149"/>
      <c r="E1286" s="149"/>
      <c r="F1286" s="149"/>
      <c r="G1286" s="149"/>
      <c r="H1286" s="149"/>
      <c r="I1286" s="149"/>
      <c r="J1286" s="149"/>
      <c r="K1286" s="149"/>
      <c r="L1286" s="149"/>
      <c r="M1286" s="149"/>
      <c r="N1286" s="149"/>
      <c r="O1286" s="149"/>
      <c r="P1286" s="149"/>
      <c r="Q1286" s="149"/>
      <c r="R1286" s="149"/>
      <c r="S1286" s="149"/>
      <c r="T1286" s="149"/>
      <c r="U1286" s="149"/>
      <c r="V1286" s="149"/>
      <c r="W1286" s="149"/>
      <c r="X1286" s="149"/>
      <c r="Y1286" s="149"/>
      <c r="Z1286" s="149"/>
      <c r="AA1286" s="149"/>
      <c r="AB1286" s="149"/>
      <c r="AC1286" s="149"/>
      <c r="AD1286" s="148"/>
      <c r="AE1286" s="148"/>
      <c r="AF1286" s="148"/>
      <c r="DB1286" s="149"/>
    </row>
    <row r="1287" spans="2:106">
      <c r="B1287" s="149"/>
      <c r="C1287" s="149"/>
      <c r="D1287" s="149"/>
      <c r="E1287" s="149"/>
      <c r="F1287" s="149"/>
      <c r="G1287" s="149"/>
      <c r="H1287" s="149"/>
      <c r="I1287" s="149"/>
      <c r="J1287" s="149"/>
      <c r="K1287" s="149"/>
      <c r="L1287" s="149"/>
      <c r="M1287" s="149"/>
      <c r="N1287" s="149"/>
      <c r="O1287" s="149"/>
      <c r="P1287" s="149"/>
      <c r="Q1287" s="149"/>
      <c r="R1287" s="149"/>
      <c r="S1287" s="149"/>
      <c r="T1287" s="149"/>
      <c r="U1287" s="149"/>
      <c r="V1287" s="149"/>
      <c r="W1287" s="149"/>
      <c r="X1287" s="149"/>
      <c r="Y1287" s="149"/>
      <c r="Z1287" s="149"/>
      <c r="AA1287" s="149"/>
      <c r="AB1287" s="149"/>
      <c r="AC1287" s="149"/>
      <c r="AD1287" s="148"/>
      <c r="AE1287" s="148"/>
      <c r="AF1287" s="148"/>
      <c r="DB1287" s="149"/>
    </row>
    <row r="1288" spans="2:106">
      <c r="B1288" s="149"/>
      <c r="C1288" s="149"/>
      <c r="D1288" s="149"/>
      <c r="E1288" s="149"/>
      <c r="F1288" s="149"/>
      <c r="G1288" s="149"/>
      <c r="H1288" s="149"/>
      <c r="I1288" s="149"/>
      <c r="J1288" s="149"/>
      <c r="K1288" s="149"/>
      <c r="L1288" s="149"/>
      <c r="M1288" s="149"/>
      <c r="N1288" s="149"/>
      <c r="O1288" s="149"/>
      <c r="P1288" s="149"/>
      <c r="Q1288" s="149"/>
      <c r="R1288" s="149"/>
      <c r="S1288" s="149"/>
      <c r="T1288" s="149"/>
      <c r="U1288" s="149"/>
      <c r="V1288" s="149"/>
      <c r="W1288" s="149"/>
      <c r="X1288" s="149"/>
      <c r="Y1288" s="149"/>
      <c r="Z1288" s="149"/>
      <c r="AA1288" s="149"/>
      <c r="AB1288" s="149"/>
      <c r="AC1288" s="149"/>
      <c r="AD1288" s="148"/>
      <c r="AE1288" s="148"/>
      <c r="AF1288" s="148"/>
      <c r="DB1288" s="149"/>
    </row>
    <row r="1289" spans="2:106">
      <c r="B1289" s="149"/>
      <c r="C1289" s="149"/>
      <c r="D1289" s="149"/>
      <c r="E1289" s="149"/>
      <c r="F1289" s="149"/>
      <c r="G1289" s="149"/>
      <c r="H1289" s="149"/>
      <c r="I1289" s="149"/>
      <c r="J1289" s="149"/>
      <c r="K1289" s="149"/>
      <c r="L1289" s="149"/>
      <c r="M1289" s="149"/>
      <c r="N1289" s="149"/>
      <c r="O1289" s="149"/>
      <c r="P1289" s="149"/>
      <c r="Q1289" s="149"/>
      <c r="R1289" s="149"/>
      <c r="S1289" s="149"/>
      <c r="T1289" s="149"/>
      <c r="U1289" s="149"/>
      <c r="V1289" s="149"/>
      <c r="W1289" s="149"/>
      <c r="X1289" s="149"/>
      <c r="Y1289" s="149"/>
      <c r="Z1289" s="149"/>
      <c r="AA1289" s="149"/>
      <c r="AB1289" s="149"/>
      <c r="AC1289" s="149"/>
      <c r="AD1289" s="148"/>
      <c r="AE1289" s="148"/>
      <c r="AF1289" s="148"/>
      <c r="DB1289" s="149"/>
    </row>
    <row r="1290" spans="2:106">
      <c r="B1290" s="149"/>
      <c r="C1290" s="149"/>
      <c r="D1290" s="149"/>
      <c r="E1290" s="149"/>
      <c r="F1290" s="149"/>
      <c r="G1290" s="149"/>
      <c r="H1290" s="149"/>
      <c r="I1290" s="149"/>
      <c r="J1290" s="149"/>
      <c r="K1290" s="149"/>
      <c r="L1290" s="149"/>
      <c r="M1290" s="149"/>
      <c r="N1290" s="149"/>
      <c r="O1290" s="149"/>
      <c r="P1290" s="149"/>
      <c r="Q1290" s="149"/>
      <c r="R1290" s="149"/>
      <c r="S1290" s="149"/>
      <c r="T1290" s="149"/>
      <c r="U1290" s="149"/>
      <c r="V1290" s="149"/>
      <c r="W1290" s="149"/>
      <c r="X1290" s="149"/>
      <c r="Y1290" s="149"/>
      <c r="Z1290" s="149"/>
      <c r="AA1290" s="149"/>
      <c r="AB1290" s="149"/>
      <c r="AC1290" s="149"/>
      <c r="AD1290" s="148"/>
      <c r="AE1290" s="148"/>
      <c r="AF1290" s="148"/>
      <c r="DB1290" s="149"/>
    </row>
    <row r="1291" spans="2:106">
      <c r="B1291" s="149"/>
      <c r="C1291" s="149"/>
      <c r="D1291" s="149"/>
      <c r="E1291" s="149"/>
      <c r="F1291" s="149"/>
      <c r="G1291" s="149"/>
      <c r="H1291" s="149"/>
      <c r="I1291" s="149"/>
      <c r="J1291" s="149"/>
      <c r="K1291" s="149"/>
      <c r="L1291" s="149"/>
      <c r="M1291" s="149"/>
      <c r="N1291" s="149"/>
      <c r="O1291" s="149"/>
      <c r="P1291" s="149"/>
      <c r="Q1291" s="149"/>
      <c r="R1291" s="149"/>
      <c r="S1291" s="149"/>
      <c r="T1291" s="149"/>
      <c r="U1291" s="149"/>
      <c r="V1291" s="149"/>
      <c r="W1291" s="149"/>
      <c r="X1291" s="149"/>
      <c r="Y1291" s="149"/>
      <c r="Z1291" s="149"/>
      <c r="AA1291" s="149"/>
      <c r="AB1291" s="149"/>
      <c r="AC1291" s="149"/>
      <c r="AD1291" s="148"/>
      <c r="AE1291" s="148"/>
      <c r="AF1291" s="148"/>
      <c r="DB1291" s="149"/>
    </row>
    <row r="1292" spans="2:106">
      <c r="B1292" s="149"/>
      <c r="C1292" s="149"/>
      <c r="D1292" s="149"/>
      <c r="E1292" s="149"/>
      <c r="F1292" s="149"/>
      <c r="G1292" s="149"/>
      <c r="H1292" s="149"/>
      <c r="I1292" s="149"/>
      <c r="J1292" s="149"/>
      <c r="K1292" s="149"/>
      <c r="L1292" s="149"/>
      <c r="M1292" s="149"/>
      <c r="N1292" s="149"/>
      <c r="O1292" s="149"/>
      <c r="P1292" s="149"/>
      <c r="Q1292" s="149"/>
      <c r="R1292" s="149"/>
      <c r="S1292" s="149"/>
      <c r="T1292" s="149"/>
      <c r="U1292" s="149"/>
      <c r="V1292" s="149"/>
      <c r="W1292" s="149"/>
      <c r="X1292" s="149"/>
      <c r="Y1292" s="149"/>
      <c r="Z1292" s="149"/>
      <c r="AA1292" s="149"/>
      <c r="AB1292" s="149"/>
      <c r="AC1292" s="149"/>
      <c r="AD1292" s="148"/>
      <c r="AE1292" s="148"/>
      <c r="AF1292" s="148"/>
      <c r="DB1292" s="149"/>
    </row>
    <row r="1293" spans="2:106">
      <c r="B1293" s="149"/>
      <c r="C1293" s="149"/>
      <c r="D1293" s="149"/>
      <c r="E1293" s="149"/>
      <c r="F1293" s="149"/>
      <c r="G1293" s="149"/>
      <c r="H1293" s="149"/>
      <c r="I1293" s="149"/>
      <c r="J1293" s="149"/>
      <c r="K1293" s="149"/>
      <c r="L1293" s="149"/>
      <c r="M1293" s="149"/>
      <c r="N1293" s="149"/>
      <c r="O1293" s="149"/>
      <c r="P1293" s="149"/>
      <c r="Q1293" s="149"/>
      <c r="R1293" s="149"/>
      <c r="S1293" s="149"/>
      <c r="T1293" s="149"/>
      <c r="U1293" s="149"/>
      <c r="V1293" s="149"/>
      <c r="W1293" s="149"/>
      <c r="X1293" s="149"/>
      <c r="Y1293" s="149"/>
      <c r="Z1293" s="149"/>
      <c r="AA1293" s="149"/>
      <c r="AB1293" s="149"/>
      <c r="AC1293" s="149"/>
      <c r="AD1293" s="148"/>
      <c r="AE1293" s="148"/>
      <c r="AF1293" s="148"/>
      <c r="DB1293" s="149"/>
    </row>
    <row r="1294" spans="2:106">
      <c r="B1294" s="149"/>
      <c r="C1294" s="149"/>
      <c r="D1294" s="149"/>
      <c r="E1294" s="149"/>
      <c r="F1294" s="149"/>
      <c r="G1294" s="149"/>
      <c r="H1294" s="149"/>
      <c r="I1294" s="149"/>
      <c r="J1294" s="149"/>
      <c r="K1294" s="149"/>
      <c r="L1294" s="149"/>
      <c r="M1294" s="149"/>
      <c r="N1294" s="149"/>
      <c r="O1294" s="149"/>
      <c r="P1294" s="149"/>
      <c r="Q1294" s="149"/>
      <c r="R1294" s="149"/>
      <c r="S1294" s="149"/>
      <c r="T1294" s="149"/>
      <c r="U1294" s="149"/>
      <c r="V1294" s="149"/>
      <c r="W1294" s="149"/>
      <c r="X1294" s="149"/>
      <c r="Y1294" s="149"/>
      <c r="Z1294" s="149"/>
      <c r="AA1294" s="149"/>
      <c r="AB1294" s="149"/>
      <c r="AC1294" s="149"/>
      <c r="AD1294" s="148"/>
      <c r="AE1294" s="148"/>
      <c r="AF1294" s="148"/>
      <c r="DB1294" s="149"/>
    </row>
    <row r="1295" spans="2:106">
      <c r="B1295" s="149"/>
      <c r="C1295" s="149"/>
      <c r="D1295" s="149"/>
      <c r="E1295" s="149"/>
      <c r="F1295" s="149"/>
      <c r="G1295" s="149"/>
      <c r="H1295" s="149"/>
      <c r="I1295" s="149"/>
      <c r="J1295" s="149"/>
      <c r="K1295" s="149"/>
      <c r="L1295" s="149"/>
      <c r="M1295" s="149"/>
      <c r="N1295" s="149"/>
      <c r="O1295" s="149"/>
      <c r="P1295" s="149"/>
      <c r="Q1295" s="149"/>
      <c r="R1295" s="149"/>
      <c r="S1295" s="149"/>
      <c r="T1295" s="149"/>
      <c r="U1295" s="149"/>
      <c r="V1295" s="149"/>
      <c r="W1295" s="149"/>
      <c r="X1295" s="149"/>
      <c r="Y1295" s="149"/>
      <c r="Z1295" s="149"/>
      <c r="AA1295" s="149"/>
      <c r="AB1295" s="149"/>
      <c r="AC1295" s="149"/>
      <c r="AD1295" s="148"/>
      <c r="AE1295" s="148"/>
      <c r="AF1295" s="148"/>
      <c r="DB1295" s="149"/>
    </row>
    <row r="1296" spans="2:106">
      <c r="B1296" s="149"/>
      <c r="C1296" s="149"/>
      <c r="D1296" s="149"/>
      <c r="E1296" s="149"/>
      <c r="F1296" s="149"/>
      <c r="G1296" s="149"/>
      <c r="H1296" s="149"/>
      <c r="I1296" s="149"/>
      <c r="J1296" s="149"/>
      <c r="K1296" s="149"/>
      <c r="L1296" s="149"/>
      <c r="M1296" s="149"/>
      <c r="N1296" s="149"/>
      <c r="O1296" s="149"/>
      <c r="P1296" s="149"/>
      <c r="Q1296" s="149"/>
      <c r="R1296" s="149"/>
      <c r="S1296" s="149"/>
      <c r="T1296" s="149"/>
      <c r="U1296" s="149"/>
      <c r="V1296" s="149"/>
      <c r="W1296" s="149"/>
      <c r="X1296" s="149"/>
      <c r="Y1296" s="149"/>
      <c r="Z1296" s="149"/>
      <c r="AA1296" s="149"/>
      <c r="AB1296" s="149"/>
      <c r="AC1296" s="149"/>
      <c r="AD1296" s="148"/>
      <c r="AE1296" s="148"/>
      <c r="AF1296" s="148"/>
      <c r="DB1296" s="149"/>
    </row>
    <row r="1297" spans="2:106">
      <c r="B1297" s="149"/>
      <c r="C1297" s="149"/>
      <c r="D1297" s="149"/>
      <c r="E1297" s="149"/>
      <c r="F1297" s="149"/>
      <c r="G1297" s="149"/>
      <c r="H1297" s="149"/>
      <c r="I1297" s="149"/>
      <c r="J1297" s="149"/>
      <c r="K1297" s="149"/>
      <c r="L1297" s="149"/>
      <c r="M1297" s="149"/>
      <c r="N1297" s="149"/>
      <c r="O1297" s="149"/>
      <c r="P1297" s="149"/>
      <c r="Q1297" s="149"/>
      <c r="R1297" s="149"/>
      <c r="S1297" s="149"/>
      <c r="T1297" s="149"/>
      <c r="U1297" s="149"/>
      <c r="V1297" s="149"/>
      <c r="W1297" s="149"/>
      <c r="X1297" s="149"/>
      <c r="Y1297" s="149"/>
      <c r="Z1297" s="149"/>
      <c r="AA1297" s="149"/>
      <c r="AB1297" s="149"/>
      <c r="AC1297" s="149"/>
      <c r="AD1297" s="148"/>
      <c r="AE1297" s="148"/>
      <c r="AF1297" s="148"/>
      <c r="DB1297" s="149"/>
    </row>
    <row r="1298" spans="2:106">
      <c r="B1298" s="149"/>
      <c r="C1298" s="149"/>
      <c r="D1298" s="149"/>
      <c r="E1298" s="149"/>
      <c r="F1298" s="149"/>
      <c r="G1298" s="149"/>
      <c r="H1298" s="149"/>
      <c r="I1298" s="149"/>
      <c r="J1298" s="149"/>
      <c r="K1298" s="149"/>
      <c r="L1298" s="149"/>
      <c r="M1298" s="149"/>
      <c r="N1298" s="149"/>
      <c r="O1298" s="149"/>
      <c r="P1298" s="149"/>
      <c r="Q1298" s="149"/>
      <c r="R1298" s="149"/>
      <c r="S1298" s="149"/>
      <c r="T1298" s="149"/>
      <c r="U1298" s="149"/>
      <c r="V1298" s="149"/>
      <c r="W1298" s="149"/>
      <c r="X1298" s="149"/>
      <c r="Y1298" s="149"/>
      <c r="Z1298" s="149"/>
      <c r="AA1298" s="149"/>
      <c r="AB1298" s="149"/>
      <c r="AC1298" s="149"/>
      <c r="AD1298" s="148"/>
      <c r="AE1298" s="148"/>
      <c r="AF1298" s="148"/>
      <c r="DB1298" s="149"/>
    </row>
    <row r="1299" spans="2:106">
      <c r="B1299" s="149"/>
      <c r="C1299" s="149"/>
      <c r="D1299" s="149"/>
      <c r="E1299" s="149"/>
      <c r="F1299" s="149"/>
      <c r="G1299" s="149"/>
      <c r="H1299" s="149"/>
      <c r="I1299" s="149"/>
      <c r="J1299" s="149"/>
      <c r="K1299" s="149"/>
      <c r="L1299" s="149"/>
      <c r="M1299" s="149"/>
      <c r="N1299" s="149"/>
      <c r="O1299" s="149"/>
      <c r="P1299" s="149"/>
      <c r="Q1299" s="149"/>
      <c r="R1299" s="149"/>
      <c r="S1299" s="149"/>
      <c r="T1299" s="149"/>
      <c r="U1299" s="149"/>
      <c r="V1299" s="149"/>
      <c r="W1299" s="149"/>
      <c r="X1299" s="149"/>
      <c r="Y1299" s="149"/>
      <c r="Z1299" s="149"/>
      <c r="AA1299" s="149"/>
      <c r="AB1299" s="149"/>
      <c r="AC1299" s="149"/>
      <c r="AD1299" s="148"/>
      <c r="AE1299" s="148"/>
      <c r="AF1299" s="148"/>
      <c r="DB1299" s="149"/>
    </row>
    <row r="1300" spans="2:106">
      <c r="B1300" s="149"/>
      <c r="C1300" s="149"/>
      <c r="D1300" s="149"/>
      <c r="E1300" s="149"/>
      <c r="F1300" s="149"/>
      <c r="G1300" s="149"/>
      <c r="H1300" s="149"/>
      <c r="I1300" s="149"/>
      <c r="J1300" s="149"/>
      <c r="K1300" s="149"/>
      <c r="L1300" s="149"/>
      <c r="M1300" s="149"/>
      <c r="N1300" s="149"/>
      <c r="O1300" s="149"/>
      <c r="P1300" s="149"/>
      <c r="Q1300" s="149"/>
      <c r="R1300" s="149"/>
      <c r="S1300" s="149"/>
      <c r="T1300" s="149"/>
      <c r="U1300" s="149"/>
      <c r="V1300" s="149"/>
      <c r="W1300" s="149"/>
      <c r="X1300" s="149"/>
      <c r="Y1300" s="149"/>
      <c r="Z1300" s="149"/>
      <c r="AA1300" s="149"/>
      <c r="AB1300" s="149"/>
      <c r="AC1300" s="149"/>
      <c r="AD1300" s="148"/>
      <c r="AE1300" s="148"/>
      <c r="AF1300" s="148"/>
      <c r="DB1300" s="149"/>
    </row>
    <row r="1301" spans="2:106">
      <c r="B1301" s="149"/>
      <c r="C1301" s="149"/>
      <c r="D1301" s="149"/>
      <c r="E1301" s="149"/>
      <c r="F1301" s="149"/>
      <c r="G1301" s="149"/>
      <c r="H1301" s="149"/>
      <c r="I1301" s="149"/>
      <c r="J1301" s="149"/>
      <c r="K1301" s="149"/>
      <c r="L1301" s="149"/>
      <c r="M1301" s="149"/>
      <c r="N1301" s="149"/>
      <c r="O1301" s="149"/>
      <c r="P1301" s="149"/>
      <c r="Q1301" s="149"/>
      <c r="R1301" s="149"/>
      <c r="S1301" s="149"/>
      <c r="T1301" s="149"/>
      <c r="U1301" s="149"/>
      <c r="V1301" s="149"/>
      <c r="W1301" s="149"/>
      <c r="X1301" s="149"/>
      <c r="Y1301" s="149"/>
      <c r="Z1301" s="149"/>
      <c r="AA1301" s="149"/>
      <c r="AB1301" s="149"/>
      <c r="AC1301" s="149"/>
      <c r="AD1301" s="148"/>
      <c r="AE1301" s="148"/>
      <c r="AF1301" s="148"/>
      <c r="DB1301" s="149"/>
    </row>
    <row r="1302" spans="2:106">
      <c r="B1302" s="149"/>
      <c r="C1302" s="149"/>
      <c r="D1302" s="149"/>
      <c r="E1302" s="149"/>
      <c r="F1302" s="149"/>
      <c r="G1302" s="149"/>
      <c r="H1302" s="149"/>
      <c r="I1302" s="149"/>
      <c r="J1302" s="149"/>
      <c r="K1302" s="149"/>
      <c r="L1302" s="149"/>
      <c r="M1302" s="149"/>
      <c r="N1302" s="149"/>
      <c r="O1302" s="149"/>
      <c r="P1302" s="149"/>
      <c r="Q1302" s="149"/>
      <c r="R1302" s="149"/>
      <c r="S1302" s="149"/>
      <c r="T1302" s="149"/>
      <c r="U1302" s="149"/>
      <c r="V1302" s="149"/>
      <c r="W1302" s="149"/>
      <c r="X1302" s="149"/>
      <c r="Y1302" s="149"/>
      <c r="Z1302" s="149"/>
      <c r="AA1302" s="149"/>
      <c r="AB1302" s="149"/>
      <c r="AC1302" s="149"/>
      <c r="AD1302" s="148"/>
      <c r="AE1302" s="148"/>
      <c r="AF1302" s="148"/>
      <c r="DB1302" s="149"/>
    </row>
    <row r="1303" spans="2:106">
      <c r="B1303" s="149"/>
      <c r="C1303" s="149"/>
      <c r="D1303" s="149"/>
      <c r="E1303" s="149"/>
      <c r="F1303" s="149"/>
      <c r="G1303" s="149"/>
      <c r="H1303" s="149"/>
      <c r="I1303" s="149"/>
      <c r="J1303" s="149"/>
      <c r="K1303" s="149"/>
      <c r="L1303" s="149"/>
      <c r="M1303" s="149"/>
      <c r="N1303" s="149"/>
      <c r="O1303" s="149"/>
      <c r="P1303" s="149"/>
      <c r="Q1303" s="149"/>
      <c r="R1303" s="149"/>
      <c r="S1303" s="149"/>
      <c r="T1303" s="149"/>
      <c r="U1303" s="149"/>
      <c r="V1303" s="149"/>
      <c r="W1303" s="149"/>
      <c r="X1303" s="149"/>
      <c r="Y1303" s="149"/>
      <c r="Z1303" s="149"/>
      <c r="AA1303" s="149"/>
      <c r="AB1303" s="149"/>
      <c r="AC1303" s="149"/>
      <c r="AD1303" s="148"/>
      <c r="AE1303" s="148"/>
      <c r="AF1303" s="148"/>
      <c r="DB1303" s="149"/>
    </row>
    <row r="1304" spans="2:106">
      <c r="B1304" s="149"/>
      <c r="C1304" s="149"/>
      <c r="D1304" s="149"/>
      <c r="E1304" s="149"/>
      <c r="F1304" s="149"/>
      <c r="G1304" s="149"/>
      <c r="H1304" s="149"/>
      <c r="I1304" s="149"/>
      <c r="J1304" s="149"/>
      <c r="K1304" s="149"/>
      <c r="L1304" s="149"/>
      <c r="M1304" s="149"/>
      <c r="N1304" s="149"/>
      <c r="O1304" s="149"/>
      <c r="P1304" s="149"/>
      <c r="Q1304" s="149"/>
      <c r="R1304" s="149"/>
      <c r="S1304" s="149"/>
      <c r="T1304" s="149"/>
      <c r="U1304" s="149"/>
      <c r="V1304" s="149"/>
      <c r="W1304" s="149"/>
      <c r="X1304" s="149"/>
      <c r="Y1304" s="149"/>
      <c r="Z1304" s="149"/>
      <c r="AA1304" s="149"/>
      <c r="AB1304" s="149"/>
      <c r="AC1304" s="149"/>
      <c r="AD1304" s="148"/>
      <c r="AE1304" s="148"/>
      <c r="AF1304" s="148"/>
      <c r="DB1304" s="149"/>
    </row>
    <row r="1305" spans="2:106">
      <c r="B1305" s="149"/>
      <c r="C1305" s="149"/>
      <c r="D1305" s="149"/>
      <c r="E1305" s="149"/>
      <c r="F1305" s="149"/>
      <c r="G1305" s="149"/>
      <c r="H1305" s="149"/>
      <c r="I1305" s="149"/>
      <c r="J1305" s="149"/>
      <c r="K1305" s="149"/>
      <c r="L1305" s="149"/>
      <c r="M1305" s="149"/>
      <c r="N1305" s="149"/>
      <c r="O1305" s="149"/>
      <c r="P1305" s="149"/>
      <c r="Q1305" s="149"/>
      <c r="R1305" s="149"/>
      <c r="S1305" s="149"/>
      <c r="T1305" s="149"/>
      <c r="U1305" s="149"/>
      <c r="V1305" s="149"/>
      <c r="W1305" s="149"/>
      <c r="X1305" s="149"/>
      <c r="Y1305" s="149"/>
      <c r="Z1305" s="149"/>
      <c r="AA1305" s="149"/>
      <c r="AB1305" s="149"/>
      <c r="AC1305" s="149"/>
      <c r="AD1305" s="148"/>
      <c r="AE1305" s="148"/>
      <c r="AF1305" s="148"/>
      <c r="DB1305" s="149"/>
    </row>
    <row r="1306" spans="2:106">
      <c r="B1306" s="149"/>
      <c r="C1306" s="149"/>
      <c r="D1306" s="149"/>
      <c r="E1306" s="149"/>
      <c r="F1306" s="149"/>
      <c r="G1306" s="149"/>
      <c r="H1306" s="149"/>
      <c r="I1306" s="149"/>
      <c r="J1306" s="149"/>
      <c r="K1306" s="149"/>
      <c r="L1306" s="149"/>
      <c r="M1306" s="149"/>
      <c r="N1306" s="149"/>
      <c r="O1306" s="149"/>
      <c r="P1306" s="149"/>
      <c r="Q1306" s="149"/>
      <c r="R1306" s="149"/>
      <c r="S1306" s="149"/>
      <c r="T1306" s="149"/>
      <c r="U1306" s="149"/>
      <c r="V1306" s="149"/>
      <c r="W1306" s="149"/>
      <c r="X1306" s="149"/>
      <c r="Y1306" s="149"/>
      <c r="Z1306" s="149"/>
      <c r="AA1306" s="149"/>
      <c r="AB1306" s="149"/>
      <c r="AC1306" s="149"/>
      <c r="AD1306" s="148"/>
      <c r="AE1306" s="148"/>
      <c r="AF1306" s="148"/>
      <c r="DB1306" s="149"/>
    </row>
    <row r="1307" spans="2:106">
      <c r="B1307" s="149"/>
      <c r="C1307" s="149"/>
      <c r="D1307" s="149"/>
      <c r="E1307" s="149"/>
      <c r="F1307" s="149"/>
      <c r="G1307" s="149"/>
      <c r="H1307" s="149"/>
      <c r="I1307" s="149"/>
      <c r="J1307" s="149"/>
      <c r="K1307" s="149"/>
      <c r="L1307" s="149"/>
      <c r="M1307" s="149"/>
      <c r="N1307" s="149"/>
      <c r="O1307" s="149"/>
      <c r="P1307" s="149"/>
      <c r="Q1307" s="149"/>
      <c r="R1307" s="149"/>
      <c r="S1307" s="149"/>
      <c r="T1307" s="149"/>
      <c r="U1307" s="149"/>
      <c r="V1307" s="149"/>
      <c r="W1307" s="149"/>
      <c r="X1307" s="149"/>
      <c r="Y1307" s="149"/>
      <c r="Z1307" s="149"/>
      <c r="AA1307" s="149"/>
      <c r="AB1307" s="149"/>
      <c r="AC1307" s="149"/>
      <c r="AD1307" s="148"/>
      <c r="AE1307" s="148"/>
      <c r="AF1307" s="148"/>
      <c r="DB1307" s="149"/>
    </row>
    <row r="1308" spans="2:106">
      <c r="B1308" s="149"/>
      <c r="C1308" s="149"/>
      <c r="D1308" s="149"/>
      <c r="E1308" s="149"/>
      <c r="F1308" s="149"/>
      <c r="G1308" s="149"/>
      <c r="H1308" s="149"/>
      <c r="I1308" s="149"/>
      <c r="J1308" s="149"/>
      <c r="K1308" s="149"/>
      <c r="L1308" s="149"/>
      <c r="M1308" s="149"/>
      <c r="N1308" s="149"/>
      <c r="O1308" s="149"/>
      <c r="P1308" s="149"/>
      <c r="Q1308" s="149"/>
      <c r="R1308" s="149"/>
      <c r="S1308" s="149"/>
      <c r="T1308" s="149"/>
      <c r="U1308" s="149"/>
      <c r="V1308" s="149"/>
      <c r="W1308" s="149"/>
      <c r="X1308" s="149"/>
      <c r="Y1308" s="149"/>
      <c r="Z1308" s="149"/>
      <c r="AA1308" s="149"/>
      <c r="AB1308" s="149"/>
      <c r="AC1308" s="149"/>
      <c r="AD1308" s="148"/>
      <c r="AE1308" s="148"/>
      <c r="AF1308" s="148"/>
      <c r="DB1308" s="149"/>
    </row>
    <row r="1309" spans="2:106">
      <c r="B1309" s="149"/>
      <c r="C1309" s="149"/>
      <c r="D1309" s="149"/>
      <c r="E1309" s="149"/>
      <c r="F1309" s="149"/>
      <c r="G1309" s="149"/>
      <c r="H1309" s="149"/>
      <c r="I1309" s="149"/>
      <c r="J1309" s="149"/>
      <c r="K1309" s="149"/>
      <c r="L1309" s="149"/>
      <c r="M1309" s="149"/>
      <c r="N1309" s="149"/>
      <c r="O1309" s="149"/>
      <c r="P1309" s="149"/>
      <c r="Q1309" s="149"/>
      <c r="R1309" s="149"/>
      <c r="S1309" s="149"/>
      <c r="T1309" s="149"/>
      <c r="U1309" s="149"/>
      <c r="V1309" s="149"/>
      <c r="W1309" s="149"/>
      <c r="X1309" s="149"/>
      <c r="Y1309" s="149"/>
      <c r="Z1309" s="149"/>
      <c r="AA1309" s="149"/>
      <c r="AB1309" s="149"/>
      <c r="AC1309" s="149"/>
      <c r="AD1309" s="148"/>
      <c r="AE1309" s="148"/>
      <c r="AF1309" s="148"/>
      <c r="DB1309" s="149"/>
    </row>
    <row r="1310" spans="2:106">
      <c r="B1310" s="149"/>
      <c r="C1310" s="149"/>
      <c r="D1310" s="149"/>
      <c r="E1310" s="149"/>
      <c r="F1310" s="149"/>
      <c r="G1310" s="149"/>
      <c r="H1310" s="149"/>
      <c r="I1310" s="149"/>
      <c r="J1310" s="149"/>
      <c r="K1310" s="149"/>
      <c r="L1310" s="149"/>
      <c r="M1310" s="149"/>
      <c r="N1310" s="149"/>
      <c r="O1310" s="149"/>
      <c r="P1310" s="149"/>
      <c r="Q1310" s="149"/>
      <c r="R1310" s="149"/>
      <c r="S1310" s="149"/>
      <c r="T1310" s="149"/>
      <c r="U1310" s="149"/>
      <c r="V1310" s="149"/>
      <c r="W1310" s="149"/>
      <c r="X1310" s="149"/>
      <c r="Y1310" s="149"/>
      <c r="Z1310" s="149"/>
      <c r="AA1310" s="149"/>
      <c r="AB1310" s="149"/>
      <c r="AC1310" s="149"/>
      <c r="AD1310" s="148"/>
      <c r="AE1310" s="148"/>
      <c r="AF1310" s="148"/>
      <c r="DB1310" s="149"/>
    </row>
    <row r="1311" spans="2:106">
      <c r="B1311" s="149"/>
      <c r="C1311" s="149"/>
      <c r="D1311" s="149"/>
      <c r="E1311" s="149"/>
      <c r="F1311" s="149"/>
      <c r="G1311" s="149"/>
      <c r="H1311" s="149"/>
      <c r="I1311" s="149"/>
      <c r="J1311" s="149"/>
      <c r="K1311" s="149"/>
      <c r="L1311" s="149"/>
      <c r="M1311" s="149"/>
      <c r="N1311" s="149"/>
      <c r="O1311" s="149"/>
      <c r="P1311" s="149"/>
      <c r="Q1311" s="149"/>
      <c r="R1311" s="149"/>
      <c r="S1311" s="149"/>
      <c r="T1311" s="149"/>
      <c r="U1311" s="149"/>
      <c r="V1311" s="149"/>
      <c r="W1311" s="149"/>
      <c r="X1311" s="149"/>
      <c r="Y1311" s="149"/>
      <c r="Z1311" s="149"/>
      <c r="AA1311" s="149"/>
      <c r="AB1311" s="149"/>
      <c r="AC1311" s="149"/>
      <c r="AD1311" s="148"/>
      <c r="AE1311" s="148"/>
      <c r="AF1311" s="148"/>
      <c r="DB1311" s="149"/>
    </row>
    <row r="1312" spans="2:106">
      <c r="B1312" s="149"/>
      <c r="C1312" s="149"/>
      <c r="D1312" s="149"/>
      <c r="E1312" s="149"/>
      <c r="F1312" s="149"/>
      <c r="G1312" s="149"/>
      <c r="H1312" s="149"/>
      <c r="I1312" s="149"/>
      <c r="J1312" s="149"/>
      <c r="K1312" s="149"/>
      <c r="L1312" s="149"/>
      <c r="M1312" s="149"/>
      <c r="N1312" s="149"/>
      <c r="O1312" s="149"/>
      <c r="P1312" s="149"/>
      <c r="Q1312" s="149"/>
      <c r="R1312" s="149"/>
      <c r="S1312" s="149"/>
      <c r="T1312" s="149"/>
      <c r="U1312" s="149"/>
      <c r="V1312" s="149"/>
      <c r="W1312" s="149"/>
      <c r="X1312" s="149"/>
      <c r="Y1312" s="149"/>
      <c r="Z1312" s="149"/>
      <c r="AA1312" s="149"/>
      <c r="AB1312" s="149"/>
      <c r="AC1312" s="149"/>
      <c r="AD1312" s="148"/>
      <c r="AE1312" s="148"/>
      <c r="AF1312" s="148"/>
      <c r="DB1312" s="149"/>
    </row>
    <row r="1313" spans="2:106">
      <c r="B1313" s="149"/>
      <c r="C1313" s="149"/>
      <c r="D1313" s="149"/>
      <c r="E1313" s="149"/>
      <c r="F1313" s="149"/>
      <c r="G1313" s="149"/>
      <c r="H1313" s="149"/>
      <c r="I1313" s="149"/>
      <c r="J1313" s="149"/>
      <c r="K1313" s="149"/>
      <c r="L1313" s="149"/>
      <c r="M1313" s="149"/>
      <c r="N1313" s="149"/>
      <c r="O1313" s="149"/>
      <c r="P1313" s="149"/>
      <c r="Q1313" s="149"/>
      <c r="R1313" s="149"/>
      <c r="S1313" s="149"/>
      <c r="T1313" s="149"/>
      <c r="U1313" s="149"/>
      <c r="V1313" s="149"/>
      <c r="W1313" s="149"/>
      <c r="X1313" s="149"/>
      <c r="Y1313" s="149"/>
      <c r="Z1313" s="149"/>
      <c r="AA1313" s="149"/>
      <c r="AB1313" s="149"/>
      <c r="AC1313" s="149"/>
      <c r="AD1313" s="148"/>
      <c r="AE1313" s="148"/>
      <c r="AF1313" s="148"/>
      <c r="DB1313" s="149"/>
    </row>
    <row r="1314" spans="2:106">
      <c r="B1314" s="149"/>
      <c r="C1314" s="149"/>
      <c r="D1314" s="149"/>
      <c r="E1314" s="149"/>
      <c r="F1314" s="149"/>
      <c r="G1314" s="149"/>
      <c r="H1314" s="149"/>
      <c r="I1314" s="149"/>
      <c r="J1314" s="149"/>
      <c r="K1314" s="149"/>
      <c r="L1314" s="149"/>
      <c r="M1314" s="149"/>
      <c r="N1314" s="149"/>
      <c r="O1314" s="149"/>
      <c r="P1314" s="149"/>
      <c r="Q1314" s="149"/>
      <c r="R1314" s="149"/>
      <c r="S1314" s="149"/>
      <c r="T1314" s="149"/>
      <c r="U1314" s="149"/>
      <c r="V1314" s="149"/>
      <c r="W1314" s="149"/>
      <c r="X1314" s="149"/>
      <c r="Y1314" s="149"/>
      <c r="Z1314" s="149"/>
      <c r="AA1314" s="149"/>
      <c r="AB1314" s="149"/>
      <c r="AC1314" s="149"/>
      <c r="AD1314" s="148"/>
      <c r="AE1314" s="148"/>
      <c r="AF1314" s="148"/>
      <c r="DB1314" s="149"/>
    </row>
    <row r="1315" spans="2:106">
      <c r="B1315" s="149"/>
      <c r="C1315" s="149"/>
      <c r="D1315" s="149"/>
      <c r="E1315" s="149"/>
      <c r="F1315" s="149"/>
      <c r="G1315" s="149"/>
      <c r="H1315" s="149"/>
      <c r="I1315" s="149"/>
      <c r="J1315" s="149"/>
      <c r="K1315" s="149"/>
      <c r="L1315" s="149"/>
      <c r="M1315" s="149"/>
      <c r="N1315" s="149"/>
      <c r="O1315" s="149"/>
      <c r="P1315" s="149"/>
      <c r="Q1315" s="149"/>
      <c r="R1315" s="149"/>
      <c r="S1315" s="149"/>
      <c r="T1315" s="149"/>
      <c r="U1315" s="149"/>
      <c r="V1315" s="149"/>
      <c r="W1315" s="149"/>
      <c r="X1315" s="149"/>
      <c r="Y1315" s="149"/>
      <c r="Z1315" s="149"/>
      <c r="AA1315" s="149"/>
      <c r="AB1315" s="149"/>
      <c r="AC1315" s="149"/>
      <c r="AD1315" s="148"/>
      <c r="AE1315" s="148"/>
      <c r="AF1315" s="148"/>
      <c r="DB1315" s="149"/>
    </row>
    <row r="1316" spans="2:106">
      <c r="B1316" s="149"/>
      <c r="C1316" s="149"/>
      <c r="D1316" s="149"/>
      <c r="E1316" s="149"/>
      <c r="F1316" s="149"/>
      <c r="G1316" s="149"/>
      <c r="H1316" s="149"/>
      <c r="I1316" s="149"/>
      <c r="J1316" s="149"/>
      <c r="K1316" s="149"/>
      <c r="L1316" s="149"/>
      <c r="M1316" s="149"/>
      <c r="N1316" s="149"/>
      <c r="O1316" s="149"/>
      <c r="P1316" s="149"/>
      <c r="Q1316" s="149"/>
      <c r="R1316" s="149"/>
      <c r="S1316" s="149"/>
      <c r="T1316" s="149"/>
      <c r="U1316" s="149"/>
      <c r="V1316" s="149"/>
      <c r="W1316" s="149"/>
      <c r="X1316" s="149"/>
      <c r="Y1316" s="149"/>
      <c r="Z1316" s="149"/>
      <c r="AA1316" s="149"/>
      <c r="AB1316" s="149"/>
      <c r="AC1316" s="149"/>
      <c r="AD1316" s="148"/>
      <c r="AE1316" s="148"/>
      <c r="AF1316" s="148"/>
      <c r="DB1316" s="149"/>
    </row>
    <row r="1317" spans="2:106">
      <c r="B1317" s="149"/>
      <c r="C1317" s="149"/>
      <c r="D1317" s="149"/>
      <c r="E1317" s="149"/>
      <c r="F1317" s="149"/>
      <c r="G1317" s="149"/>
      <c r="H1317" s="149"/>
      <c r="I1317" s="149"/>
      <c r="J1317" s="149"/>
      <c r="K1317" s="149"/>
      <c r="L1317" s="149"/>
      <c r="M1317" s="149"/>
      <c r="N1317" s="149"/>
      <c r="O1317" s="149"/>
      <c r="P1317" s="149"/>
      <c r="Q1317" s="149"/>
      <c r="R1317" s="149"/>
      <c r="S1317" s="149"/>
      <c r="T1317" s="149"/>
      <c r="U1317" s="149"/>
      <c r="V1317" s="149"/>
      <c r="W1317" s="149"/>
      <c r="X1317" s="149"/>
      <c r="Y1317" s="149"/>
      <c r="Z1317" s="149"/>
      <c r="AA1317" s="149"/>
      <c r="AB1317" s="149"/>
      <c r="AC1317" s="149"/>
      <c r="AD1317" s="148"/>
      <c r="AE1317" s="148"/>
      <c r="AF1317" s="148"/>
      <c r="DB1317" s="149"/>
    </row>
    <row r="1318" spans="2:106">
      <c r="B1318" s="149"/>
      <c r="C1318" s="149"/>
      <c r="D1318" s="149"/>
      <c r="E1318" s="149"/>
      <c r="F1318" s="149"/>
      <c r="G1318" s="149"/>
      <c r="H1318" s="149"/>
      <c r="I1318" s="149"/>
      <c r="J1318" s="149"/>
      <c r="K1318" s="149"/>
      <c r="L1318" s="149"/>
      <c r="M1318" s="149"/>
      <c r="N1318" s="149"/>
      <c r="O1318" s="149"/>
      <c r="P1318" s="149"/>
      <c r="Q1318" s="149"/>
      <c r="R1318" s="149"/>
      <c r="S1318" s="149"/>
      <c r="T1318" s="149"/>
      <c r="U1318" s="149"/>
      <c r="V1318" s="149"/>
      <c r="W1318" s="149"/>
      <c r="X1318" s="149"/>
      <c r="Y1318" s="149"/>
      <c r="Z1318" s="149"/>
      <c r="AA1318" s="149"/>
      <c r="AB1318" s="149"/>
      <c r="AC1318" s="149"/>
      <c r="AD1318" s="148"/>
      <c r="AE1318" s="148"/>
      <c r="AF1318" s="148"/>
      <c r="DB1318" s="149"/>
    </row>
    <row r="1319" spans="2:106">
      <c r="B1319" s="149"/>
      <c r="C1319" s="149"/>
      <c r="D1319" s="149"/>
      <c r="E1319" s="149"/>
      <c r="F1319" s="149"/>
      <c r="G1319" s="149"/>
      <c r="H1319" s="149"/>
      <c r="I1319" s="149"/>
      <c r="J1319" s="149"/>
      <c r="K1319" s="149"/>
      <c r="L1319" s="149"/>
      <c r="M1319" s="149"/>
      <c r="N1319" s="149"/>
      <c r="O1319" s="149"/>
      <c r="P1319" s="149"/>
      <c r="Q1319" s="149"/>
      <c r="R1319" s="149"/>
      <c r="S1319" s="149"/>
      <c r="T1319" s="149"/>
      <c r="U1319" s="149"/>
      <c r="V1319" s="149"/>
      <c r="W1319" s="149"/>
      <c r="X1319" s="149"/>
      <c r="Y1319" s="149"/>
      <c r="Z1319" s="149"/>
      <c r="AA1319" s="149"/>
      <c r="AB1319" s="149"/>
      <c r="AC1319" s="149"/>
      <c r="AD1319" s="148"/>
      <c r="AE1319" s="148"/>
      <c r="AF1319" s="148"/>
      <c r="DB1319" s="149"/>
    </row>
    <row r="1320" spans="2:106">
      <c r="B1320" s="149"/>
      <c r="C1320" s="149"/>
      <c r="D1320" s="149"/>
      <c r="E1320" s="149"/>
      <c r="F1320" s="149"/>
      <c r="G1320" s="149"/>
      <c r="H1320" s="149"/>
      <c r="I1320" s="149"/>
      <c r="J1320" s="149"/>
      <c r="K1320" s="149"/>
      <c r="L1320" s="149"/>
      <c r="M1320" s="149"/>
      <c r="N1320" s="149"/>
      <c r="O1320" s="149"/>
      <c r="P1320" s="149"/>
      <c r="Q1320" s="149"/>
      <c r="R1320" s="149"/>
      <c r="S1320" s="149"/>
      <c r="T1320" s="149"/>
      <c r="U1320" s="149"/>
      <c r="V1320" s="149"/>
      <c r="W1320" s="149"/>
      <c r="X1320" s="149"/>
      <c r="Y1320" s="149"/>
      <c r="Z1320" s="149"/>
      <c r="AA1320" s="149"/>
      <c r="AB1320" s="149"/>
      <c r="AC1320" s="149"/>
      <c r="AD1320" s="148"/>
      <c r="AE1320" s="148"/>
      <c r="AF1320" s="148"/>
      <c r="DB1320" s="149"/>
    </row>
    <row r="1321" spans="2:106">
      <c r="B1321" s="149"/>
      <c r="C1321" s="149"/>
      <c r="D1321" s="149"/>
      <c r="E1321" s="149"/>
      <c r="F1321" s="149"/>
      <c r="G1321" s="149"/>
      <c r="H1321" s="149"/>
      <c r="I1321" s="149"/>
      <c r="J1321" s="149"/>
      <c r="K1321" s="149"/>
      <c r="L1321" s="149"/>
      <c r="M1321" s="149"/>
      <c r="N1321" s="149"/>
      <c r="O1321" s="149"/>
      <c r="P1321" s="149"/>
      <c r="Q1321" s="149"/>
      <c r="R1321" s="149"/>
      <c r="S1321" s="149"/>
      <c r="T1321" s="149"/>
      <c r="U1321" s="149"/>
      <c r="V1321" s="149"/>
      <c r="W1321" s="149"/>
      <c r="X1321" s="149"/>
      <c r="Y1321" s="149"/>
      <c r="Z1321" s="149"/>
      <c r="AA1321" s="149"/>
      <c r="AB1321" s="149"/>
      <c r="AC1321" s="149"/>
      <c r="AD1321" s="148"/>
      <c r="AE1321" s="148"/>
      <c r="AF1321" s="148"/>
      <c r="DB1321" s="149"/>
    </row>
    <row r="1322" spans="2:106">
      <c r="B1322" s="149"/>
      <c r="C1322" s="149"/>
      <c r="D1322" s="149"/>
      <c r="E1322" s="149"/>
      <c r="F1322" s="149"/>
      <c r="G1322" s="149"/>
      <c r="H1322" s="149"/>
      <c r="I1322" s="149"/>
      <c r="J1322" s="149"/>
      <c r="K1322" s="149"/>
      <c r="L1322" s="149"/>
      <c r="M1322" s="149"/>
      <c r="N1322" s="149"/>
      <c r="O1322" s="149"/>
      <c r="P1322" s="149"/>
      <c r="Q1322" s="149"/>
      <c r="R1322" s="149"/>
      <c r="S1322" s="149"/>
      <c r="T1322" s="149"/>
      <c r="U1322" s="149"/>
      <c r="V1322" s="149"/>
      <c r="W1322" s="149"/>
      <c r="X1322" s="149"/>
      <c r="Y1322" s="149"/>
      <c r="Z1322" s="149"/>
      <c r="AA1322" s="149"/>
      <c r="AB1322" s="149"/>
      <c r="AC1322" s="149"/>
      <c r="AD1322" s="148"/>
      <c r="AE1322" s="148"/>
      <c r="AF1322" s="148"/>
      <c r="DB1322" s="149"/>
    </row>
    <row r="1323" spans="2:106">
      <c r="B1323" s="149"/>
      <c r="C1323" s="149"/>
      <c r="D1323" s="149"/>
      <c r="E1323" s="149"/>
      <c r="F1323" s="149"/>
      <c r="G1323" s="149"/>
      <c r="H1323" s="149"/>
      <c r="I1323" s="149"/>
      <c r="J1323" s="149"/>
      <c r="K1323" s="149"/>
      <c r="L1323" s="149"/>
      <c r="M1323" s="149"/>
      <c r="N1323" s="149"/>
      <c r="O1323" s="149"/>
      <c r="P1323" s="149"/>
      <c r="Q1323" s="149"/>
      <c r="R1323" s="149"/>
      <c r="S1323" s="149"/>
      <c r="T1323" s="149"/>
      <c r="U1323" s="149"/>
      <c r="V1323" s="149"/>
      <c r="W1323" s="149"/>
      <c r="X1323" s="149"/>
      <c r="Y1323" s="149"/>
      <c r="Z1323" s="149"/>
      <c r="AA1323" s="149"/>
      <c r="AB1323" s="149"/>
      <c r="AC1323" s="149"/>
      <c r="AD1323" s="148"/>
      <c r="AE1323" s="148"/>
      <c r="AF1323" s="148"/>
      <c r="DB1323" s="149"/>
    </row>
    <row r="1324" spans="2:106">
      <c r="B1324" s="149"/>
      <c r="C1324" s="149"/>
      <c r="D1324" s="149"/>
      <c r="E1324" s="149"/>
      <c r="F1324" s="149"/>
      <c r="G1324" s="149"/>
      <c r="H1324" s="149"/>
      <c r="I1324" s="149"/>
      <c r="J1324" s="149"/>
      <c r="K1324" s="149"/>
      <c r="L1324" s="149"/>
      <c r="M1324" s="149"/>
      <c r="N1324" s="149"/>
      <c r="O1324" s="149"/>
      <c r="P1324" s="149"/>
      <c r="Q1324" s="149"/>
      <c r="R1324" s="149"/>
      <c r="S1324" s="149"/>
      <c r="T1324" s="149"/>
      <c r="U1324" s="149"/>
      <c r="V1324" s="149"/>
      <c r="W1324" s="149"/>
      <c r="X1324" s="149"/>
      <c r="Y1324" s="149"/>
      <c r="Z1324" s="149"/>
      <c r="AA1324" s="149"/>
      <c r="AB1324" s="149"/>
      <c r="AC1324" s="149"/>
      <c r="AD1324" s="148"/>
      <c r="AE1324" s="148"/>
      <c r="AF1324" s="148"/>
      <c r="DB1324" s="149"/>
    </row>
    <row r="1325" spans="2:106">
      <c r="B1325" s="149"/>
      <c r="C1325" s="149"/>
      <c r="D1325" s="149"/>
      <c r="E1325" s="149"/>
      <c r="F1325" s="149"/>
      <c r="G1325" s="149"/>
      <c r="H1325" s="149"/>
      <c r="I1325" s="149"/>
      <c r="J1325" s="149"/>
      <c r="K1325" s="149"/>
      <c r="L1325" s="149"/>
      <c r="M1325" s="149"/>
      <c r="N1325" s="149"/>
      <c r="O1325" s="149"/>
      <c r="P1325" s="149"/>
      <c r="Q1325" s="149"/>
      <c r="R1325" s="149"/>
      <c r="S1325" s="149"/>
      <c r="T1325" s="149"/>
      <c r="U1325" s="149"/>
      <c r="V1325" s="149"/>
      <c r="W1325" s="149"/>
      <c r="X1325" s="149"/>
      <c r="Y1325" s="149"/>
      <c r="Z1325" s="149"/>
      <c r="AA1325" s="149"/>
      <c r="AB1325" s="149"/>
      <c r="AC1325" s="149"/>
      <c r="AD1325" s="148"/>
      <c r="AE1325" s="148"/>
      <c r="AF1325" s="148"/>
      <c r="DB1325" s="149"/>
    </row>
    <row r="1326" spans="2:106">
      <c r="B1326" s="149"/>
      <c r="C1326" s="149"/>
      <c r="D1326" s="149"/>
      <c r="E1326" s="149"/>
      <c r="F1326" s="149"/>
      <c r="G1326" s="149"/>
      <c r="H1326" s="149"/>
      <c r="I1326" s="149"/>
      <c r="J1326" s="149"/>
      <c r="K1326" s="149"/>
      <c r="L1326" s="149"/>
      <c r="M1326" s="149"/>
      <c r="N1326" s="149"/>
      <c r="O1326" s="149"/>
      <c r="P1326" s="149"/>
      <c r="Q1326" s="149"/>
      <c r="R1326" s="149"/>
      <c r="S1326" s="149"/>
      <c r="T1326" s="149"/>
      <c r="U1326" s="149"/>
      <c r="V1326" s="149"/>
      <c r="W1326" s="149"/>
      <c r="X1326" s="149"/>
      <c r="Y1326" s="149"/>
      <c r="Z1326" s="149"/>
      <c r="AA1326" s="149"/>
      <c r="AB1326" s="149"/>
      <c r="AC1326" s="149"/>
      <c r="AD1326" s="148"/>
      <c r="AE1326" s="148"/>
      <c r="AF1326" s="148"/>
      <c r="DB1326" s="149"/>
    </row>
    <row r="1327" spans="2:106">
      <c r="B1327" s="149"/>
      <c r="C1327" s="149"/>
      <c r="D1327" s="149"/>
      <c r="E1327" s="149"/>
      <c r="F1327" s="149"/>
      <c r="G1327" s="149"/>
      <c r="H1327" s="149"/>
      <c r="I1327" s="149"/>
      <c r="J1327" s="149"/>
      <c r="K1327" s="149"/>
      <c r="L1327" s="149"/>
      <c r="M1327" s="149"/>
      <c r="N1327" s="149"/>
      <c r="O1327" s="149"/>
      <c r="P1327" s="149"/>
      <c r="Q1327" s="149"/>
      <c r="R1327" s="149"/>
      <c r="S1327" s="149"/>
      <c r="T1327" s="149"/>
      <c r="U1327" s="149"/>
      <c r="V1327" s="149"/>
      <c r="W1327" s="149"/>
      <c r="X1327" s="149"/>
      <c r="Y1327" s="149"/>
      <c r="Z1327" s="149"/>
      <c r="AA1327" s="149"/>
      <c r="AB1327" s="149"/>
      <c r="AC1327" s="149"/>
      <c r="AD1327" s="148"/>
      <c r="AE1327" s="148"/>
      <c r="AF1327" s="148"/>
      <c r="DB1327" s="149"/>
    </row>
  </sheetData>
  <pageMargins left="0.25" right="0.25" top="0.75" bottom="0.75" header="0.3" footer="0.3"/>
  <pageSetup scale="10" orientation="landscape" r:id="rId1"/>
  <headerFooter alignWithMargins="0"/>
  <rowBreaks count="2" manualBreakCount="2">
    <brk id="211" min="86" max="101" man="1"/>
    <brk id="293" min="71" max="82" man="1"/>
  </rowBreaks>
  <customProperties>
    <customPr name="Qube.Worksheet.Visibility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EB5DA-7E31-416F-8B25-95B787BD2EFC}">
  <sheetPr>
    <tabColor rgb="FF92D050"/>
    <pageSetUpPr autoPageBreaks="0" fitToPage="1"/>
  </sheetPr>
  <dimension ref="A1:DN103"/>
  <sheetViews>
    <sheetView zoomScaleNormal="100" workbookViewId="0">
      <pane xSplit="1" ySplit="1" topLeftCell="BP2" activePane="bottomRight" state="frozen"/>
      <selection activeCell="F32" sqref="F32"/>
      <selection pane="topRight" activeCell="F32" sqref="F32"/>
      <selection pane="bottomLeft" activeCell="F32" sqref="F32"/>
      <selection pane="bottomRight"/>
    </sheetView>
  </sheetViews>
  <sheetFormatPr defaultColWidth="9.140625" defaultRowHeight="12.75" outlineLevelCol="1"/>
  <cols>
    <col min="1" max="1" width="38.140625" style="483" customWidth="1"/>
    <col min="2" max="25" width="7.7109375" style="483" bestFit="1" customWidth="1"/>
    <col min="26" max="26" width="8.28515625" style="483" customWidth="1"/>
    <col min="27" max="27" width="8.28515625" style="483" bestFit="1" customWidth="1"/>
    <col min="28" max="29" width="8.28515625" style="483" customWidth="1"/>
    <col min="30" max="30" width="8.28515625" style="483" bestFit="1" customWidth="1"/>
    <col min="31" max="31" width="8.28515625" style="483" customWidth="1"/>
    <col min="32" max="32" width="8.28515625" style="483" bestFit="1" customWidth="1"/>
    <col min="33" max="41" width="8.28515625" style="483" customWidth="1"/>
    <col min="42" max="48" width="8.28515625" style="483" bestFit="1" customWidth="1"/>
    <col min="49" max="49" width="9" style="483" bestFit="1" customWidth="1"/>
    <col min="50" max="54" width="10" style="483" bestFit="1" customWidth="1"/>
    <col min="55" max="71" width="8.28515625" style="483" bestFit="1" customWidth="1"/>
    <col min="72" max="74" width="8.5703125" style="483" bestFit="1" customWidth="1"/>
    <col min="75" max="81" width="8.28515625" style="483" bestFit="1" customWidth="1"/>
    <col min="82" max="93" width="8.28515625" style="483" customWidth="1"/>
    <col min="94" max="94" width="1.28515625" style="483" customWidth="1"/>
    <col min="95" max="95" width="6.140625" style="483" hidden="1" customWidth="1" outlineLevel="1"/>
    <col min="96" max="96" width="6.85546875" style="483" hidden="1" customWidth="1" outlineLevel="1"/>
    <col min="97" max="99" width="8.42578125" style="483" hidden="1" customWidth="1" outlineLevel="1"/>
    <col min="100" max="100" width="6.85546875" style="483" hidden="1" customWidth="1" outlineLevel="1"/>
    <col min="101" max="101" width="7.7109375" style="483" customWidth="1" collapsed="1"/>
    <col min="102" max="104" width="7.7109375" style="483" bestFit="1" customWidth="1"/>
    <col min="105" max="110" width="8" style="483" bestFit="1" customWidth="1"/>
    <col min="111" max="111" width="8.85546875" style="483" bestFit="1" customWidth="1"/>
    <col min="112" max="112" width="10.7109375" style="483" bestFit="1" customWidth="1"/>
    <col min="113" max="117" width="12" style="483" bestFit="1" customWidth="1"/>
    <col min="118" max="118" width="1.28515625" style="483" customWidth="1"/>
    <col min="119" max="119" width="10.140625" style="483" bestFit="1" customWidth="1"/>
    <col min="120" max="123" width="9.28515625" style="483" bestFit="1" customWidth="1"/>
    <col min="124" max="124" width="10.140625" style="483" bestFit="1" customWidth="1"/>
    <col min="125" max="128" width="9.28515625" style="483" bestFit="1" customWidth="1"/>
    <col min="129" max="129" width="10.140625" style="483" bestFit="1" customWidth="1"/>
    <col min="130" max="133" width="9.28515625" style="483" bestFit="1" customWidth="1"/>
    <col min="134" max="134" width="10.140625" style="483" bestFit="1" customWidth="1"/>
    <col min="135" max="138" width="9.28515625" style="483" bestFit="1" customWidth="1"/>
    <col min="139" max="139" width="10.140625" style="483" bestFit="1" customWidth="1"/>
    <col min="140" max="143" width="9.28515625" style="483" bestFit="1" customWidth="1"/>
    <col min="144" max="144" width="10.140625" style="483" bestFit="1" customWidth="1"/>
    <col min="145" max="148" width="9.28515625" style="483" bestFit="1" customWidth="1"/>
    <col min="149" max="149" width="10.140625" style="483" bestFit="1" customWidth="1"/>
    <col min="150" max="153" width="9.28515625" style="483" bestFit="1" customWidth="1"/>
    <col min="154" max="154" width="10.140625" style="483" bestFit="1" customWidth="1"/>
    <col min="155" max="158" width="9.28515625" style="483" bestFit="1" customWidth="1"/>
    <col min="159" max="159" width="10.140625" style="483" bestFit="1" customWidth="1"/>
    <col min="160" max="163" width="9.28515625" style="483" bestFit="1" customWidth="1"/>
    <col min="164" max="164" width="10.140625" style="483" bestFit="1" customWidth="1"/>
    <col min="165" max="168" width="9.28515625" style="483" bestFit="1" customWidth="1"/>
    <col min="169" max="169" width="10.140625" style="483" bestFit="1" customWidth="1"/>
    <col min="170" max="173" width="9.28515625" style="483" bestFit="1" customWidth="1"/>
    <col min="174" max="174" width="10.140625" style="483" bestFit="1" customWidth="1"/>
    <col min="175" max="178" width="9.28515625" style="483" bestFit="1" customWidth="1"/>
    <col min="179" max="179" width="10.140625" style="483" bestFit="1" customWidth="1"/>
    <col min="180" max="183" width="9.28515625" style="483" bestFit="1" customWidth="1"/>
    <col min="184" max="184" width="10.140625" style="483" bestFit="1" customWidth="1"/>
    <col min="185" max="188" width="9.28515625" style="483" bestFit="1" customWidth="1"/>
    <col min="189" max="189" width="10.140625" style="483" bestFit="1" customWidth="1"/>
    <col min="190" max="193" width="9.28515625" style="483" bestFit="1" customWidth="1"/>
    <col min="194" max="194" width="10.140625" style="483" bestFit="1" customWidth="1"/>
    <col min="195" max="198" width="9.28515625" style="483" bestFit="1" customWidth="1"/>
    <col min="199" max="199" width="10.140625" style="483" bestFit="1" customWidth="1"/>
    <col min="200" max="201" width="9.28515625" style="483" bestFit="1" customWidth="1"/>
    <col min="202" max="16384" width="9.140625" style="483"/>
  </cols>
  <sheetData>
    <row r="1" spans="1:117" s="479" customFormat="1">
      <c r="A1" s="476"/>
      <c r="B1" s="477" t="str">
        <f>Worksheet!AD3</f>
        <v>1Q08</v>
      </c>
      <c r="C1" s="477" t="str">
        <f>Worksheet!AE3</f>
        <v>2Q08</v>
      </c>
      <c r="D1" s="477" t="str">
        <f>Worksheet!AF3</f>
        <v>3Q08</v>
      </c>
      <c r="E1" s="477" t="str">
        <f>Worksheet!AG3</f>
        <v>4Q08</v>
      </c>
      <c r="F1" s="477" t="str">
        <f>Worksheet!AH3</f>
        <v>1Q09</v>
      </c>
      <c r="G1" s="477" t="str">
        <f>Worksheet!AI3</f>
        <v>2Q09</v>
      </c>
      <c r="H1" s="477" t="str">
        <f>Worksheet!AJ3</f>
        <v>3Q09</v>
      </c>
      <c r="I1" s="477" t="str">
        <f>Worksheet!AK3</f>
        <v>4Q09</v>
      </c>
      <c r="J1" s="477" t="str">
        <f>Worksheet!AL3</f>
        <v>1Q10</v>
      </c>
      <c r="K1" s="477" t="str">
        <f>Worksheet!AM3</f>
        <v>2Q10</v>
      </c>
      <c r="L1" s="477" t="str">
        <f>Worksheet!AN3</f>
        <v>3Q10</v>
      </c>
      <c r="M1" s="477" t="str">
        <f>Worksheet!AO3</f>
        <v>4Q10</v>
      </c>
      <c r="N1" s="477" t="str">
        <f>Worksheet!AP3</f>
        <v>1Q11</v>
      </c>
      <c r="O1" s="477" t="str">
        <f>Worksheet!AQ3</f>
        <v>2Q11</v>
      </c>
      <c r="P1" s="477" t="str">
        <f>Worksheet!AR3</f>
        <v>3Q11</v>
      </c>
      <c r="Q1" s="477" t="str">
        <f>Worksheet!AS3</f>
        <v>4Q11</v>
      </c>
      <c r="R1" s="477" t="str">
        <f>Worksheet!AT3</f>
        <v>1Q12</v>
      </c>
      <c r="S1" s="477" t="str">
        <f>Worksheet!AU3</f>
        <v>2Q12</v>
      </c>
      <c r="T1" s="477" t="str">
        <f>Worksheet!AV3</f>
        <v>3Q12</v>
      </c>
      <c r="U1" s="477" t="str">
        <f>Worksheet!AW3</f>
        <v>4Q12</v>
      </c>
      <c r="V1" s="477" t="str">
        <f>Worksheet!AX3</f>
        <v>1Q13</v>
      </c>
      <c r="W1" s="477" t="str">
        <f>Worksheet!AY3</f>
        <v>2Q13</v>
      </c>
      <c r="X1" s="477" t="str">
        <f>Worksheet!AZ3</f>
        <v>3Q13</v>
      </c>
      <c r="Y1" s="477" t="str">
        <f>Worksheet!BA3</f>
        <v>4Q13</v>
      </c>
      <c r="Z1" s="477" t="str">
        <f>Worksheet!BB3</f>
        <v>1Q14</v>
      </c>
      <c r="AA1" s="477" t="str">
        <f>Worksheet!BC3</f>
        <v>2Q14</v>
      </c>
      <c r="AB1" s="477" t="str">
        <f>Worksheet!BD3</f>
        <v>3Q14</v>
      </c>
      <c r="AC1" s="477" t="str">
        <f>Worksheet!BE3</f>
        <v>4Q14</v>
      </c>
      <c r="AD1" s="477" t="str">
        <f>Worksheet!BF3</f>
        <v>1Q15</v>
      </c>
      <c r="AE1" s="477" t="str">
        <f>Worksheet!BG3</f>
        <v>2Q15</v>
      </c>
      <c r="AF1" s="477" t="str">
        <f>Worksheet!BH3</f>
        <v>3Q15</v>
      </c>
      <c r="AG1" s="477" t="str">
        <f>Worksheet!BI3</f>
        <v>4Q15</v>
      </c>
      <c r="AH1" s="477" t="str">
        <f>Worksheet!BJ3</f>
        <v>1Q16</v>
      </c>
      <c r="AI1" s="477" t="str">
        <f>Worksheet!BK3</f>
        <v>2Q16</v>
      </c>
      <c r="AJ1" s="477" t="str">
        <f>Worksheet!BL3</f>
        <v>3Q16</v>
      </c>
      <c r="AK1" s="477" t="str">
        <f>Worksheet!BM3</f>
        <v>4Q16</v>
      </c>
      <c r="AL1" s="477" t="str">
        <f>Worksheet!BN3</f>
        <v>1Q17</v>
      </c>
      <c r="AM1" s="477" t="str">
        <f>Worksheet!BO3</f>
        <v>2Q17</v>
      </c>
      <c r="AN1" s="477" t="str">
        <f>Worksheet!BP3</f>
        <v>3Q17</v>
      </c>
      <c r="AO1" s="477" t="str">
        <f>Worksheet!BQ3</f>
        <v>4Q17</v>
      </c>
      <c r="AP1" s="477" t="str">
        <f>Worksheet!BR3</f>
        <v>1Q18</v>
      </c>
      <c r="AQ1" s="477" t="str">
        <f>Worksheet!BS3</f>
        <v>2Q18</v>
      </c>
      <c r="AR1" s="477" t="str">
        <f>Worksheet!BT3</f>
        <v>3Q18</v>
      </c>
      <c r="AS1" s="477" t="str">
        <f>Worksheet!BU3</f>
        <v>4Q18</v>
      </c>
      <c r="AT1" s="477" t="str">
        <f>Worksheet!BV3</f>
        <v>1Q19</v>
      </c>
      <c r="AU1" s="477" t="str">
        <f>Worksheet!BW3</f>
        <v>2Q19</v>
      </c>
      <c r="AV1" s="477" t="str">
        <f>Worksheet!BX3</f>
        <v>3Q19</v>
      </c>
      <c r="AW1" s="477" t="str">
        <f>Worksheet!BY3</f>
        <v>4Q19</v>
      </c>
      <c r="AX1" s="477" t="str">
        <f>Worksheet!BZ3</f>
        <v>1Q20</v>
      </c>
      <c r="AY1" s="477" t="str">
        <f>Worksheet!CA3</f>
        <v>2Q20</v>
      </c>
      <c r="AZ1" s="477" t="str">
        <f>Worksheet!CB3</f>
        <v>3Q20</v>
      </c>
      <c r="BA1" s="477" t="str">
        <f>Worksheet!CC3</f>
        <v>4Q20</v>
      </c>
      <c r="BB1" s="477" t="str">
        <f>Worksheet!CD3</f>
        <v>1Q21</v>
      </c>
      <c r="BC1" s="477" t="str">
        <f>Worksheet!CE3</f>
        <v>2Q21</v>
      </c>
      <c r="BD1" s="477" t="str">
        <f>Worksheet!CF3</f>
        <v>3Q21</v>
      </c>
      <c r="BE1" s="477" t="str">
        <f>Worksheet!CG3</f>
        <v>4Q21</v>
      </c>
      <c r="BF1" s="477" t="str">
        <f>Worksheet!CH3</f>
        <v>1Q22</v>
      </c>
      <c r="BG1" s="477" t="str">
        <f>Worksheet!CI3</f>
        <v>2Q22</v>
      </c>
      <c r="BH1" s="477" t="str">
        <f>Worksheet!CJ3</f>
        <v>3Q22</v>
      </c>
      <c r="BI1" s="477" t="str">
        <f>Worksheet!CK3</f>
        <v>4Q22</v>
      </c>
      <c r="BJ1" s="477" t="str">
        <f>Worksheet!CL3</f>
        <v>1Q23</v>
      </c>
      <c r="BK1" s="477" t="str">
        <f>Worksheet!CM3</f>
        <v>2Q23</v>
      </c>
      <c r="BL1" s="477" t="str">
        <f>Worksheet!CN3</f>
        <v>3Q23</v>
      </c>
      <c r="BM1" s="477" t="str">
        <f>Worksheet!CO3</f>
        <v>4Q23</v>
      </c>
      <c r="BN1" s="477" t="str">
        <f>Worksheet!CP3</f>
        <v>1Q24</v>
      </c>
      <c r="BO1" s="477" t="str">
        <f>Worksheet!CQ3</f>
        <v>2Q24</v>
      </c>
      <c r="BP1" s="477" t="str">
        <f>Worksheet!CR3</f>
        <v>3Q24</v>
      </c>
      <c r="BQ1" s="477" t="str">
        <f>Worksheet!CS3</f>
        <v>4Q24</v>
      </c>
      <c r="BR1" s="477" t="s">
        <v>172</v>
      </c>
      <c r="BS1" s="477" t="s">
        <v>173</v>
      </c>
      <c r="BT1" s="477" t="s">
        <v>174</v>
      </c>
      <c r="BU1" s="477" t="s">
        <v>175</v>
      </c>
      <c r="BV1" s="477" t="str">
        <f>Worksheet!CX3</f>
        <v>1Q26</v>
      </c>
      <c r="BW1" s="477" t="str">
        <f>Worksheet!CY3</f>
        <v>2Q26E</v>
      </c>
      <c r="BX1" s="477" t="str">
        <f>Worksheet!CZ3</f>
        <v>3Q26E</v>
      </c>
      <c r="BY1" s="477" t="str">
        <f>Worksheet!DA3</f>
        <v>4Q26E</v>
      </c>
      <c r="BZ1" s="477" t="str">
        <f>Worksheet!DB3</f>
        <v>1Q27E</v>
      </c>
      <c r="CA1" s="477" t="str">
        <f>Worksheet!DC3</f>
        <v>2Q27E</v>
      </c>
      <c r="CB1" s="477" t="str">
        <f>Worksheet!DD3</f>
        <v>3Q27E</v>
      </c>
      <c r="CC1" s="477" t="str">
        <f>Worksheet!DE3</f>
        <v>4Q27E</v>
      </c>
      <c r="CD1" s="477" t="str">
        <f>Worksheet!DF3</f>
        <v>1Q28E</v>
      </c>
      <c r="CE1" s="477" t="str">
        <f>Worksheet!DG3</f>
        <v>2Q28E</v>
      </c>
      <c r="CF1" s="477" t="str">
        <f>Worksheet!DH3</f>
        <v>3Q28E</v>
      </c>
      <c r="CG1" s="477" t="str">
        <f>Worksheet!DI3</f>
        <v>4Q28E</v>
      </c>
      <c r="CH1" s="477" t="str">
        <f>Worksheet!DJ3</f>
        <v>1Q29E</v>
      </c>
      <c r="CI1" s="477" t="str">
        <f>Worksheet!DK3</f>
        <v>2Q29E</v>
      </c>
      <c r="CJ1" s="477" t="str">
        <f>Worksheet!DL3</f>
        <v>3Q29E</v>
      </c>
      <c r="CK1" s="477" t="str">
        <f>Worksheet!DM3</f>
        <v>4Q29E</v>
      </c>
      <c r="CL1" s="477" t="str">
        <f>Worksheet!DN3</f>
        <v>1Q30E</v>
      </c>
      <c r="CM1" s="477" t="str">
        <f>Worksheet!DO3</f>
        <v>2Q30E</v>
      </c>
      <c r="CN1" s="477" t="str">
        <f>Worksheet!DP3</f>
        <v>3Q30E</v>
      </c>
      <c r="CO1" s="477" t="str">
        <f>Worksheet!DQ3</f>
        <v>4Q30E</v>
      </c>
      <c r="CP1" s="478"/>
      <c r="CQ1" s="477">
        <v>2008</v>
      </c>
      <c r="CR1" s="477">
        <v>2009</v>
      </c>
      <c r="CS1" s="477">
        <v>2010</v>
      </c>
      <c r="CT1" s="477">
        <v>2011</v>
      </c>
      <c r="CU1" s="477">
        <v>2012</v>
      </c>
      <c r="CV1" s="477">
        <v>2013</v>
      </c>
      <c r="CW1" s="477">
        <v>2014</v>
      </c>
      <c r="CX1" s="477">
        <v>2015</v>
      </c>
      <c r="CY1" s="477">
        <v>2016</v>
      </c>
      <c r="CZ1" s="477">
        <v>2017</v>
      </c>
      <c r="DA1" s="477">
        <v>2018</v>
      </c>
      <c r="DB1" s="477">
        <v>2019</v>
      </c>
      <c r="DC1" s="477">
        <v>2020</v>
      </c>
      <c r="DD1" s="477">
        <v>2021</v>
      </c>
      <c r="DE1" s="477">
        <v>2022</v>
      </c>
      <c r="DF1" s="477">
        <v>2023</v>
      </c>
      <c r="DG1" s="477">
        <v>2024</v>
      </c>
      <c r="DH1" s="477">
        <v>2025</v>
      </c>
      <c r="DI1" s="477" t="s">
        <v>217</v>
      </c>
      <c r="DJ1" s="477" t="s">
        <v>218</v>
      </c>
      <c r="DK1" s="477" t="s">
        <v>219</v>
      </c>
      <c r="DL1" s="477" t="s">
        <v>220</v>
      </c>
      <c r="DM1" s="477" t="s">
        <v>221</v>
      </c>
    </row>
    <row r="2" spans="1:117">
      <c r="A2" s="481" t="s">
        <v>565</v>
      </c>
      <c r="B2" s="481"/>
      <c r="C2" s="481"/>
      <c r="D2" s="481"/>
      <c r="E2" s="481"/>
      <c r="F2" s="481"/>
      <c r="G2" s="481"/>
      <c r="H2" s="481"/>
      <c r="I2" s="481"/>
      <c r="J2" s="481"/>
      <c r="K2" s="481"/>
      <c r="L2" s="481"/>
      <c r="M2" s="481"/>
      <c r="N2" s="481"/>
      <c r="O2" s="481"/>
      <c r="P2" s="481"/>
      <c r="Q2" s="481"/>
      <c r="R2" s="481"/>
      <c r="S2" s="481"/>
      <c r="T2" s="481"/>
      <c r="U2" s="481"/>
      <c r="V2" s="481"/>
      <c r="W2" s="481"/>
      <c r="X2" s="481"/>
      <c r="Y2" s="481"/>
      <c r="Z2" s="481"/>
      <c r="AA2" s="481"/>
      <c r="AB2" s="481"/>
      <c r="AC2" s="481"/>
      <c r="AD2" s="481"/>
      <c r="AE2" s="481"/>
      <c r="AF2" s="481"/>
      <c r="AG2" s="481"/>
      <c r="AH2" s="481"/>
      <c r="AI2" s="481"/>
      <c r="AJ2" s="481"/>
      <c r="AK2" s="481"/>
      <c r="AL2" s="481"/>
      <c r="AM2" s="481"/>
      <c r="AN2" s="481"/>
      <c r="AO2" s="481"/>
      <c r="AP2" s="481"/>
      <c r="AQ2" s="481"/>
      <c r="AR2" s="481"/>
      <c r="AS2" s="481"/>
      <c r="AT2" s="481"/>
      <c r="AU2" s="481"/>
      <c r="AV2" s="481"/>
      <c r="AW2" s="481"/>
      <c r="AX2" s="481"/>
      <c r="AY2" s="481"/>
      <c r="AZ2" s="481"/>
      <c r="BA2" s="481"/>
      <c r="BB2" s="481"/>
      <c r="BC2" s="481"/>
      <c r="BD2" s="481"/>
      <c r="BE2" s="481"/>
      <c r="BF2" s="481"/>
      <c r="BG2" s="481"/>
      <c r="BH2" s="481"/>
      <c r="BI2" s="481"/>
      <c r="BJ2" s="481"/>
      <c r="BK2" s="481"/>
      <c r="BL2" s="481"/>
      <c r="BM2" s="481"/>
      <c r="BN2" s="481"/>
      <c r="BO2" s="481"/>
      <c r="BP2" s="481"/>
      <c r="BQ2" s="481"/>
      <c r="BR2" s="481"/>
      <c r="BS2" s="481"/>
      <c r="BT2" s="481"/>
      <c r="BU2" s="481"/>
      <c r="BV2" s="481"/>
      <c r="BW2" s="481"/>
      <c r="BX2" s="481"/>
      <c r="BY2" s="481"/>
      <c r="BZ2" s="481"/>
      <c r="CA2" s="481"/>
      <c r="CB2" s="481"/>
      <c r="CC2" s="481"/>
      <c r="CD2" s="481"/>
      <c r="CE2" s="481"/>
      <c r="CF2" s="481"/>
      <c r="CG2" s="481"/>
      <c r="CH2" s="481"/>
      <c r="CI2" s="481"/>
      <c r="CJ2" s="481"/>
      <c r="CK2" s="481"/>
      <c r="CL2" s="481"/>
      <c r="CM2" s="481"/>
      <c r="CN2" s="481"/>
      <c r="CO2" s="481"/>
      <c r="CP2" s="482"/>
      <c r="CQ2" s="481">
        <f>CQ1</f>
        <v>2008</v>
      </c>
      <c r="CR2" s="481">
        <f t="shared" ref="CR2:DD2" si="0">CR1</f>
        <v>2009</v>
      </c>
      <c r="CS2" s="481">
        <f t="shared" si="0"/>
        <v>2010</v>
      </c>
      <c r="CT2" s="481">
        <f t="shared" si="0"/>
        <v>2011</v>
      </c>
      <c r="CU2" s="481">
        <f t="shared" si="0"/>
        <v>2012</v>
      </c>
      <c r="CV2" s="481">
        <f t="shared" si="0"/>
        <v>2013</v>
      </c>
      <c r="CW2" s="481">
        <f t="shared" si="0"/>
        <v>2014</v>
      </c>
      <c r="CX2" s="481">
        <f t="shared" si="0"/>
        <v>2015</v>
      </c>
      <c r="CY2" s="481">
        <f t="shared" si="0"/>
        <v>2016</v>
      </c>
      <c r="CZ2" s="477">
        <f t="shared" si="0"/>
        <v>2017</v>
      </c>
      <c r="DA2" s="477">
        <f t="shared" si="0"/>
        <v>2018</v>
      </c>
      <c r="DB2" s="477">
        <f t="shared" si="0"/>
        <v>2019</v>
      </c>
      <c r="DC2" s="477">
        <f t="shared" si="0"/>
        <v>2020</v>
      </c>
      <c r="DD2" s="477">
        <f t="shared" si="0"/>
        <v>2021</v>
      </c>
      <c r="DE2" s="477">
        <f>DE1</f>
        <v>2022</v>
      </c>
      <c r="DF2" s="477">
        <v>2023</v>
      </c>
      <c r="DG2" s="477">
        <v>2024</v>
      </c>
      <c r="DH2" s="477">
        <v>2025</v>
      </c>
      <c r="DI2" s="477" t="s">
        <v>217</v>
      </c>
      <c r="DJ2" s="477" t="s">
        <v>218</v>
      </c>
      <c r="DK2" s="477" t="s">
        <v>219</v>
      </c>
      <c r="DL2" s="477" t="s">
        <v>220</v>
      </c>
      <c r="DM2" s="477" t="s">
        <v>221</v>
      </c>
    </row>
    <row r="3" spans="1:117" s="484" customFormat="1">
      <c r="A3" s="746" t="s">
        <v>566</v>
      </c>
      <c r="V3" s="484">
        <v>165.01887888469358</v>
      </c>
      <c r="W3" s="484">
        <v>210.58379320360152</v>
      </c>
      <c r="X3" s="484">
        <v>255.65611385419695</v>
      </c>
      <c r="Y3" s="484">
        <v>216.74121405750799</v>
      </c>
      <c r="Z3" s="484">
        <v>272.20768601798852</v>
      </c>
      <c r="AA3" s="484">
        <v>325.13695829926405</v>
      </c>
      <c r="AB3" s="484">
        <v>347.31684382665577</v>
      </c>
      <c r="AC3" s="484">
        <v>288.33851185609154</v>
      </c>
      <c r="AD3" s="484">
        <v>170.85876198779425</v>
      </c>
      <c r="AE3" s="484">
        <v>237.94681778552749</v>
      </c>
      <c r="AF3" s="484">
        <v>234.41586748038361</v>
      </c>
      <c r="AG3" s="484">
        <v>256.77855274629468</v>
      </c>
      <c r="AH3" s="484">
        <v>832.32087446245464</v>
      </c>
      <c r="AI3" s="484">
        <v>1207.8889026338084</v>
      </c>
      <c r="AJ3" s="484">
        <v>1299.6630448561316</v>
      </c>
      <c r="AK3" s="484">
        <v>1415.4396550442932</v>
      </c>
      <c r="AL3" s="484">
        <v>1124.4986191607811</v>
      </c>
      <c r="AM3" s="484">
        <v>1511.2149632031778</v>
      </c>
      <c r="AN3" s="484">
        <v>1606.6855606386443</v>
      </c>
      <c r="AO3" s="484">
        <v>1834.4856570511186</v>
      </c>
      <c r="AP3" s="484">
        <v>2062.013907640217</v>
      </c>
      <c r="AQ3" s="484">
        <v>2229.8786261939858</v>
      </c>
      <c r="AR3" s="484">
        <v>1910.7844314656504</v>
      </c>
      <c r="AS3" s="484">
        <v>2358.4236809423678</v>
      </c>
      <c r="AT3" s="484">
        <v>2388.3808031650669</v>
      </c>
      <c r="AU3" s="484">
        <v>2319.9156423246127</v>
      </c>
      <c r="AV3" s="484">
        <v>2971.2124287812389</v>
      </c>
      <c r="AW3" s="484">
        <v>3459.2461393875519</v>
      </c>
      <c r="AX3" s="484">
        <v>1949.6501861445979</v>
      </c>
      <c r="AY3" s="484">
        <v>2376.0014704028217</v>
      </c>
      <c r="AZ3" s="484">
        <v>3522.8756495405705</v>
      </c>
      <c r="BA3" s="484">
        <v>4739.4315044543055</v>
      </c>
      <c r="BB3" s="484">
        <v>3682.3764096074806</v>
      </c>
      <c r="BC3" s="484">
        <v>4275.2037908270277</v>
      </c>
      <c r="BD3" s="484">
        <v>4855.5228763850855</v>
      </c>
      <c r="BE3" s="484">
        <v>5421.3586722298387</v>
      </c>
      <c r="BF3" s="484">
        <v>6301.6078977173684</v>
      </c>
      <c r="BG3" s="484">
        <v>6464.8572363571138</v>
      </c>
      <c r="BH3" s="484">
        <v>6897.2845575292495</v>
      </c>
      <c r="BI3" s="484">
        <v>7080.2522151619987</v>
      </c>
      <c r="BJ3" s="484">
        <v>6759.6645618269858</v>
      </c>
      <c r="BK3" s="484">
        <v>5384.9753188785453</v>
      </c>
      <c r="BL3" s="484">
        <v>5843.2050665280258</v>
      </c>
      <c r="BM3" s="484">
        <v>6906.0291426224749</v>
      </c>
      <c r="BN3" s="484">
        <v>8719.8312792173147</v>
      </c>
      <c r="BO3" s="484">
        <v>10257.925666322886</v>
      </c>
      <c r="BP3" s="484">
        <v>13314.716179345964</v>
      </c>
      <c r="BQ3" s="484">
        <v>16302.048402308536</v>
      </c>
      <c r="BR3" s="484">
        <v>17611.715788653368</v>
      </c>
      <c r="BS3" s="484">
        <v>22776.512094763093</v>
      </c>
      <c r="BT3" s="484">
        <v>24853.176995012469</v>
      </c>
      <c r="BU3" s="484">
        <v>27932.595121571074</v>
      </c>
      <c r="BV3" s="484">
        <v>32592.785057123514</v>
      </c>
      <c r="BW3" s="747">
        <v>39018.163823808878</v>
      </c>
      <c r="BX3" s="747">
        <v>39221.226056842759</v>
      </c>
      <c r="BY3" s="747">
        <v>40020.825062224838</v>
      </c>
      <c r="BZ3" s="747">
        <v>35812.460389541528</v>
      </c>
      <c r="CA3" s="747">
        <v>42872.569618207403</v>
      </c>
      <c r="CB3" s="747">
        <v>43095.691335617928</v>
      </c>
      <c r="CC3" s="747">
        <v>43974.278656633142</v>
      </c>
      <c r="CD3" s="747">
        <v>37750.271962247018</v>
      </c>
      <c r="CE3" s="747">
        <v>45192.403571365394</v>
      </c>
      <c r="CF3" s="747">
        <v>45427.598400799419</v>
      </c>
      <c r="CG3" s="747">
        <v>46353.726065588169</v>
      </c>
      <c r="CH3" s="747">
        <v>39637.785560359371</v>
      </c>
      <c r="CI3" s="747">
        <v>47452.023749933658</v>
      </c>
      <c r="CJ3" s="747">
        <v>47698.978320839386</v>
      </c>
      <c r="CK3" s="747">
        <v>48671.412368867575</v>
      </c>
      <c r="CL3" s="747">
        <v>41619.67483837733</v>
      </c>
      <c r="CM3" s="747">
        <v>49824.624937430337</v>
      </c>
      <c r="CN3" s="747">
        <v>50083.927236881354</v>
      </c>
      <c r="CO3" s="747">
        <v>51104.982987310956</v>
      </c>
      <c r="CQ3" s="484">
        <f t="shared" ref="CQ3:CQ9" si="1">SUM(B3:E3)</f>
        <v>0</v>
      </c>
      <c r="CR3" s="484">
        <f t="shared" ref="CR3:CR9" si="2">SUM(F3:I3)</f>
        <v>0</v>
      </c>
      <c r="CS3" s="484">
        <f t="shared" ref="CS3:CS9" si="3">SUM(J3:M3)</f>
        <v>0</v>
      </c>
      <c r="CT3" s="484">
        <f t="shared" ref="CT3:CT9" si="4">SUM(N3:Q3)</f>
        <v>0</v>
      </c>
      <c r="CU3" s="484">
        <f t="shared" ref="CU3:CU9" si="5">SUM(R3:U3)</f>
        <v>0</v>
      </c>
      <c r="CV3" s="484">
        <f t="shared" ref="CV3:CV9" si="6">SUM(V3:Y3)</f>
        <v>848</v>
      </c>
      <c r="CW3" s="484">
        <f>SUM(Z3:AC3)</f>
        <v>1233</v>
      </c>
      <c r="CX3" s="484">
        <f>SUM(AD3:AG3)</f>
        <v>900</v>
      </c>
      <c r="CY3" s="484">
        <f>SUM(AH3:AK3)</f>
        <v>4755.312476996688</v>
      </c>
      <c r="CZ3" s="484">
        <f>SUM(AL3:AO3)</f>
        <v>6076.8848000537218</v>
      </c>
      <c r="DA3" s="484">
        <f>SUM(AP3:AS3)</f>
        <v>8561.100646242221</v>
      </c>
      <c r="DB3" s="484">
        <f>SUM(AT3:AW3)</f>
        <v>11138.755013658469</v>
      </c>
      <c r="DC3" s="484">
        <f>SUM(AX3:BA3)</f>
        <v>12587.958810542295</v>
      </c>
      <c r="DD3" s="484">
        <f>SUM(BB3:BE3)</f>
        <v>18234.461749049431</v>
      </c>
      <c r="DE3" s="484">
        <f>SUM(BF3:BI3)</f>
        <v>26744.00190676573</v>
      </c>
      <c r="DF3" s="484">
        <f>SUM(BJ3:BM3)</f>
        <v>24893.874089856032</v>
      </c>
      <c r="DG3" s="484">
        <f>SUM(BN3:BQ3)</f>
        <v>48594.521527194702</v>
      </c>
      <c r="DH3" s="484">
        <f>SUM(BR3:BU3)</f>
        <v>93174</v>
      </c>
      <c r="DI3" s="484">
        <f>SUM(BV3:BY3)</f>
        <v>150853</v>
      </c>
      <c r="DJ3" s="484">
        <f>SUM(BZ3:CC3)</f>
        <v>165755</v>
      </c>
      <c r="DK3" s="484">
        <f>SUM(CD3:CG3)</f>
        <v>174724</v>
      </c>
      <c r="DL3" s="484">
        <f>SUM(CH3:CK3)</f>
        <v>183460.19999999998</v>
      </c>
      <c r="DM3" s="484">
        <f>SUM(CL3:CO3)</f>
        <v>192633.20999999996</v>
      </c>
    </row>
    <row r="4" spans="1:117" s="484" customFormat="1">
      <c r="A4" s="746" t="s">
        <v>567</v>
      </c>
      <c r="N4" s="484">
        <v>153</v>
      </c>
      <c r="O4" s="484">
        <v>132</v>
      </c>
      <c r="P4" s="484">
        <v>321</v>
      </c>
      <c r="Q4" s="484">
        <v>185</v>
      </c>
      <c r="R4" s="484">
        <v>453</v>
      </c>
      <c r="S4" s="484">
        <v>413</v>
      </c>
      <c r="T4" s="484">
        <v>171</v>
      </c>
      <c r="U4" s="484">
        <v>198</v>
      </c>
      <c r="V4" s="484">
        <v>327</v>
      </c>
      <c r="W4" s="484">
        <v>268</v>
      </c>
      <c r="X4" s="484">
        <v>284</v>
      </c>
      <c r="Y4" s="484">
        <v>483</v>
      </c>
      <c r="Z4" s="484">
        <v>363</v>
      </c>
      <c r="AA4" s="484">
        <v>469</v>
      </c>
      <c r="AB4" s="484">
        <v>482</v>
      </c>
      <c r="AC4" s="484">
        <v>517</v>
      </c>
      <c r="AD4" s="484">
        <v>502</v>
      </c>
      <c r="AE4" s="484">
        <v>549</v>
      </c>
      <c r="AF4" s="484">
        <v>780</v>
      </c>
      <c r="AG4" s="484">
        <v>692</v>
      </c>
      <c r="AH4" s="484">
        <v>1132</v>
      </c>
      <c r="AI4" s="484">
        <v>995</v>
      </c>
      <c r="AJ4" s="484">
        <v>1095</v>
      </c>
      <c r="AK4" s="484">
        <v>1269</v>
      </c>
      <c r="AL4" s="484">
        <v>1271</v>
      </c>
      <c r="AM4" s="484">
        <v>1444</v>
      </c>
      <c r="AN4" s="484">
        <v>1755</v>
      </c>
      <c r="AO4" s="484">
        <v>2262</v>
      </c>
      <c r="AP4" s="484">
        <v>2812</v>
      </c>
      <c r="AQ4" s="484">
        <v>3459</v>
      </c>
      <c r="AR4" s="484">
        <v>3343</v>
      </c>
      <c r="AS4" s="484">
        <v>4366</v>
      </c>
      <c r="AT4" s="484">
        <v>3837</v>
      </c>
      <c r="AU4" s="484">
        <v>3633</v>
      </c>
      <c r="AV4" s="484">
        <v>3532</v>
      </c>
      <c r="AW4" s="484">
        <v>4100</v>
      </c>
      <c r="AX4" s="484">
        <v>3558</v>
      </c>
      <c r="AY4" s="484">
        <v>3255</v>
      </c>
      <c r="AZ4" s="484">
        <v>3689</v>
      </c>
      <c r="BA4" s="484">
        <v>4613</v>
      </c>
      <c r="BB4" s="484">
        <v>4272</v>
      </c>
      <c r="BC4" s="484">
        <v>4612</v>
      </c>
      <c r="BD4" s="484">
        <v>4313</v>
      </c>
      <c r="BE4" s="484">
        <v>5370</v>
      </c>
      <c r="BF4" s="484">
        <v>5315</v>
      </c>
      <c r="BG4" s="484">
        <v>7528</v>
      </c>
      <c r="BH4" s="484">
        <v>9355</v>
      </c>
      <c r="BI4" s="484">
        <v>8988</v>
      </c>
      <c r="BJ4" s="484">
        <v>6823</v>
      </c>
      <c r="BK4" s="484">
        <v>6134</v>
      </c>
      <c r="BL4" s="484">
        <v>6496</v>
      </c>
      <c r="BM4" s="484">
        <v>7592</v>
      </c>
      <c r="BN4" s="484">
        <v>6400</v>
      </c>
      <c r="BO4" s="484">
        <v>8173</v>
      </c>
      <c r="BP4" s="484">
        <v>8258</v>
      </c>
      <c r="BQ4" s="484">
        <v>14425</v>
      </c>
      <c r="BR4" s="484">
        <v>12941</v>
      </c>
      <c r="BS4" s="484">
        <v>16538</v>
      </c>
      <c r="BT4" s="484">
        <v>18829</v>
      </c>
      <c r="BU4" s="484">
        <v>21383</v>
      </c>
      <c r="BV4" s="484">
        <v>18997</v>
      </c>
      <c r="BW4" s="747">
        <v>37128.69</v>
      </c>
      <c r="BX4" s="747">
        <v>39088.982400000001</v>
      </c>
      <c r="BY4" s="747">
        <v>40369.033199999998</v>
      </c>
      <c r="BZ4" s="747">
        <v>23478.655999999999</v>
      </c>
      <c r="CA4" s="747">
        <v>45297.001799999998</v>
      </c>
      <c r="CB4" s="747">
        <v>47688.558528000001</v>
      </c>
      <c r="CC4" s="747">
        <v>49250.220503999997</v>
      </c>
      <c r="CD4" s="747">
        <v>26296.094720000001</v>
      </c>
      <c r="CE4" s="747">
        <v>50732.642015999998</v>
      </c>
      <c r="CF4" s="747">
        <v>53411.185551360002</v>
      </c>
      <c r="CG4" s="747">
        <v>55160.24696448</v>
      </c>
      <c r="CH4" s="747">
        <v>27873.8604032</v>
      </c>
      <c r="CI4" s="747">
        <v>53776.600536960003</v>
      </c>
      <c r="CJ4" s="747">
        <v>56615.856684441598</v>
      </c>
      <c r="CK4" s="747">
        <v>58469.861782348802</v>
      </c>
      <c r="CL4" s="747">
        <v>29546.292027391999</v>
      </c>
      <c r="CM4" s="747">
        <v>57003.196569177599</v>
      </c>
      <c r="CN4" s="747">
        <v>60012.808085508099</v>
      </c>
      <c r="CO4" s="747">
        <v>61978.053489289698</v>
      </c>
      <c r="CQ4" s="484">
        <f t="shared" si="1"/>
        <v>0</v>
      </c>
      <c r="CR4" s="484">
        <f t="shared" si="2"/>
        <v>0</v>
      </c>
      <c r="CS4" s="484">
        <f t="shared" si="3"/>
        <v>0</v>
      </c>
      <c r="CT4" s="484">
        <f t="shared" si="4"/>
        <v>791</v>
      </c>
      <c r="CU4" s="484">
        <f t="shared" si="5"/>
        <v>1235</v>
      </c>
      <c r="CV4" s="484">
        <f t="shared" si="6"/>
        <v>1362</v>
      </c>
      <c r="CW4" s="484">
        <f t="shared" ref="CW4:CW9" si="7">SUM(Z4:AC4)</f>
        <v>1831</v>
      </c>
      <c r="CX4" s="484">
        <f t="shared" ref="CX4:CX9" si="8">SUM(AD4:AG4)</f>
        <v>2523</v>
      </c>
      <c r="CY4" s="484">
        <f t="shared" ref="CY4:CY9" si="9">SUM(AH4:AK4)</f>
        <v>4491</v>
      </c>
      <c r="CZ4" s="484">
        <f t="shared" ref="CZ4:CZ9" si="10">SUM(AL4:AO4)</f>
        <v>6732</v>
      </c>
      <c r="DA4" s="484">
        <f t="shared" ref="DA4:DA9" si="11">SUM(AP4:AS4)</f>
        <v>13980</v>
      </c>
      <c r="DB4" s="484">
        <f t="shared" ref="DB4:DB9" si="12">SUM(AT4:AW4)</f>
        <v>15102</v>
      </c>
      <c r="DC4" s="484">
        <f t="shared" ref="DC4:DC9" si="13">SUM(AX4:BA4)</f>
        <v>15115</v>
      </c>
      <c r="DD4" s="484">
        <f t="shared" ref="DD4:DD9" si="14">SUM(BB4:BE4)</f>
        <v>18567</v>
      </c>
      <c r="DE4" s="484">
        <f t="shared" ref="DE4:DE9" si="15">SUM(BF4:BI4)</f>
        <v>31186</v>
      </c>
      <c r="DF4" s="484">
        <f t="shared" ref="DF4:DF9" si="16">SUM(BJ4:BM4)</f>
        <v>27045</v>
      </c>
      <c r="DG4" s="484">
        <f t="shared" ref="DG4:DG9" si="17">SUM(BN4:BQ4)</f>
        <v>37256</v>
      </c>
      <c r="DH4" s="484">
        <f t="shared" ref="DH4:DH9" si="18">SUM(BR4:BU4)</f>
        <v>69691</v>
      </c>
      <c r="DI4" s="484">
        <f t="shared" ref="DI4:DI9" si="19">SUM(BV4:BY4)</f>
        <v>135583.70560000002</v>
      </c>
      <c r="DJ4" s="484">
        <f t="shared" ref="DJ4:DJ9" si="20">SUM(BZ4:CC4)</f>
        <v>165714.43683200001</v>
      </c>
      <c r="DK4" s="484">
        <f t="shared" ref="DK4:DK9" si="21">SUM(CD4:CG4)</f>
        <v>185600.16925183998</v>
      </c>
      <c r="DL4" s="484">
        <f t="shared" ref="DL4:DL9" si="22">SUM(CH4:CK4)</f>
        <v>196736.1794069504</v>
      </c>
      <c r="DM4" s="484">
        <f t="shared" ref="DM4:DM9" si="23">SUM(CL4:CO4)</f>
        <v>208540.3501713674</v>
      </c>
    </row>
    <row r="5" spans="1:117" s="484" customFormat="1">
      <c r="A5" s="746" t="s">
        <v>568</v>
      </c>
      <c r="B5" s="484">
        <v>776.74391005785901</v>
      </c>
      <c r="C5" s="484">
        <v>643.76665067939609</v>
      </c>
      <c r="D5" s="484">
        <v>416.7103799358286</v>
      </c>
      <c r="E5" s="484">
        <v>339.49810521107264</v>
      </c>
      <c r="F5" s="484">
        <v>242.50721674061666</v>
      </c>
      <c r="G5" s="484">
        <v>128.69204689030224</v>
      </c>
      <c r="H5" s="484">
        <v>171.97979966215587</v>
      </c>
      <c r="I5" s="484">
        <v>204.29932818044443</v>
      </c>
      <c r="J5" s="484">
        <v>220.5827664592772</v>
      </c>
      <c r="K5" s="484">
        <v>439.3196520276818</v>
      </c>
      <c r="L5" s="484">
        <v>699.58885764072011</v>
      </c>
      <c r="M5" s="484">
        <v>2348.8834336353993</v>
      </c>
      <c r="N5" s="484">
        <v>821.41699643831259</v>
      </c>
      <c r="O5" s="484">
        <v>846.3363884650928</v>
      </c>
      <c r="P5" s="484">
        <v>627.59950289668825</v>
      </c>
      <c r="Q5" s="484">
        <v>877.71636360992727</v>
      </c>
      <c r="R5" s="484">
        <v>560.2248503798379</v>
      </c>
      <c r="S5" s="484">
        <v>714.35590476770108</v>
      </c>
      <c r="T5" s="484">
        <v>804.80406842045909</v>
      </c>
      <c r="U5" s="484">
        <v>941.39925434503243</v>
      </c>
      <c r="V5" s="484">
        <v>1110.2973558598765</v>
      </c>
      <c r="W5" s="484">
        <v>1486.8570575978895</v>
      </c>
      <c r="X5" s="484">
        <v>2112.6106796037052</v>
      </c>
      <c r="Y5" s="484">
        <v>2081.2307044588706</v>
      </c>
      <c r="Z5" s="484">
        <v>2345</v>
      </c>
      <c r="AA5" s="484">
        <v>2646</v>
      </c>
      <c r="AB5" s="484">
        <v>2417</v>
      </c>
      <c r="AC5" s="484">
        <v>3551</v>
      </c>
      <c r="AD5" s="484">
        <v>2927</v>
      </c>
      <c r="AE5" s="484">
        <v>2515</v>
      </c>
      <c r="AF5" s="484">
        <v>2373</v>
      </c>
      <c r="AG5" s="484">
        <v>2100</v>
      </c>
      <c r="AH5" s="484">
        <v>2428</v>
      </c>
      <c r="AI5" s="484">
        <v>2123</v>
      </c>
      <c r="AJ5" s="484">
        <v>2583</v>
      </c>
      <c r="AK5" s="484">
        <v>3078</v>
      </c>
      <c r="AL5" s="484">
        <v>2508</v>
      </c>
      <c r="AM5" s="484">
        <v>2831</v>
      </c>
      <c r="AN5" s="484">
        <v>3538</v>
      </c>
      <c r="AO5" s="484">
        <v>4307</v>
      </c>
      <c r="AP5" s="484">
        <v>7299</v>
      </c>
      <c r="AQ5" s="484">
        <v>5477</v>
      </c>
      <c r="AR5" s="484">
        <v>5282</v>
      </c>
      <c r="AS5" s="484">
        <v>7081</v>
      </c>
      <c r="AT5" s="484">
        <v>4638</v>
      </c>
      <c r="AU5" s="484">
        <v>6126</v>
      </c>
      <c r="AV5" s="484">
        <v>6732</v>
      </c>
      <c r="AW5" s="484">
        <v>6052</v>
      </c>
      <c r="AX5" s="484">
        <v>6005</v>
      </c>
      <c r="AY5" s="484">
        <v>5391</v>
      </c>
      <c r="AZ5" s="484">
        <v>5406</v>
      </c>
      <c r="BA5" s="484">
        <v>5479</v>
      </c>
      <c r="BB5" s="484">
        <v>5942</v>
      </c>
      <c r="BC5" s="484">
        <v>5496</v>
      </c>
      <c r="BD5" s="484">
        <v>6819</v>
      </c>
      <c r="BE5" s="484">
        <v>6383</v>
      </c>
      <c r="BF5" s="484">
        <v>9786</v>
      </c>
      <c r="BG5" s="484">
        <v>6828</v>
      </c>
      <c r="BH5" s="484">
        <v>7276</v>
      </c>
      <c r="BI5" s="484">
        <v>7595</v>
      </c>
      <c r="BJ5" s="484">
        <v>6289</v>
      </c>
      <c r="BK5" s="484">
        <v>6888</v>
      </c>
      <c r="BL5" s="484">
        <v>8055</v>
      </c>
      <c r="BM5" s="484">
        <v>11019</v>
      </c>
      <c r="BN5" s="484">
        <v>12012</v>
      </c>
      <c r="BO5" s="484">
        <v>13186</v>
      </c>
      <c r="BP5" s="484">
        <v>13061</v>
      </c>
      <c r="BQ5" s="484">
        <v>14276</v>
      </c>
      <c r="BR5" s="484">
        <v>17197</v>
      </c>
      <c r="BS5" s="484">
        <v>22446</v>
      </c>
      <c r="BT5" s="484">
        <v>23953</v>
      </c>
      <c r="BU5" s="484">
        <v>27851</v>
      </c>
      <c r="BV5" s="484">
        <v>35674</v>
      </c>
      <c r="BW5" s="747">
        <v>48932.28</v>
      </c>
      <c r="BX5" s="747">
        <v>49103.65</v>
      </c>
      <c r="BY5" s="747">
        <v>51524.35</v>
      </c>
      <c r="BZ5" s="747">
        <v>49943.6</v>
      </c>
      <c r="CA5" s="747">
        <v>68505.191999999995</v>
      </c>
      <c r="CB5" s="747">
        <v>68745.11</v>
      </c>
      <c r="CC5" s="747">
        <v>72134.09</v>
      </c>
      <c r="CD5" s="747">
        <v>54937.96</v>
      </c>
      <c r="CE5" s="747">
        <v>75355.711200000005</v>
      </c>
      <c r="CF5" s="747">
        <v>75619.620999999999</v>
      </c>
      <c r="CG5" s="747">
        <v>79347.498999999996</v>
      </c>
      <c r="CH5" s="747">
        <v>57684.858</v>
      </c>
      <c r="CI5" s="747">
        <v>79123.496759999995</v>
      </c>
      <c r="CJ5" s="747">
        <v>79400.602050000001</v>
      </c>
      <c r="CK5" s="747">
        <v>83314.873949999994</v>
      </c>
      <c r="CL5" s="747">
        <v>60569.100899999998</v>
      </c>
      <c r="CM5" s="747">
        <v>83079.671598000001</v>
      </c>
      <c r="CN5" s="747">
        <v>83370.632152499995</v>
      </c>
      <c r="CO5" s="747">
        <v>87480.617647499996</v>
      </c>
      <c r="CQ5" s="484">
        <f t="shared" si="1"/>
        <v>2176.7190458841565</v>
      </c>
      <c r="CR5" s="484">
        <f t="shared" si="2"/>
        <v>747.4783914735192</v>
      </c>
      <c r="CS5" s="484">
        <f t="shared" si="3"/>
        <v>3708.3747097630785</v>
      </c>
      <c r="CT5" s="484">
        <f t="shared" si="4"/>
        <v>3173.0692514100206</v>
      </c>
      <c r="CU5" s="484">
        <f t="shared" si="5"/>
        <v>3020.7840779130302</v>
      </c>
      <c r="CV5" s="484">
        <f t="shared" si="6"/>
        <v>6790.9957975203415</v>
      </c>
      <c r="CW5" s="484">
        <f t="shared" si="7"/>
        <v>10959</v>
      </c>
      <c r="CX5" s="484">
        <f t="shared" si="8"/>
        <v>9915</v>
      </c>
      <c r="CY5" s="484">
        <f t="shared" si="9"/>
        <v>10212</v>
      </c>
      <c r="CZ5" s="484">
        <f t="shared" si="10"/>
        <v>13184</v>
      </c>
      <c r="DA5" s="484">
        <f t="shared" si="11"/>
        <v>25139</v>
      </c>
      <c r="DB5" s="484">
        <f t="shared" si="12"/>
        <v>23548</v>
      </c>
      <c r="DC5" s="484">
        <f t="shared" si="13"/>
        <v>22281</v>
      </c>
      <c r="DD5" s="484">
        <f t="shared" si="14"/>
        <v>24640</v>
      </c>
      <c r="DE5" s="484">
        <f t="shared" si="15"/>
        <v>31485</v>
      </c>
      <c r="DF5" s="484">
        <f t="shared" si="16"/>
        <v>32251</v>
      </c>
      <c r="DG5" s="484">
        <f t="shared" si="17"/>
        <v>52535</v>
      </c>
      <c r="DH5" s="484">
        <f t="shared" si="18"/>
        <v>91447</v>
      </c>
      <c r="DI5" s="484">
        <f t="shared" si="19"/>
        <v>185234.28</v>
      </c>
      <c r="DJ5" s="484">
        <f t="shared" si="20"/>
        <v>259327.992</v>
      </c>
      <c r="DK5" s="484">
        <f t="shared" si="21"/>
        <v>285260.79120000004</v>
      </c>
      <c r="DL5" s="484">
        <f t="shared" si="22"/>
        <v>299523.83075999998</v>
      </c>
      <c r="DM5" s="484">
        <f t="shared" si="23"/>
        <v>314500.022298</v>
      </c>
    </row>
    <row r="6" spans="1:117" s="484" customFormat="1">
      <c r="A6" s="746" t="s">
        <v>569</v>
      </c>
      <c r="B6" s="484">
        <v>759</v>
      </c>
      <c r="C6" s="484">
        <v>1218</v>
      </c>
      <c r="D6" s="484">
        <v>778</v>
      </c>
      <c r="E6" s="484">
        <v>842</v>
      </c>
      <c r="F6" s="484">
        <v>632</v>
      </c>
      <c r="G6" s="484">
        <v>867</v>
      </c>
      <c r="H6" s="484">
        <v>435</v>
      </c>
      <c r="I6" s="484">
        <v>376</v>
      </c>
      <c r="J6" s="484">
        <v>408</v>
      </c>
      <c r="K6" s="484">
        <v>758</v>
      </c>
      <c r="L6" s="484">
        <v>564</v>
      </c>
      <c r="M6" s="484">
        <v>491</v>
      </c>
      <c r="N6" s="484">
        <v>658</v>
      </c>
      <c r="O6" s="484">
        <v>642</v>
      </c>
      <c r="P6" s="484">
        <v>436</v>
      </c>
      <c r="Q6" s="484">
        <v>498</v>
      </c>
      <c r="R6" s="484">
        <v>749</v>
      </c>
      <c r="S6" s="484">
        <v>622</v>
      </c>
      <c r="T6" s="484">
        <v>603</v>
      </c>
      <c r="U6" s="484">
        <v>930</v>
      </c>
      <c r="V6" s="484">
        <v>930</v>
      </c>
      <c r="W6" s="484">
        <v>1794</v>
      </c>
      <c r="X6" s="484">
        <v>1231</v>
      </c>
      <c r="Y6" s="484">
        <v>1732</v>
      </c>
      <c r="Z6" s="484">
        <v>1192</v>
      </c>
      <c r="AA6" s="484">
        <v>1330</v>
      </c>
      <c r="AB6" s="484">
        <v>1282</v>
      </c>
      <c r="AC6" s="484">
        <v>1490</v>
      </c>
      <c r="AD6" s="484">
        <v>1391</v>
      </c>
      <c r="AE6" s="484">
        <v>1781</v>
      </c>
      <c r="AF6" s="484">
        <v>1356</v>
      </c>
      <c r="AG6" s="484">
        <v>2024</v>
      </c>
      <c r="AH6" s="484">
        <v>2300</v>
      </c>
      <c r="AI6" s="484">
        <v>3100</v>
      </c>
      <c r="AJ6" s="484">
        <v>2300</v>
      </c>
      <c r="AK6" s="484">
        <v>2500</v>
      </c>
      <c r="AL6" s="484">
        <v>2100</v>
      </c>
      <c r="AM6" s="484">
        <v>3300</v>
      </c>
      <c r="AN6" s="484">
        <v>2700</v>
      </c>
      <c r="AO6" s="484">
        <v>3300</v>
      </c>
      <c r="AP6" s="484">
        <v>3500</v>
      </c>
      <c r="AQ6" s="484">
        <v>4100</v>
      </c>
      <c r="AR6" s="484">
        <v>4300</v>
      </c>
      <c r="AS6" s="484">
        <v>3900</v>
      </c>
      <c r="AT6" s="484">
        <v>3400</v>
      </c>
      <c r="AU6" s="484">
        <v>5300</v>
      </c>
      <c r="AV6" s="484">
        <v>4800</v>
      </c>
      <c r="AW6" s="484">
        <v>4500</v>
      </c>
      <c r="AX6" s="484">
        <v>3900</v>
      </c>
      <c r="AY6" s="484">
        <v>5800</v>
      </c>
      <c r="AZ6" s="484">
        <v>5500</v>
      </c>
      <c r="BA6" s="484">
        <v>5400</v>
      </c>
      <c r="BB6" s="484">
        <v>6000</v>
      </c>
      <c r="BC6" s="484">
        <v>7300</v>
      </c>
      <c r="BD6" s="484">
        <v>7400</v>
      </c>
      <c r="BE6" s="484">
        <v>6800</v>
      </c>
      <c r="BF6" s="484">
        <v>6300</v>
      </c>
      <c r="BG6" s="484">
        <v>8700</v>
      </c>
      <c r="BH6" s="484">
        <v>6600</v>
      </c>
      <c r="BI6" s="484">
        <v>6800</v>
      </c>
      <c r="BJ6" s="484">
        <v>7800</v>
      </c>
      <c r="BK6" s="484">
        <v>10700</v>
      </c>
      <c r="BL6" s="484">
        <v>11200</v>
      </c>
      <c r="BM6" s="484">
        <v>11500</v>
      </c>
      <c r="BN6" s="484">
        <v>14000</v>
      </c>
      <c r="BO6" s="484">
        <v>19000</v>
      </c>
      <c r="BP6" s="484">
        <v>20000</v>
      </c>
      <c r="BQ6" s="484">
        <v>22600</v>
      </c>
      <c r="BR6" s="484">
        <v>21400</v>
      </c>
      <c r="BS6" s="484">
        <v>24200</v>
      </c>
      <c r="BT6" s="484">
        <v>34900</v>
      </c>
      <c r="BU6" s="484">
        <v>37500</v>
      </c>
      <c r="BV6" s="484">
        <v>31900</v>
      </c>
      <c r="BW6" s="747">
        <v>41571.299999999996</v>
      </c>
      <c r="BX6" s="747">
        <v>57165.2</v>
      </c>
      <c r="BY6" s="747">
        <v>60797.599999999991</v>
      </c>
      <c r="BZ6" s="747">
        <v>60023.6</v>
      </c>
      <c r="CA6" s="747">
        <v>67277.054999999993</v>
      </c>
      <c r="CB6" s="747">
        <v>67060.850000000006</v>
      </c>
      <c r="CC6" s="747">
        <v>69506.459999999992</v>
      </c>
      <c r="CD6" s="747">
        <v>69768</v>
      </c>
      <c r="CE6" s="747">
        <v>80425.035749999995</v>
      </c>
      <c r="CF6" s="747">
        <v>70376.005000000005</v>
      </c>
      <c r="CG6" s="747">
        <v>72168.422399999996</v>
      </c>
      <c r="CH6" s="747">
        <v>73450.771199999988</v>
      </c>
      <c r="CI6" s="747">
        <v>84215.714850000004</v>
      </c>
      <c r="CJ6" s="747">
        <v>70729.937250000003</v>
      </c>
      <c r="CK6" s="747">
        <v>72878.289120000001</v>
      </c>
      <c r="CL6" s="747">
        <v>75224.64095999999</v>
      </c>
      <c r="CM6" s="747">
        <v>85783.176832500001</v>
      </c>
      <c r="CN6" s="747"/>
      <c r="CO6" s="747"/>
      <c r="CQ6" s="484">
        <f t="shared" si="1"/>
        <v>3597</v>
      </c>
      <c r="CR6" s="484">
        <f t="shared" si="2"/>
        <v>2310</v>
      </c>
      <c r="CS6" s="484">
        <f t="shared" si="3"/>
        <v>2221</v>
      </c>
      <c r="CT6" s="484">
        <f t="shared" si="4"/>
        <v>2234</v>
      </c>
      <c r="CU6" s="484">
        <f t="shared" si="5"/>
        <v>2904</v>
      </c>
      <c r="CV6" s="484">
        <f t="shared" si="6"/>
        <v>5687</v>
      </c>
      <c r="CW6" s="484">
        <f t="shared" si="7"/>
        <v>5294</v>
      </c>
      <c r="CX6" s="484">
        <f t="shared" si="8"/>
        <v>6552</v>
      </c>
      <c r="CY6" s="484">
        <f t="shared" si="9"/>
        <v>10200</v>
      </c>
      <c r="CZ6" s="484">
        <f t="shared" si="10"/>
        <v>11400</v>
      </c>
      <c r="DA6" s="484">
        <f t="shared" si="11"/>
        <v>15800</v>
      </c>
      <c r="DB6" s="484">
        <f t="shared" si="12"/>
        <v>18000</v>
      </c>
      <c r="DC6" s="484">
        <f t="shared" si="13"/>
        <v>20600</v>
      </c>
      <c r="DD6" s="484">
        <f t="shared" si="14"/>
        <v>27500</v>
      </c>
      <c r="DE6" s="484">
        <f t="shared" si="15"/>
        <v>28400</v>
      </c>
      <c r="DF6" s="484">
        <f t="shared" si="16"/>
        <v>41200</v>
      </c>
      <c r="DG6" s="484">
        <f t="shared" si="17"/>
        <v>75600</v>
      </c>
      <c r="DH6" s="484">
        <f t="shared" si="18"/>
        <v>118000</v>
      </c>
      <c r="DI6" s="484">
        <f t="shared" si="19"/>
        <v>191434.09999999998</v>
      </c>
      <c r="DJ6" s="484">
        <f t="shared" si="20"/>
        <v>263867.96499999997</v>
      </c>
      <c r="DK6" s="484">
        <f t="shared" si="21"/>
        <v>292737.46314999997</v>
      </c>
      <c r="DL6" s="484">
        <f t="shared" si="22"/>
        <v>301274.71242</v>
      </c>
      <c r="DM6" s="484">
        <f t="shared" si="23"/>
        <v>161007.81779249999</v>
      </c>
    </row>
    <row r="7" spans="1:117" s="484" customFormat="1">
      <c r="A7" s="746" t="s">
        <v>570</v>
      </c>
      <c r="B7" s="484">
        <v>39</v>
      </c>
      <c r="C7" s="484">
        <v>48</v>
      </c>
      <c r="D7" s="484">
        <v>323</v>
      </c>
      <c r="E7" s="484">
        <v>76</v>
      </c>
      <c r="F7" s="484">
        <v>92</v>
      </c>
      <c r="G7" s="484">
        <v>38</v>
      </c>
      <c r="H7" s="484">
        <v>55</v>
      </c>
      <c r="I7" s="484">
        <v>45</v>
      </c>
      <c r="J7" s="484">
        <v>61</v>
      </c>
      <c r="K7" s="484">
        <v>69</v>
      </c>
      <c r="L7" s="484">
        <v>118</v>
      </c>
      <c r="M7" s="484">
        <v>121</v>
      </c>
      <c r="N7" s="484">
        <v>133</v>
      </c>
      <c r="O7" s="484">
        <v>78</v>
      </c>
      <c r="P7" s="484">
        <v>160</v>
      </c>
      <c r="Q7" s="484">
        <v>129</v>
      </c>
      <c r="R7" s="484">
        <v>142</v>
      </c>
      <c r="S7" s="484">
        <v>217</v>
      </c>
      <c r="T7" s="484">
        <v>139</v>
      </c>
      <c r="U7" s="484">
        <v>212</v>
      </c>
      <c r="V7" s="484">
        <v>116</v>
      </c>
      <c r="W7" s="484">
        <v>183</v>
      </c>
      <c r="X7" s="484">
        <v>153</v>
      </c>
      <c r="Y7" s="484">
        <v>126</v>
      </c>
      <c r="Z7" s="484">
        <v>147</v>
      </c>
      <c r="AA7" s="484">
        <v>154</v>
      </c>
      <c r="AB7" s="484">
        <v>201</v>
      </c>
      <c r="AC7" s="484">
        <v>225</v>
      </c>
      <c r="AD7" s="484">
        <v>368</v>
      </c>
      <c r="AE7" s="484">
        <v>597</v>
      </c>
      <c r="AF7" s="484">
        <v>446</v>
      </c>
      <c r="AG7" s="484">
        <v>195</v>
      </c>
      <c r="AH7" s="484">
        <v>368</v>
      </c>
      <c r="AI7" s="484">
        <v>180</v>
      </c>
      <c r="AJ7" s="484">
        <v>299</v>
      </c>
      <c r="AK7" s="484">
        <v>757</v>
      </c>
      <c r="AL7" s="484">
        <v>440</v>
      </c>
      <c r="AM7" s="484">
        <v>525</v>
      </c>
      <c r="AN7" s="484">
        <v>473</v>
      </c>
      <c r="AO7" s="484">
        <v>599</v>
      </c>
      <c r="AP7" s="484">
        <v>286</v>
      </c>
      <c r="AQ7" s="484">
        <v>378</v>
      </c>
      <c r="AR7" s="484">
        <v>383</v>
      </c>
      <c r="AS7" s="484">
        <v>421</v>
      </c>
      <c r="AT7" s="484">
        <v>443</v>
      </c>
      <c r="AU7" s="484">
        <v>413</v>
      </c>
      <c r="AV7" s="484">
        <v>386</v>
      </c>
      <c r="AW7" s="484">
        <v>349</v>
      </c>
      <c r="AX7" s="484">
        <v>396</v>
      </c>
      <c r="AY7" s="484">
        <v>433</v>
      </c>
      <c r="AZ7" s="484">
        <v>436</v>
      </c>
      <c r="BA7" s="484">
        <v>568</v>
      </c>
      <c r="BB7" s="484">
        <v>414</v>
      </c>
      <c r="BC7" s="484">
        <v>717</v>
      </c>
      <c r="BD7" s="484">
        <v>1062</v>
      </c>
      <c r="BE7" s="484">
        <v>925</v>
      </c>
      <c r="BF7" s="484">
        <v>1101</v>
      </c>
      <c r="BG7" s="484">
        <v>1423</v>
      </c>
      <c r="BH7" s="484">
        <v>1719</v>
      </c>
      <c r="BI7" s="484">
        <v>2435</v>
      </c>
      <c r="BJ7" s="484">
        <v>2628</v>
      </c>
      <c r="BK7" s="484">
        <v>1913</v>
      </c>
      <c r="BL7" s="484">
        <v>1314</v>
      </c>
      <c r="BM7" s="484">
        <v>1080</v>
      </c>
      <c r="BN7" s="484">
        <v>1674</v>
      </c>
      <c r="BO7" s="484">
        <v>2798</v>
      </c>
      <c r="BP7" s="484">
        <v>2303</v>
      </c>
      <c r="BQ7" s="484">
        <v>3970</v>
      </c>
      <c r="BR7" s="484">
        <v>5862</v>
      </c>
      <c r="BS7" s="484">
        <v>9080</v>
      </c>
      <c r="BT7" s="484">
        <v>8502</v>
      </c>
      <c r="BU7" s="484">
        <v>12033</v>
      </c>
      <c r="BV7" s="484">
        <v>18635</v>
      </c>
      <c r="BW7" s="747">
        <v>12712</v>
      </c>
      <c r="BX7" s="747">
        <v>8544.51</v>
      </c>
      <c r="BY7" s="747">
        <v>12093.165000000001</v>
      </c>
      <c r="BZ7" s="747">
        <v>18728.174999999999</v>
      </c>
      <c r="CA7" s="747">
        <v>12775.56</v>
      </c>
      <c r="CB7" s="747">
        <v>11449.643400000001</v>
      </c>
      <c r="CC7" s="747">
        <v>16204.8411</v>
      </c>
      <c r="CD7" s="747">
        <v>25095.754499999999</v>
      </c>
      <c r="CE7" s="747">
        <v>17119.250400000001</v>
      </c>
      <c r="CF7" s="747">
        <v>16272.828000000001</v>
      </c>
      <c r="CG7" s="747">
        <v>16716.876</v>
      </c>
      <c r="CH7" s="747">
        <v>16829.802</v>
      </c>
      <c r="CI7" s="747">
        <v>17379.12</v>
      </c>
      <c r="CJ7" s="747"/>
      <c r="CK7" s="747"/>
      <c r="CL7" s="747"/>
      <c r="CM7" s="747"/>
      <c r="CN7" s="747"/>
      <c r="CO7" s="747"/>
      <c r="CQ7" s="484">
        <f t="shared" si="1"/>
        <v>486</v>
      </c>
      <c r="CR7" s="484">
        <f t="shared" si="2"/>
        <v>230</v>
      </c>
      <c r="CS7" s="484">
        <f t="shared" si="3"/>
        <v>369</v>
      </c>
      <c r="CT7" s="484">
        <f t="shared" si="4"/>
        <v>500</v>
      </c>
      <c r="CU7" s="484">
        <f t="shared" si="5"/>
        <v>710</v>
      </c>
      <c r="CV7" s="484">
        <f t="shared" si="6"/>
        <v>578</v>
      </c>
      <c r="CW7" s="484">
        <f t="shared" si="7"/>
        <v>727</v>
      </c>
      <c r="CX7" s="484">
        <f t="shared" si="8"/>
        <v>1606</v>
      </c>
      <c r="CY7" s="484">
        <f t="shared" si="9"/>
        <v>1604</v>
      </c>
      <c r="CZ7" s="484">
        <f t="shared" si="10"/>
        <v>2037</v>
      </c>
      <c r="DA7" s="484">
        <f t="shared" si="11"/>
        <v>1468</v>
      </c>
      <c r="DB7" s="484">
        <f t="shared" si="12"/>
        <v>1591</v>
      </c>
      <c r="DC7" s="484">
        <f t="shared" si="13"/>
        <v>1833</v>
      </c>
      <c r="DD7" s="484">
        <f t="shared" si="14"/>
        <v>3118</v>
      </c>
      <c r="DE7" s="484">
        <f t="shared" si="15"/>
        <v>6678</v>
      </c>
      <c r="DF7" s="484">
        <f t="shared" si="16"/>
        <v>6935</v>
      </c>
      <c r="DG7" s="484">
        <f t="shared" si="17"/>
        <v>10745</v>
      </c>
      <c r="DH7" s="484">
        <f t="shared" si="18"/>
        <v>35477</v>
      </c>
      <c r="DI7" s="484">
        <f t="shared" si="19"/>
        <v>51984.675000000003</v>
      </c>
      <c r="DJ7" s="484">
        <f t="shared" si="20"/>
        <v>59158.219499999999</v>
      </c>
      <c r="DK7" s="484">
        <f t="shared" si="21"/>
        <v>75204.708899999998</v>
      </c>
      <c r="DL7" s="484">
        <f t="shared" si="22"/>
        <v>34208.921999999999</v>
      </c>
      <c r="DM7" s="484">
        <f t="shared" si="23"/>
        <v>0</v>
      </c>
    </row>
    <row r="8" spans="1:117" s="484" customFormat="1">
      <c r="A8" s="746" t="s">
        <v>571</v>
      </c>
      <c r="B8" s="484">
        <v>24.177</v>
      </c>
      <c r="C8" s="484">
        <v>13.036</v>
      </c>
      <c r="D8" s="484">
        <v>11.614000000000001</v>
      </c>
      <c r="E8" s="484">
        <v>12.231999999999999</v>
      </c>
      <c r="F8" s="484">
        <v>13.428000000000001</v>
      </c>
      <c r="G8" s="484">
        <v>19.327999999999999</v>
      </c>
      <c r="H8" s="484">
        <v>14.089</v>
      </c>
      <c r="I8" s="484">
        <v>7.056</v>
      </c>
      <c r="J8" s="484">
        <v>12.19</v>
      </c>
      <c r="K8" s="484">
        <v>27.831</v>
      </c>
      <c r="L8" s="484">
        <v>20.79</v>
      </c>
      <c r="M8" s="484">
        <v>30.576000000000001</v>
      </c>
      <c r="N8" s="484">
        <v>27.314</v>
      </c>
      <c r="O8" s="484">
        <v>50.472999999999999</v>
      </c>
      <c r="P8" s="484">
        <v>41.332000000000001</v>
      </c>
      <c r="Q8" s="484">
        <v>44.601999999999997</v>
      </c>
      <c r="R8" s="484">
        <v>44.720999999999997</v>
      </c>
      <c r="S8" s="484">
        <v>29.303999999999998</v>
      </c>
      <c r="T8" s="484">
        <v>51.054000000000002</v>
      </c>
      <c r="U8" s="484">
        <v>50.521999999999998</v>
      </c>
      <c r="V8" s="484">
        <v>54.01</v>
      </c>
      <c r="W8" s="484">
        <v>102.54900000000001</v>
      </c>
      <c r="X8" s="484">
        <v>72.701999999999998</v>
      </c>
      <c r="Y8" s="484">
        <v>69.849000000000004</v>
      </c>
      <c r="Z8" s="484">
        <v>60.097999999999999</v>
      </c>
      <c r="AA8" s="484">
        <v>71.575999999999993</v>
      </c>
      <c r="AB8" s="484">
        <v>73.426000000000002</v>
      </c>
      <c r="AC8" s="484">
        <v>85.353999999999999</v>
      </c>
      <c r="AD8" s="484">
        <v>71.087000000000003</v>
      </c>
      <c r="AE8" s="484">
        <v>64.882999999999996</v>
      </c>
      <c r="AF8" s="484">
        <v>80.040999999999997</v>
      </c>
      <c r="AG8" s="484">
        <v>68.465000000000003</v>
      </c>
      <c r="AH8" s="484">
        <v>83.301000000000002</v>
      </c>
      <c r="AI8" s="484">
        <v>96.03</v>
      </c>
      <c r="AJ8" s="484">
        <v>140.65299999999999</v>
      </c>
      <c r="AK8" s="484">
        <v>143.97399999999999</v>
      </c>
      <c r="AL8" s="484">
        <v>156.602</v>
      </c>
      <c r="AM8" s="484">
        <v>128.38800000000001</v>
      </c>
      <c r="AN8" s="484">
        <v>111.27800000000001</v>
      </c>
      <c r="AO8" s="484">
        <v>137.75899999999999</v>
      </c>
      <c r="AP8" s="484">
        <v>122</v>
      </c>
      <c r="AQ8" s="484">
        <v>170</v>
      </c>
      <c r="AR8" s="484">
        <v>136</v>
      </c>
      <c r="AS8" s="484">
        <v>167</v>
      </c>
      <c r="AT8" s="484">
        <v>159</v>
      </c>
      <c r="AU8" s="484">
        <v>178</v>
      </c>
      <c r="AV8" s="484">
        <v>170</v>
      </c>
      <c r="AW8" s="484">
        <v>136</v>
      </c>
      <c r="AX8" s="484">
        <v>323</v>
      </c>
      <c r="AY8" s="484">
        <v>114</v>
      </c>
      <c r="AZ8" s="484">
        <v>124</v>
      </c>
      <c r="BA8" s="484">
        <v>149</v>
      </c>
      <c r="BB8" s="484">
        <v>171</v>
      </c>
      <c r="BC8" s="484">
        <v>213</v>
      </c>
      <c r="BD8" s="484">
        <v>166</v>
      </c>
      <c r="BE8" s="484">
        <v>167</v>
      </c>
      <c r="BF8" s="484">
        <v>179</v>
      </c>
      <c r="BG8" s="484">
        <v>203</v>
      </c>
      <c r="BH8" s="484">
        <v>198</v>
      </c>
      <c r="BI8" s="484">
        <v>218</v>
      </c>
      <c r="BJ8" s="484">
        <v>243</v>
      </c>
      <c r="BK8" s="484">
        <v>180</v>
      </c>
      <c r="BL8" s="484">
        <v>166</v>
      </c>
      <c r="BM8" s="484">
        <v>147</v>
      </c>
      <c r="BN8" s="484">
        <v>163</v>
      </c>
      <c r="BO8" s="484">
        <v>137</v>
      </c>
      <c r="BP8" s="484">
        <v>204</v>
      </c>
      <c r="BQ8" s="484">
        <v>154</v>
      </c>
      <c r="BR8" s="484">
        <v>179</v>
      </c>
      <c r="BS8" s="484">
        <v>135</v>
      </c>
      <c r="BT8" s="484">
        <v>139</v>
      </c>
      <c r="BU8" s="484">
        <v>141</v>
      </c>
      <c r="BV8" s="484">
        <v>165.69614999999999</v>
      </c>
      <c r="BW8" s="747">
        <v>170.74965</v>
      </c>
      <c r="BX8" s="747">
        <v>171.64245</v>
      </c>
      <c r="BY8" s="747">
        <v>183.0342</v>
      </c>
      <c r="BZ8" s="747">
        <v>358.79082599999998</v>
      </c>
      <c r="CA8" s="747">
        <v>370.024944</v>
      </c>
      <c r="CB8" s="747">
        <v>373.55462999999997</v>
      </c>
      <c r="CC8" s="747">
        <v>398.32296600000001</v>
      </c>
      <c r="CD8" s="747">
        <v>250.77024072750004</v>
      </c>
      <c r="CE8" s="747">
        <v>258.95146426500003</v>
      </c>
      <c r="CF8" s="747">
        <v>259.48360423895002</v>
      </c>
      <c r="CG8" s="747">
        <v>277.62239925030008</v>
      </c>
      <c r="CH8" s="747"/>
      <c r="CI8" s="747"/>
      <c r="CJ8" s="747"/>
      <c r="CK8" s="747"/>
      <c r="CL8" s="747"/>
      <c r="CM8" s="747"/>
      <c r="CN8" s="747"/>
      <c r="CO8" s="747"/>
      <c r="CQ8" s="484">
        <f t="shared" si="1"/>
        <v>61.058999999999997</v>
      </c>
      <c r="CR8" s="484">
        <f t="shared" si="2"/>
        <v>53.900999999999996</v>
      </c>
      <c r="CS8" s="484">
        <f t="shared" si="3"/>
        <v>91.387</v>
      </c>
      <c r="CT8" s="484">
        <f t="shared" si="4"/>
        <v>163.721</v>
      </c>
      <c r="CU8" s="484">
        <f t="shared" si="5"/>
        <v>175.601</v>
      </c>
      <c r="CV8" s="484">
        <f t="shared" si="6"/>
        <v>299.11</v>
      </c>
      <c r="CW8" s="484">
        <f t="shared" si="7"/>
        <v>290.45399999999995</v>
      </c>
      <c r="CX8" s="484">
        <f t="shared" si="8"/>
        <v>284.476</v>
      </c>
      <c r="CY8" s="484">
        <f t="shared" si="9"/>
        <v>463.95800000000003</v>
      </c>
      <c r="CZ8" s="484">
        <f t="shared" si="10"/>
        <v>534.02700000000004</v>
      </c>
      <c r="DA8" s="484">
        <f t="shared" si="11"/>
        <v>595</v>
      </c>
      <c r="DB8" s="484">
        <f t="shared" si="12"/>
        <v>643</v>
      </c>
      <c r="DC8" s="484">
        <f t="shared" si="13"/>
        <v>710</v>
      </c>
      <c r="DD8" s="484">
        <f t="shared" si="14"/>
        <v>717</v>
      </c>
      <c r="DE8" s="484">
        <f t="shared" si="15"/>
        <v>798</v>
      </c>
      <c r="DF8" s="484">
        <f t="shared" si="16"/>
        <v>736</v>
      </c>
      <c r="DG8" s="484">
        <f t="shared" si="17"/>
        <v>658</v>
      </c>
      <c r="DH8" s="484">
        <f t="shared" si="18"/>
        <v>594</v>
      </c>
      <c r="DI8" s="484">
        <f t="shared" si="19"/>
        <v>691.12244999999996</v>
      </c>
      <c r="DJ8" s="484">
        <f t="shared" si="20"/>
        <v>1500.6933659999997</v>
      </c>
      <c r="DK8" s="484">
        <f t="shared" si="21"/>
        <v>1046.8277084817501</v>
      </c>
      <c r="DL8" s="484">
        <f t="shared" si="22"/>
        <v>0</v>
      </c>
      <c r="DM8" s="484">
        <f t="shared" si="23"/>
        <v>0</v>
      </c>
    </row>
    <row r="9" spans="1:117" s="484" customFormat="1">
      <c r="A9" s="746" t="s">
        <v>572</v>
      </c>
      <c r="B9" s="484">
        <v>10.598864735871196</v>
      </c>
      <c r="C9" s="484">
        <v>7.5496014427751295</v>
      </c>
      <c r="D9" s="484">
        <v>5.6906207509314752</v>
      </c>
      <c r="E9" s="484">
        <v>4.1058062762302301</v>
      </c>
      <c r="F9" s="484">
        <v>3.1748337974924086</v>
      </c>
      <c r="G9" s="484">
        <v>6.2202379197872846</v>
      </c>
      <c r="H9" s="484">
        <v>9.8671093562353978</v>
      </c>
      <c r="I9" s="484">
        <v>11.138565577293511</v>
      </c>
      <c r="J9" s="484">
        <v>54.466725985148173</v>
      </c>
      <c r="K9" s="484">
        <v>87.069688524863111</v>
      </c>
      <c r="L9" s="484">
        <v>99.826737878998827</v>
      </c>
      <c r="M9" s="484">
        <v>105.73828970425518</v>
      </c>
      <c r="N9" s="484">
        <v>143.03060091841132</v>
      </c>
      <c r="O9" s="484">
        <v>169.99483216830626</v>
      </c>
      <c r="P9" s="484">
        <v>208.29088490951352</v>
      </c>
      <c r="Q9" s="484">
        <v>225.97624688144697</v>
      </c>
      <c r="R9" s="484">
        <v>103.87630110382128</v>
      </c>
      <c r="S9" s="484">
        <v>177.33831667026408</v>
      </c>
      <c r="T9" s="484">
        <v>160.41792457155768</v>
      </c>
      <c r="U9" s="484">
        <v>204.47876148507208</v>
      </c>
      <c r="V9" s="484">
        <v>136.75234516070535</v>
      </c>
      <c r="W9" s="484">
        <v>182.58816503788975</v>
      </c>
      <c r="X9" s="484">
        <v>218.63318900454141</v>
      </c>
      <c r="Y9" s="484">
        <v>241.08817744759125</v>
      </c>
      <c r="Z9" s="484">
        <v>202.91217174886782</v>
      </c>
      <c r="AA9" s="484">
        <v>165.99898127716256</v>
      </c>
      <c r="AB9" s="484">
        <v>232.69141876132045</v>
      </c>
      <c r="AC9" s="484">
        <v>285.02509155919853</v>
      </c>
      <c r="AD9" s="484">
        <v>235.17228403161926</v>
      </c>
      <c r="AE9" s="484">
        <v>347.31983346894395</v>
      </c>
      <c r="AF9" s="484">
        <v>390.0826993601479</v>
      </c>
      <c r="AG9" s="484">
        <v>418.9570774701138</v>
      </c>
      <c r="AH9" s="484">
        <v>407.84210351018339</v>
      </c>
      <c r="AI9" s="484">
        <v>343.63759296987428</v>
      </c>
      <c r="AJ9" s="484">
        <v>526.97642160858686</v>
      </c>
      <c r="AK9" s="484">
        <v>641.3450552888155</v>
      </c>
      <c r="AL9" s="484">
        <v>489.08480279700962</v>
      </c>
      <c r="AM9" s="484">
        <v>522.01505632588089</v>
      </c>
      <c r="AN9" s="484">
        <v>697.00083704284214</v>
      </c>
      <c r="AO9" s="484">
        <v>1051.7806302433978</v>
      </c>
      <c r="AP9" s="484">
        <v>1323.1289912465131</v>
      </c>
      <c r="AQ9" s="484">
        <v>1587.0970098814369</v>
      </c>
      <c r="AR9" s="484">
        <v>1809.9679997080698</v>
      </c>
      <c r="AS9" s="484">
        <v>1600.8022023393755</v>
      </c>
      <c r="AT9" s="484">
        <v>1254.6861295447538</v>
      </c>
      <c r="AU9" s="484">
        <v>1012.5754870505127</v>
      </c>
      <c r="AV9" s="484">
        <v>1563.138047510779</v>
      </c>
      <c r="AW9" s="484">
        <v>1920.2690474871515</v>
      </c>
      <c r="AX9" s="484">
        <v>1772.4658154120843</v>
      </c>
      <c r="AY9" s="484">
        <v>1623.586002877882</v>
      </c>
      <c r="AZ9" s="484">
        <v>2241.9699684385687</v>
      </c>
      <c r="BA9" s="484">
        <v>1888.3652081748498</v>
      </c>
      <c r="BB9" s="484">
        <v>1780.8610415716394</v>
      </c>
      <c r="BC9" s="484">
        <v>1506.7287332419255</v>
      </c>
      <c r="BD9" s="484">
        <v>2022.2072546292097</v>
      </c>
      <c r="BE9" s="484">
        <v>2191.7189990339757</v>
      </c>
      <c r="BF9" s="484">
        <v>997.75518605654827</v>
      </c>
      <c r="BG9" s="484">
        <v>833.88453234270446</v>
      </c>
      <c r="BH9" s="484">
        <v>1223.7704804127109</v>
      </c>
      <c r="BI9" s="484">
        <v>1169.8346749590053</v>
      </c>
      <c r="BJ9" s="484">
        <v>1236.4280008064459</v>
      </c>
      <c r="BK9" s="484">
        <v>1036.1067792748261</v>
      </c>
      <c r="BL9" s="484">
        <v>1405.5417963583709</v>
      </c>
      <c r="BM9" s="484">
        <v>1404.9513512590561</v>
      </c>
      <c r="BN9" s="484">
        <v>2712.1049142188576</v>
      </c>
      <c r="BO9" s="484">
        <v>2436.4676783043724</v>
      </c>
      <c r="BP9" s="484">
        <v>3467.7888233905651</v>
      </c>
      <c r="BQ9" s="484">
        <v>3540.8422927574575</v>
      </c>
      <c r="BR9" s="484">
        <v>4701.2650182129728</v>
      </c>
      <c r="BS9" s="484">
        <v>4263.8769240720703</v>
      </c>
      <c r="BT9" s="484">
        <v>6252.1057957505145</v>
      </c>
      <c r="BU9" s="484">
        <v>6126.5217038877308</v>
      </c>
      <c r="BV9" s="484">
        <v>5827.7719565924272</v>
      </c>
      <c r="BW9" s="747">
        <v>5328.7765455963454</v>
      </c>
      <c r="BX9" s="747">
        <v>7795.4557008257652</v>
      </c>
      <c r="BY9" s="747">
        <v>7576.4653625933715</v>
      </c>
      <c r="BZ9" s="747">
        <v>6427.9600262051372</v>
      </c>
      <c r="CA9" s="747">
        <v>5882.1590199154834</v>
      </c>
      <c r="CB9" s="747">
        <v>8638.3210669628752</v>
      </c>
      <c r="CC9" s="747">
        <v>8440.5927288134044</v>
      </c>
      <c r="CD9" s="747">
        <v>6427.4865580156784</v>
      </c>
      <c r="CE9" s="747">
        <v>5883.7804719347605</v>
      </c>
      <c r="CF9" s="747">
        <v>8655.4254917093476</v>
      </c>
      <c r="CG9" s="747">
        <v>8422.3403202371137</v>
      </c>
      <c r="CH9" s="747">
        <v>6432.3126244661253</v>
      </c>
      <c r="CI9" s="747">
        <v>5889.089628635691</v>
      </c>
      <c r="CJ9" s="747">
        <v>8651.9084521263503</v>
      </c>
      <c r="CK9" s="747">
        <v>8415.7221366687318</v>
      </c>
      <c r="CL9" s="747">
        <v>6429.2530695623136</v>
      </c>
      <c r="CM9" s="747">
        <v>5885.009706828645</v>
      </c>
      <c r="CN9" s="747">
        <v>8648.5516702661916</v>
      </c>
      <c r="CO9" s="747">
        <v>8426.21839523975</v>
      </c>
      <c r="CQ9" s="484">
        <f t="shared" si="1"/>
        <v>27.944893205808029</v>
      </c>
      <c r="CR9" s="484">
        <f t="shared" si="2"/>
        <v>30.4007466508086</v>
      </c>
      <c r="CS9" s="484">
        <f t="shared" si="3"/>
        <v>347.10144209326529</v>
      </c>
      <c r="CT9" s="484">
        <f t="shared" si="4"/>
        <v>747.29256487767816</v>
      </c>
      <c r="CU9" s="484">
        <f t="shared" si="5"/>
        <v>646.11130383071509</v>
      </c>
      <c r="CV9" s="484">
        <f t="shared" si="6"/>
        <v>779.06187665072775</v>
      </c>
      <c r="CW9" s="484">
        <f t="shared" si="7"/>
        <v>886.6276633465493</v>
      </c>
      <c r="CX9" s="484">
        <f t="shared" si="8"/>
        <v>1391.5318943308248</v>
      </c>
      <c r="CY9" s="484">
        <f t="shared" si="9"/>
        <v>1919.8011733774599</v>
      </c>
      <c r="CZ9" s="484">
        <f t="shared" si="10"/>
        <v>2759.8813264091305</v>
      </c>
      <c r="DA9" s="484">
        <f t="shared" si="11"/>
        <v>6320.9962031753948</v>
      </c>
      <c r="DB9" s="484">
        <f t="shared" si="12"/>
        <v>5750.6687115931973</v>
      </c>
      <c r="DC9" s="484">
        <f t="shared" si="13"/>
        <v>7526.3869949033851</v>
      </c>
      <c r="DD9" s="484">
        <f t="shared" si="14"/>
        <v>7501.5160284767499</v>
      </c>
      <c r="DE9" s="484">
        <f t="shared" si="15"/>
        <v>4225.2448737709692</v>
      </c>
      <c r="DF9" s="484">
        <f t="shared" si="16"/>
        <v>5083.0279276986985</v>
      </c>
      <c r="DG9" s="484">
        <f t="shared" si="17"/>
        <v>12157.203708671252</v>
      </c>
      <c r="DH9" s="484">
        <f t="shared" si="18"/>
        <v>21343.769441923287</v>
      </c>
      <c r="DI9" s="484">
        <f t="shared" si="19"/>
        <v>26528.469565607909</v>
      </c>
      <c r="DJ9" s="484">
        <f t="shared" si="20"/>
        <v>29389.0328418969</v>
      </c>
      <c r="DK9" s="484">
        <f t="shared" si="21"/>
        <v>29389.0328418969</v>
      </c>
      <c r="DL9" s="484">
        <f t="shared" si="22"/>
        <v>29389.0328418969</v>
      </c>
      <c r="DM9" s="484">
        <f t="shared" si="23"/>
        <v>29389.0328418969</v>
      </c>
    </row>
    <row r="10" spans="1:117" s="484" customFormat="1">
      <c r="A10" s="748" t="s">
        <v>573</v>
      </c>
      <c r="B10" s="485">
        <f>SUM(B3:B9)</f>
        <v>1609.5197747937302</v>
      </c>
      <c r="C10" s="485">
        <f t="shared" ref="C10:BN10" si="24">SUM(C3:C9)</f>
        <v>1930.3522521221714</v>
      </c>
      <c r="D10" s="485">
        <f t="shared" si="24"/>
        <v>1535.01500068676</v>
      </c>
      <c r="E10" s="485">
        <f t="shared" si="24"/>
        <v>1273.8359114873028</v>
      </c>
      <c r="F10" s="485">
        <f t="shared" si="24"/>
        <v>983.11005053810902</v>
      </c>
      <c r="G10" s="485">
        <f t="shared" si="24"/>
        <v>1059.2402848100894</v>
      </c>
      <c r="H10" s="485">
        <f t="shared" si="24"/>
        <v>685.93590901839127</v>
      </c>
      <c r="I10" s="485">
        <f t="shared" si="24"/>
        <v>643.49389375773808</v>
      </c>
      <c r="J10" s="485">
        <f t="shared" si="24"/>
        <v>756.23949244442542</v>
      </c>
      <c r="K10" s="485">
        <f t="shared" si="24"/>
        <v>1381.2203405525447</v>
      </c>
      <c r="L10" s="485">
        <f t="shared" si="24"/>
        <v>1502.2055955197188</v>
      </c>
      <c r="M10" s="485">
        <f t="shared" si="24"/>
        <v>3097.1977233396547</v>
      </c>
      <c r="N10" s="485">
        <f t="shared" si="24"/>
        <v>1935.761597356724</v>
      </c>
      <c r="O10" s="485">
        <f t="shared" si="24"/>
        <v>1918.8042206333989</v>
      </c>
      <c r="P10" s="485">
        <f t="shared" si="24"/>
        <v>1794.2223878062018</v>
      </c>
      <c r="Q10" s="485">
        <f t="shared" si="24"/>
        <v>1960.2946104913742</v>
      </c>
      <c r="R10" s="485">
        <f t="shared" si="24"/>
        <v>2052.8221514836591</v>
      </c>
      <c r="S10" s="485">
        <f t="shared" si="24"/>
        <v>2172.9982214379652</v>
      </c>
      <c r="T10" s="485">
        <f t="shared" si="24"/>
        <v>1929.2759929920169</v>
      </c>
      <c r="U10" s="485">
        <f t="shared" si="24"/>
        <v>2536.4000158301042</v>
      </c>
      <c r="V10" s="485">
        <f t="shared" si="24"/>
        <v>2839.0785799052755</v>
      </c>
      <c r="W10" s="485">
        <f t="shared" si="24"/>
        <v>4227.5780158393809</v>
      </c>
      <c r="X10" s="485">
        <f t="shared" si="24"/>
        <v>4327.6019824624436</v>
      </c>
      <c r="Y10" s="485">
        <f t="shared" si="24"/>
        <v>4949.9090959639698</v>
      </c>
      <c r="Z10" s="485">
        <f t="shared" si="24"/>
        <v>4582.2178577668565</v>
      </c>
      <c r="AA10" s="485">
        <f t="shared" si="24"/>
        <v>5161.7119395764266</v>
      </c>
      <c r="AB10" s="485">
        <f t="shared" si="24"/>
        <v>5035.4342625879763</v>
      </c>
      <c r="AC10" s="485">
        <f t="shared" si="24"/>
        <v>6441.7176034152908</v>
      </c>
      <c r="AD10" s="485">
        <f t="shared" si="24"/>
        <v>5665.1180460194137</v>
      </c>
      <c r="AE10" s="485">
        <f t="shared" si="24"/>
        <v>6092.1496512544709</v>
      </c>
      <c r="AF10" s="485">
        <f t="shared" si="24"/>
        <v>5659.5395668405317</v>
      </c>
      <c r="AG10" s="485">
        <f t="shared" si="24"/>
        <v>5755.2006302164091</v>
      </c>
      <c r="AH10" s="485">
        <f t="shared" si="24"/>
        <v>7551.4639779726385</v>
      </c>
      <c r="AI10" s="485">
        <f t="shared" si="24"/>
        <v>8045.5564956036824</v>
      </c>
      <c r="AJ10" s="485">
        <f t="shared" si="24"/>
        <v>8244.292466464718</v>
      </c>
      <c r="AK10" s="485">
        <f t="shared" si="24"/>
        <v>9804.7587103331098</v>
      </c>
      <c r="AL10" s="485">
        <f t="shared" si="24"/>
        <v>8089.1854219577908</v>
      </c>
      <c r="AM10" s="485">
        <f t="shared" si="24"/>
        <v>10261.61801952906</v>
      </c>
      <c r="AN10" s="485">
        <f t="shared" si="24"/>
        <v>10880.964397681488</v>
      </c>
      <c r="AO10" s="485">
        <f t="shared" si="24"/>
        <v>13492.025287294517</v>
      </c>
      <c r="AP10" s="485">
        <f t="shared" si="24"/>
        <v>17404.14289888673</v>
      </c>
      <c r="AQ10" s="485">
        <f t="shared" si="24"/>
        <v>17400.975636075422</v>
      </c>
      <c r="AR10" s="485">
        <f t="shared" si="24"/>
        <v>17164.752431173722</v>
      </c>
      <c r="AS10" s="485">
        <f t="shared" si="24"/>
        <v>19894.225883281742</v>
      </c>
      <c r="AT10" s="485">
        <f t="shared" si="24"/>
        <v>16120.06693270982</v>
      </c>
      <c r="AU10" s="485">
        <f t="shared" si="24"/>
        <v>18982.491129375125</v>
      </c>
      <c r="AV10" s="485">
        <f t="shared" si="24"/>
        <v>20154.35047629202</v>
      </c>
      <c r="AW10" s="485">
        <f t="shared" si="24"/>
        <v>20516.515186874705</v>
      </c>
      <c r="AX10" s="485">
        <f t="shared" si="24"/>
        <v>17904.116001556682</v>
      </c>
      <c r="AY10" s="485">
        <f t="shared" si="24"/>
        <v>18992.587473280702</v>
      </c>
      <c r="AZ10" s="485">
        <f t="shared" si="24"/>
        <v>20919.845617979139</v>
      </c>
      <c r="BA10" s="485">
        <f t="shared" si="24"/>
        <v>22836.796712629155</v>
      </c>
      <c r="BB10" s="485">
        <f t="shared" si="24"/>
        <v>22262.23745117912</v>
      </c>
      <c r="BC10" s="485">
        <f t="shared" si="24"/>
        <v>24119.932524068954</v>
      </c>
      <c r="BD10" s="485">
        <f t="shared" si="24"/>
        <v>26637.730131014298</v>
      </c>
      <c r="BE10" s="485">
        <f t="shared" si="24"/>
        <v>27258.077671263814</v>
      </c>
      <c r="BF10" s="485">
        <f t="shared" si="24"/>
        <v>29980.363083773915</v>
      </c>
      <c r="BG10" s="485">
        <f t="shared" si="24"/>
        <v>31980.74176869982</v>
      </c>
      <c r="BH10" s="485">
        <f t="shared" si="24"/>
        <v>33269.055037941958</v>
      </c>
      <c r="BI10" s="485">
        <f t="shared" si="24"/>
        <v>34286.086890121005</v>
      </c>
      <c r="BJ10" s="485">
        <f t="shared" si="24"/>
        <v>31779.092562633432</v>
      </c>
      <c r="BK10" s="485">
        <f t="shared" si="24"/>
        <v>32236.082098153372</v>
      </c>
      <c r="BL10" s="485">
        <f t="shared" si="24"/>
        <v>34479.746862886394</v>
      </c>
      <c r="BM10" s="485">
        <f t="shared" si="24"/>
        <v>39648.980493881529</v>
      </c>
      <c r="BN10" s="485">
        <f t="shared" si="24"/>
        <v>45680.936193436173</v>
      </c>
      <c r="BO10" s="485">
        <f t="shared" ref="BO10:CO10" si="25">SUM(BO3:BO9)</f>
        <v>55988.393344627257</v>
      </c>
      <c r="BP10" s="485">
        <f t="shared" si="25"/>
        <v>60608.505002736536</v>
      </c>
      <c r="BQ10" s="485">
        <f t="shared" si="25"/>
        <v>75267.890695066002</v>
      </c>
      <c r="BR10" s="485">
        <f t="shared" si="25"/>
        <v>79891.980806866341</v>
      </c>
      <c r="BS10" s="485">
        <f t="shared" si="25"/>
        <v>99439.389018835165</v>
      </c>
      <c r="BT10" s="485">
        <f t="shared" si="25"/>
        <v>117428.28279076298</v>
      </c>
      <c r="BU10" s="485">
        <f t="shared" si="25"/>
        <v>132967.1168254588</v>
      </c>
      <c r="BV10" s="485">
        <f t="shared" si="25"/>
        <v>143792.25316371594</v>
      </c>
      <c r="BW10" s="486">
        <f t="shared" si="25"/>
        <v>184861.96001940523</v>
      </c>
      <c r="BX10" s="486">
        <f t="shared" si="25"/>
        <v>201090.66660766851</v>
      </c>
      <c r="BY10" s="486">
        <f t="shared" si="25"/>
        <v>212564.47282481822</v>
      </c>
      <c r="BZ10" s="486">
        <f t="shared" si="25"/>
        <v>194773.24224174666</v>
      </c>
      <c r="CA10" s="486">
        <f t="shared" si="25"/>
        <v>242979.56238212288</v>
      </c>
      <c r="CB10" s="486">
        <f t="shared" si="25"/>
        <v>247051.7289605808</v>
      </c>
      <c r="CC10" s="486">
        <f t="shared" si="25"/>
        <v>259908.80595544653</v>
      </c>
      <c r="CD10" s="486">
        <f t="shared" si="25"/>
        <v>220526.33798099021</v>
      </c>
      <c r="CE10" s="486">
        <f t="shared" si="25"/>
        <v>274967.77487356518</v>
      </c>
      <c r="CF10" s="486">
        <f t="shared" si="25"/>
        <v>270022.14704810776</v>
      </c>
      <c r="CG10" s="486">
        <f t="shared" si="25"/>
        <v>278446.73314955551</v>
      </c>
      <c r="CH10" s="486">
        <f t="shared" si="25"/>
        <v>221909.38978802547</v>
      </c>
      <c r="CI10" s="486">
        <f t="shared" si="25"/>
        <v>287836.04552552931</v>
      </c>
      <c r="CJ10" s="486">
        <f t="shared" si="25"/>
        <v>263097.28275740735</v>
      </c>
      <c r="CK10" s="486">
        <f t="shared" si="25"/>
        <v>271750.15935788513</v>
      </c>
      <c r="CL10" s="486">
        <f t="shared" si="25"/>
        <v>213388.96179533162</v>
      </c>
      <c r="CM10" s="486">
        <f t="shared" si="25"/>
        <v>281575.67964393657</v>
      </c>
      <c r="CN10" s="486">
        <f t="shared" si="25"/>
        <v>202115.91914515564</v>
      </c>
      <c r="CO10" s="486">
        <f t="shared" si="25"/>
        <v>208989.8725193404</v>
      </c>
      <c r="CP10" s="485"/>
      <c r="CQ10" s="485">
        <f>SUM(CQ3:CQ9)</f>
        <v>6348.7229390899638</v>
      </c>
      <c r="CR10" s="485">
        <f t="shared" ref="CR10:DH10" si="26">SUM(CR3:CR9)</f>
        <v>3371.7801381243276</v>
      </c>
      <c r="CS10" s="485">
        <f t="shared" si="26"/>
        <v>6736.8631518563434</v>
      </c>
      <c r="CT10" s="485">
        <f t="shared" si="26"/>
        <v>7609.0828162876987</v>
      </c>
      <c r="CU10" s="485">
        <f t="shared" si="26"/>
        <v>8691.4963817437456</v>
      </c>
      <c r="CV10" s="485">
        <f t="shared" si="26"/>
        <v>16344.167674171069</v>
      </c>
      <c r="CW10" s="485">
        <f t="shared" si="26"/>
        <v>21221.081663346551</v>
      </c>
      <c r="CX10" s="485">
        <f t="shared" si="26"/>
        <v>23172.007894330825</v>
      </c>
      <c r="CY10" s="485">
        <f t="shared" si="26"/>
        <v>33646.07165037415</v>
      </c>
      <c r="CZ10" s="485">
        <f t="shared" si="26"/>
        <v>42723.793126462857</v>
      </c>
      <c r="DA10" s="485">
        <f t="shared" si="26"/>
        <v>71864.09684941762</v>
      </c>
      <c r="DB10" s="485">
        <f t="shared" si="26"/>
        <v>75773.423725251661</v>
      </c>
      <c r="DC10" s="485">
        <f t="shared" si="26"/>
        <v>80653.345805445686</v>
      </c>
      <c r="DD10" s="485">
        <f t="shared" si="26"/>
        <v>100277.97777752618</v>
      </c>
      <c r="DE10" s="485">
        <f t="shared" si="26"/>
        <v>129516.24678053669</v>
      </c>
      <c r="DF10" s="485">
        <f t="shared" si="26"/>
        <v>138143.90201755473</v>
      </c>
      <c r="DG10" s="485">
        <f t="shared" si="26"/>
        <v>237545.72523586598</v>
      </c>
      <c r="DH10" s="485">
        <f t="shared" si="26"/>
        <v>429726.7694419233</v>
      </c>
      <c r="DI10" s="485">
        <f>SUM(DI3:DI9)</f>
        <v>742309.35261560802</v>
      </c>
      <c r="DJ10" s="485">
        <f>SUM(DJ3:DJ9)</f>
        <v>944713.33953989681</v>
      </c>
      <c r="DK10" s="485">
        <f>SUM(DK3:DK9)</f>
        <v>1043962.9930522185</v>
      </c>
      <c r="DL10" s="485">
        <f>SUM(DL3:DL9)</f>
        <v>1044592.8774288472</v>
      </c>
      <c r="DM10" s="485">
        <f>SUM(DM3:DM9)</f>
        <v>906070.43310376431</v>
      </c>
    </row>
    <row r="11" spans="1:117" s="488" customFormat="1">
      <c r="A11" s="749" t="s">
        <v>223</v>
      </c>
      <c r="C11" s="488">
        <f>C10/B10-1</f>
        <v>0.19933428737746195</v>
      </c>
      <c r="D11" s="488">
        <f t="shared" ref="D11:BO11" si="27">D10/C10-1</f>
        <v>-0.20480057512860128</v>
      </c>
      <c r="E11" s="488">
        <f t="shared" si="27"/>
        <v>-0.17014758102207905</v>
      </c>
      <c r="F11" s="488">
        <f t="shared" si="27"/>
        <v>-0.22822865828122929</v>
      </c>
      <c r="G11" s="488">
        <f t="shared" si="27"/>
        <v>7.7438160895934471E-2</v>
      </c>
      <c r="H11" s="488">
        <f t="shared" si="27"/>
        <v>-0.35242652790403228</v>
      </c>
      <c r="I11" s="488">
        <f t="shared" si="27"/>
        <v>-6.1874607674920923E-2</v>
      </c>
      <c r="J11" s="488">
        <f t="shared" si="27"/>
        <v>0.17520849813865325</v>
      </c>
      <c r="K11" s="488">
        <f t="shared" si="27"/>
        <v>0.82643243886664375</v>
      </c>
      <c r="L11" s="488">
        <f t="shared" si="27"/>
        <v>8.7593015694204857E-2</v>
      </c>
      <c r="M11" s="488">
        <f t="shared" si="27"/>
        <v>1.0617668663843016</v>
      </c>
      <c r="N11" s="488">
        <f t="shared" si="27"/>
        <v>-0.37499579611293732</v>
      </c>
      <c r="O11" s="488">
        <f t="shared" si="27"/>
        <v>-8.7600543096217898E-3</v>
      </c>
      <c r="P11" s="488">
        <f t="shared" si="27"/>
        <v>-6.4926807793904362E-2</v>
      </c>
      <c r="Q11" s="488">
        <f t="shared" si="27"/>
        <v>9.2559441802656961E-2</v>
      </c>
      <c r="R11" s="488">
        <f t="shared" si="27"/>
        <v>4.720083425067001E-2</v>
      </c>
      <c r="S11" s="488">
        <f t="shared" si="27"/>
        <v>5.8541880925948586E-2</v>
      </c>
      <c r="T11" s="488">
        <f t="shared" si="27"/>
        <v>-0.11215942380508115</v>
      </c>
      <c r="U11" s="488">
        <f t="shared" si="27"/>
        <v>0.31469008324544023</v>
      </c>
      <c r="V11" s="488">
        <f t="shared" si="27"/>
        <v>0.11933392295619893</v>
      </c>
      <c r="W11" s="488">
        <f t="shared" si="27"/>
        <v>0.4890669267704566</v>
      </c>
      <c r="X11" s="488">
        <f t="shared" si="27"/>
        <v>2.3659874814445647E-2</v>
      </c>
      <c r="Y11" s="488">
        <f t="shared" si="27"/>
        <v>0.1437995259322411</v>
      </c>
      <c r="Z11" s="488">
        <f t="shared" si="27"/>
        <v>-7.4282422377598745E-2</v>
      </c>
      <c r="AA11" s="488">
        <f t="shared" si="27"/>
        <v>0.12646585120943743</v>
      </c>
      <c r="AB11" s="488">
        <f t="shared" si="27"/>
        <v>-2.4464301469487415E-2</v>
      </c>
      <c r="AC11" s="488">
        <f t="shared" si="27"/>
        <v>0.27927746992461988</v>
      </c>
      <c r="AD11" s="488">
        <f t="shared" si="27"/>
        <v>-0.1205578395712561</v>
      </c>
      <c r="AE11" s="488">
        <f t="shared" si="27"/>
        <v>7.5379118628447594E-2</v>
      </c>
      <c r="AF11" s="488">
        <f t="shared" si="27"/>
        <v>-7.1011073131609259E-2</v>
      </c>
      <c r="AG11" s="488">
        <f t="shared" si="27"/>
        <v>1.6902622951230795E-2</v>
      </c>
      <c r="AH11" s="488">
        <f t="shared" si="27"/>
        <v>0.31211133428178783</v>
      </c>
      <c r="AI11" s="488">
        <f t="shared" si="27"/>
        <v>6.5430030398383021E-2</v>
      </c>
      <c r="AJ11" s="488">
        <f t="shared" si="27"/>
        <v>2.4701333086111665E-2</v>
      </c>
      <c r="AK11" s="488">
        <f t="shared" si="27"/>
        <v>0.18927837048672091</v>
      </c>
      <c r="AL11" s="488">
        <f t="shared" si="27"/>
        <v>-0.17497353469466803</v>
      </c>
      <c r="AM11" s="488">
        <f t="shared" si="27"/>
        <v>0.26856011875735741</v>
      </c>
      <c r="AN11" s="488">
        <f t="shared" si="27"/>
        <v>6.0355625884118691E-2</v>
      </c>
      <c r="AO11" s="488">
        <f t="shared" si="27"/>
        <v>0.23996594365931312</v>
      </c>
      <c r="AP11" s="488">
        <f t="shared" si="27"/>
        <v>0.28995777344682772</v>
      </c>
      <c r="AQ11" s="488">
        <f t="shared" si="27"/>
        <v>-1.819832685647782E-4</v>
      </c>
      <c r="AR11" s="488">
        <f t="shared" si="27"/>
        <v>-1.3575285078381794E-2</v>
      </c>
      <c r="AS11" s="488">
        <f t="shared" si="27"/>
        <v>0.15901618523497585</v>
      </c>
      <c r="AT11" s="488">
        <f t="shared" si="27"/>
        <v>-0.18971127465399718</v>
      </c>
      <c r="AU11" s="488">
        <f t="shared" si="27"/>
        <v>0.17756900195352499</v>
      </c>
      <c r="AV11" s="488">
        <f t="shared" si="27"/>
        <v>6.1733696538040839E-2</v>
      </c>
      <c r="AW11" s="488">
        <f t="shared" si="27"/>
        <v>1.7969555060020737E-2</v>
      </c>
      <c r="AX11" s="488">
        <f t="shared" si="27"/>
        <v>-0.12733152592060504</v>
      </c>
      <c r="AY11" s="488">
        <f t="shared" si="27"/>
        <v>6.0794482767503544E-2</v>
      </c>
      <c r="AZ11" s="488">
        <f t="shared" si="27"/>
        <v>0.10147422763800651</v>
      </c>
      <c r="BA11" s="488">
        <f t="shared" si="27"/>
        <v>9.1633137722705316E-2</v>
      </c>
      <c r="BB11" s="488">
        <f t="shared" si="27"/>
        <v>-2.5159363140115576E-2</v>
      </c>
      <c r="BC11" s="488">
        <f t="shared" si="27"/>
        <v>8.3446018261360333E-2</v>
      </c>
      <c r="BD11" s="488">
        <f t="shared" si="27"/>
        <v>0.10438659413465889</v>
      </c>
      <c r="BE11" s="488">
        <f t="shared" si="27"/>
        <v>2.3288303365129659E-2</v>
      </c>
      <c r="BF11" s="488">
        <f t="shared" si="27"/>
        <v>9.9870777585317594E-2</v>
      </c>
      <c r="BG11" s="488">
        <f t="shared" si="27"/>
        <v>6.6722963939304547E-2</v>
      </c>
      <c r="BH11" s="488">
        <f t="shared" si="27"/>
        <v>4.0284033389839546E-2</v>
      </c>
      <c r="BI11" s="488">
        <f t="shared" si="27"/>
        <v>3.0569905006895048E-2</v>
      </c>
      <c r="BJ11" s="488">
        <f t="shared" si="27"/>
        <v>-7.3119873245433675E-2</v>
      </c>
      <c r="BK11" s="488">
        <f t="shared" si="27"/>
        <v>1.4380194608114127E-2</v>
      </c>
      <c r="BL11" s="488">
        <f t="shared" si="27"/>
        <v>6.9601037678879374E-2</v>
      </c>
      <c r="BM11" s="488">
        <f t="shared" si="27"/>
        <v>0.14992086953397088</v>
      </c>
      <c r="BN11" s="488">
        <f t="shared" si="27"/>
        <v>0.15213394201864716</v>
      </c>
      <c r="BO11" s="488">
        <f t="shared" si="27"/>
        <v>0.22564023441954206</v>
      </c>
      <c r="BP11" s="488">
        <f t="shared" ref="BP11:BY11" si="28">BP10/BO10-1</f>
        <v>8.2519096943378001E-2</v>
      </c>
      <c r="BQ11" s="488">
        <f t="shared" si="28"/>
        <v>0.24187010868635639</v>
      </c>
      <c r="BR11" s="488">
        <f t="shared" si="28"/>
        <v>6.1435096282078439E-2</v>
      </c>
      <c r="BS11" s="488">
        <f t="shared" si="28"/>
        <v>0.24467296985943321</v>
      </c>
      <c r="BT11" s="488">
        <f t="shared" si="28"/>
        <v>0.18090310036519308</v>
      </c>
      <c r="BU11" s="488">
        <f t="shared" si="28"/>
        <v>0.13232616253431329</v>
      </c>
      <c r="BV11" s="488">
        <f t="shared" si="28"/>
        <v>8.1412131034373836E-2</v>
      </c>
      <c r="BW11" s="489">
        <f t="shared" si="28"/>
        <v>0.28561835531521318</v>
      </c>
      <c r="BX11" s="489">
        <f t="shared" si="28"/>
        <v>8.7788242570617125E-2</v>
      </c>
      <c r="BY11" s="489">
        <f t="shared" si="28"/>
        <v>5.705787548825092E-2</v>
      </c>
      <c r="BZ11" s="489">
        <f>BZ10/BY10-1</f>
        <v>-8.3698043923520205E-2</v>
      </c>
      <c r="CA11" s="489">
        <f>CA10/BZ10-1</f>
        <v>0.24749970573752633</v>
      </c>
      <c r="CB11" s="489">
        <f>CB10/CA10-1</f>
        <v>1.6759296701892135E-2</v>
      </c>
      <c r="CC11" s="489">
        <f>CC10/CB10-1</f>
        <v>5.2042044186289438E-2</v>
      </c>
      <c r="CD11" s="489">
        <f t="shared" ref="CD11:CO11" si="29">CD10/CC10-1</f>
        <v>-0.15152417721932532</v>
      </c>
      <c r="CE11" s="489">
        <f t="shared" si="29"/>
        <v>0.24687045271330788</v>
      </c>
      <c r="CF11" s="489">
        <f t="shared" si="29"/>
        <v>-1.798620884840596E-2</v>
      </c>
      <c r="CG11" s="489">
        <f t="shared" si="29"/>
        <v>3.1199611563516694E-2</v>
      </c>
      <c r="CH11" s="489">
        <f t="shared" si="29"/>
        <v>-0.20304545405157792</v>
      </c>
      <c r="CI11" s="489">
        <f t="shared" si="29"/>
        <v>0.2970881754957686</v>
      </c>
      <c r="CJ11" s="489">
        <f t="shared" si="29"/>
        <v>-8.594741052307775E-2</v>
      </c>
      <c r="CK11" s="489">
        <f t="shared" si="29"/>
        <v>3.2888506144156171E-2</v>
      </c>
      <c r="CL11" s="489">
        <f t="shared" si="29"/>
        <v>-0.2147604906670687</v>
      </c>
      <c r="CM11" s="489">
        <f t="shared" si="29"/>
        <v>0.31954191667142129</v>
      </c>
      <c r="CN11" s="489">
        <f t="shared" si="29"/>
        <v>-0.28219681685314901</v>
      </c>
      <c r="CO11" s="489">
        <f t="shared" si="29"/>
        <v>3.4009955293269112E-2</v>
      </c>
      <c r="CX11" s="184"/>
      <c r="CY11" s="184"/>
      <c r="CZ11" s="184"/>
      <c r="DA11" s="184"/>
      <c r="DB11" s="184"/>
      <c r="DC11" s="184"/>
      <c r="DD11" s="184"/>
      <c r="DE11" s="184"/>
      <c r="DF11" s="184"/>
      <c r="DG11" s="184"/>
      <c r="DH11" s="184"/>
      <c r="DI11" s="184"/>
      <c r="DJ11" s="184"/>
      <c r="DK11" s="184"/>
      <c r="DL11" s="184"/>
      <c r="DM11" s="184"/>
    </row>
    <row r="12" spans="1:117" s="488" customFormat="1">
      <c r="A12" s="749" t="s">
        <v>225</v>
      </c>
      <c r="F12" s="488">
        <f>F10/B10-1</f>
        <v>-0.38919044926670721</v>
      </c>
      <c r="G12" s="488">
        <f t="shared" ref="G12:BR12" si="30">G10/C10-1</f>
        <v>-0.45127098764197449</v>
      </c>
      <c r="H12" s="488">
        <f t="shared" si="30"/>
        <v>-0.5531405825275284</v>
      </c>
      <c r="I12" s="488">
        <f t="shared" si="30"/>
        <v>-0.49483768831229702</v>
      </c>
      <c r="J12" s="488">
        <f t="shared" si="30"/>
        <v>-0.23076822169553157</v>
      </c>
      <c r="K12" s="488">
        <f t="shared" si="30"/>
        <v>0.30397263053508472</v>
      </c>
      <c r="L12" s="488">
        <f t="shared" si="30"/>
        <v>1.1900086812329893</v>
      </c>
      <c r="M12" s="488">
        <f t="shared" si="30"/>
        <v>3.8130957471147111</v>
      </c>
      <c r="N12" s="488">
        <f t="shared" si="30"/>
        <v>1.5597203223276246</v>
      </c>
      <c r="O12" s="488">
        <f t="shared" si="30"/>
        <v>0.38920935660837341</v>
      </c>
      <c r="P12" s="488">
        <f t="shared" si="30"/>
        <v>0.19439202806687317</v>
      </c>
      <c r="Q12" s="488">
        <f t="shared" si="30"/>
        <v>-0.3670747606072684</v>
      </c>
      <c r="R12" s="488">
        <f t="shared" si="30"/>
        <v>6.0472608965267627E-2</v>
      </c>
      <c r="S12" s="488">
        <f t="shared" si="30"/>
        <v>0.13247521454828592</v>
      </c>
      <c r="T12" s="488">
        <f t="shared" si="30"/>
        <v>7.527138558946711E-2</v>
      </c>
      <c r="U12" s="488">
        <f t="shared" si="30"/>
        <v>0.29388715464269999</v>
      </c>
      <c r="V12" s="488">
        <f t="shared" si="30"/>
        <v>0.38301244355403918</v>
      </c>
      <c r="W12" s="488">
        <f t="shared" si="30"/>
        <v>0.94550459090657379</v>
      </c>
      <c r="X12" s="488">
        <f t="shared" si="30"/>
        <v>1.2431222894921237</v>
      </c>
      <c r="Y12" s="488">
        <f t="shared" si="30"/>
        <v>0.95154907154657975</v>
      </c>
      <c r="Z12" s="488">
        <f t="shared" si="30"/>
        <v>0.61398063801380931</v>
      </c>
      <c r="AA12" s="488">
        <f t="shared" si="30"/>
        <v>0.22096195983542932</v>
      </c>
      <c r="AB12" s="488">
        <f t="shared" si="30"/>
        <v>0.16356224139697106</v>
      </c>
      <c r="AC12" s="488">
        <f t="shared" si="30"/>
        <v>0.30138099074742675</v>
      </c>
      <c r="AD12" s="488">
        <f t="shared" si="30"/>
        <v>0.23632664833188621</v>
      </c>
      <c r="AE12" s="488">
        <f t="shared" si="30"/>
        <v>0.18025758170348349</v>
      </c>
      <c r="AF12" s="488">
        <f t="shared" si="30"/>
        <v>0.12394269723457674</v>
      </c>
      <c r="AG12" s="488">
        <f t="shared" si="30"/>
        <v>-0.10657359037827141</v>
      </c>
      <c r="AH12" s="488">
        <f t="shared" si="30"/>
        <v>0.33297557378855736</v>
      </c>
      <c r="AI12" s="488">
        <f t="shared" si="30"/>
        <v>0.32064327965859696</v>
      </c>
      <c r="AJ12" s="488">
        <f t="shared" si="30"/>
        <v>0.45670727611277018</v>
      </c>
      <c r="AK12" s="488">
        <f t="shared" si="30"/>
        <v>0.70363456294736126</v>
      </c>
      <c r="AL12" s="488">
        <f t="shared" si="30"/>
        <v>7.1207575849354221E-2</v>
      </c>
      <c r="AM12" s="488">
        <f t="shared" si="30"/>
        <v>0.27543918498817277</v>
      </c>
      <c r="AN12" s="488">
        <f t="shared" si="30"/>
        <v>0.31981785483010849</v>
      </c>
      <c r="AO12" s="488">
        <f t="shared" si="30"/>
        <v>0.37606907889282826</v>
      </c>
      <c r="AP12" s="488">
        <f t="shared" si="30"/>
        <v>1.1515321989830811</v>
      </c>
      <c r="AQ12" s="488">
        <f t="shared" si="30"/>
        <v>0.6957341038186502</v>
      </c>
      <c r="AR12" s="488">
        <f t="shared" si="30"/>
        <v>0.57750285763559539</v>
      </c>
      <c r="AS12" s="488">
        <f t="shared" si="30"/>
        <v>0.47451738783918507</v>
      </c>
      <c r="AT12" s="488">
        <f t="shared" si="30"/>
        <v>-7.3779902500056282E-2</v>
      </c>
      <c r="AU12" s="488">
        <f t="shared" si="30"/>
        <v>9.0886598911208871E-2</v>
      </c>
      <c r="AV12" s="488">
        <f t="shared" si="30"/>
        <v>0.1741707640180552</v>
      </c>
      <c r="AW12" s="488">
        <f t="shared" si="30"/>
        <v>3.1279895344704434E-2</v>
      </c>
      <c r="AX12" s="488">
        <f t="shared" si="30"/>
        <v>0.11067255962981037</v>
      </c>
      <c r="AY12" s="488">
        <f t="shared" si="30"/>
        <v>5.3187665605980428E-4</v>
      </c>
      <c r="AZ12" s="488">
        <f t="shared" si="30"/>
        <v>3.7981632927718945E-2</v>
      </c>
      <c r="BA12" s="488">
        <f t="shared" si="30"/>
        <v>0.1130933545302486</v>
      </c>
      <c r="BB12" s="488">
        <f t="shared" si="30"/>
        <v>0.24341450028828682</v>
      </c>
      <c r="BC12" s="488">
        <f t="shared" si="30"/>
        <v>0.26996558831183703</v>
      </c>
      <c r="BD12" s="488">
        <f t="shared" si="30"/>
        <v>0.27332345646571299</v>
      </c>
      <c r="BE12" s="488">
        <f t="shared" si="30"/>
        <v>0.19360337679012618</v>
      </c>
      <c r="BF12" s="488">
        <f t="shared" si="30"/>
        <v>0.34669137140957074</v>
      </c>
      <c r="BG12" s="488">
        <f t="shared" si="30"/>
        <v>0.32590510926125815</v>
      </c>
      <c r="BH12" s="488">
        <f t="shared" si="30"/>
        <v>0.24894481903346599</v>
      </c>
      <c r="BI12" s="488">
        <f t="shared" si="30"/>
        <v>0.25783216643579765</v>
      </c>
      <c r="BJ12" s="488">
        <f t="shared" si="30"/>
        <v>5.9996921112440926E-2</v>
      </c>
      <c r="BK12" s="488">
        <f t="shared" si="30"/>
        <v>7.9841903386825841E-3</v>
      </c>
      <c r="BL12" s="488">
        <f t="shared" si="30"/>
        <v>3.6390929155147189E-2</v>
      </c>
      <c r="BM12" s="488">
        <f t="shared" si="30"/>
        <v>0.15641603023836925</v>
      </c>
      <c r="BN12" s="488">
        <f t="shared" si="30"/>
        <v>0.43745250445410266</v>
      </c>
      <c r="BO12" s="488">
        <f t="shared" si="30"/>
        <v>0.73682376084513446</v>
      </c>
      <c r="BP12" s="488">
        <f t="shared" si="30"/>
        <v>0.75780017306260561</v>
      </c>
      <c r="BQ12" s="488">
        <f t="shared" si="30"/>
        <v>0.89835626937951263</v>
      </c>
      <c r="BR12" s="488">
        <f t="shared" si="30"/>
        <v>0.74891294846855394</v>
      </c>
      <c r="BS12" s="488">
        <f t="shared" ref="BS12:BY12" si="31">BS10/BO10-1</f>
        <v>0.77607148693752515</v>
      </c>
      <c r="BT12" s="488">
        <f t="shared" si="31"/>
        <v>0.93748852220428436</v>
      </c>
      <c r="BU12" s="488">
        <f t="shared" si="31"/>
        <v>0.76658486902669543</v>
      </c>
      <c r="BV12" s="488">
        <f t="shared" si="31"/>
        <v>0.79983337140337452</v>
      </c>
      <c r="BW12" s="489">
        <f t="shared" si="31"/>
        <v>0.85904159150042525</v>
      </c>
      <c r="BX12" s="489">
        <f t="shared" si="31"/>
        <v>0.7124551413732032</v>
      </c>
      <c r="BY12" s="489">
        <f t="shared" si="31"/>
        <v>0.59862436593134549</v>
      </c>
      <c r="BZ12" s="489">
        <f>BZ10/BV10-1</f>
        <v>0.35454614526406969</v>
      </c>
      <c r="CA12" s="489">
        <f>CA10/BW10-1</f>
        <v>0.31438378321108873</v>
      </c>
      <c r="CB12" s="489">
        <f>CB10/BX10-1</f>
        <v>0.22855890394248468</v>
      </c>
      <c r="CC12" s="489">
        <f>CC10/BY10-1</f>
        <v>0.22272928538555181</v>
      </c>
      <c r="CD12" s="489">
        <f t="shared" ref="CD12:CO12" si="32">CD10/BZ10-1</f>
        <v>0.13222091208647435</v>
      </c>
      <c r="CE12" s="489">
        <f t="shared" si="32"/>
        <v>0.13164980699543727</v>
      </c>
      <c r="CF12" s="489">
        <f t="shared" si="32"/>
        <v>9.297817175443468E-2</v>
      </c>
      <c r="CG12" s="489">
        <f t="shared" si="32"/>
        <v>7.1324736866694494E-2</v>
      </c>
      <c r="CH12" s="489">
        <f t="shared" si="32"/>
        <v>6.2715946752558427E-3</v>
      </c>
      <c r="CI12" s="489">
        <f t="shared" si="32"/>
        <v>4.679919549802225E-2</v>
      </c>
      <c r="CJ12" s="489">
        <f t="shared" si="32"/>
        <v>-2.564554191722157E-2</v>
      </c>
      <c r="CK12" s="489">
        <f t="shared" si="32"/>
        <v>-2.4049748100559043E-2</v>
      </c>
      <c r="CL12" s="489">
        <f t="shared" si="32"/>
        <v>-3.8395977749444588E-2</v>
      </c>
      <c r="CM12" s="489">
        <f t="shared" si="32"/>
        <v>-2.1749763377142739E-2</v>
      </c>
      <c r="CN12" s="489">
        <f t="shared" si="32"/>
        <v>-0.23178256716729551</v>
      </c>
      <c r="CO12" s="489">
        <f t="shared" si="32"/>
        <v>-0.23094848218981801</v>
      </c>
      <c r="CR12" s="488">
        <f>CR10/CQ10-1</f>
        <v>-0.46890419215432888</v>
      </c>
      <c r="CS12" s="488">
        <f t="shared" ref="CS12:DM12" si="33">CS10/CR10-1</f>
        <v>0.99801377191929319</v>
      </c>
      <c r="CT12" s="488">
        <f t="shared" si="33"/>
        <v>0.12946970196225749</v>
      </c>
      <c r="CU12" s="488">
        <f t="shared" si="33"/>
        <v>0.14225283014913126</v>
      </c>
      <c r="CV12" s="488">
        <f t="shared" si="33"/>
        <v>0.88047799323733877</v>
      </c>
      <c r="CW12" s="488">
        <f t="shared" si="33"/>
        <v>0.29838864152639233</v>
      </c>
      <c r="CX12" s="488">
        <f t="shared" si="33"/>
        <v>9.1933401978936402E-2</v>
      </c>
      <c r="CY12" s="488">
        <f t="shared" si="33"/>
        <v>0.45201364524849263</v>
      </c>
      <c r="CZ12" s="488">
        <f t="shared" si="33"/>
        <v>0.26980033718104979</v>
      </c>
      <c r="DA12" s="488">
        <f>DA10/CZ10-1</f>
        <v>0.68206265386360165</v>
      </c>
      <c r="DB12" s="488">
        <f t="shared" si="33"/>
        <v>5.4398886888198827E-2</v>
      </c>
      <c r="DC12" s="488">
        <f t="shared" si="33"/>
        <v>6.4401499104596693E-2</v>
      </c>
      <c r="DD12" s="488">
        <f t="shared" si="33"/>
        <v>0.24332074232133638</v>
      </c>
      <c r="DE12" s="488">
        <f t="shared" si="33"/>
        <v>0.29157218415271302</v>
      </c>
      <c r="DF12" s="488">
        <f t="shared" si="33"/>
        <v>6.6614463061437146E-2</v>
      </c>
      <c r="DG12" s="493">
        <f t="shared" si="33"/>
        <v>0.71955274005275816</v>
      </c>
      <c r="DH12" s="493">
        <f t="shared" si="33"/>
        <v>0.80902758412190012</v>
      </c>
      <c r="DI12" s="493">
        <f t="shared" si="33"/>
        <v>0.72739844338677995</v>
      </c>
      <c r="DJ12" s="493">
        <f t="shared" si="33"/>
        <v>0.27266797354916283</v>
      </c>
      <c r="DK12" s="493">
        <f t="shared" si="33"/>
        <v>0.1050579571160275</v>
      </c>
      <c r="DL12" s="493">
        <f t="shared" si="33"/>
        <v>6.0335891293150645E-4</v>
      </c>
      <c r="DM12" s="493">
        <f t="shared" si="33"/>
        <v>-0.13260902627063764</v>
      </c>
    </row>
    <row r="13" spans="1:117" s="488" customFormat="1">
      <c r="A13" s="749"/>
      <c r="AL13" s="489"/>
      <c r="AM13" s="489"/>
      <c r="AN13" s="489"/>
      <c r="AO13" s="489"/>
      <c r="AP13" s="489"/>
      <c r="AQ13" s="489"/>
      <c r="AR13" s="489"/>
      <c r="AS13" s="489"/>
      <c r="AT13" s="489"/>
      <c r="AU13" s="489"/>
      <c r="AV13" s="489"/>
      <c r="AW13" s="489"/>
      <c r="AX13" s="489"/>
      <c r="AY13" s="489"/>
      <c r="AZ13" s="489"/>
      <c r="BA13" s="489"/>
      <c r="BB13" s="489"/>
      <c r="BC13" s="489"/>
      <c r="BD13" s="489"/>
      <c r="BE13" s="489"/>
      <c r="BF13" s="489"/>
      <c r="BG13" s="489"/>
      <c r="BH13" s="489"/>
      <c r="BI13" s="489"/>
      <c r="BJ13" s="489"/>
      <c r="BK13" s="489"/>
      <c r="BL13" s="489"/>
      <c r="BM13" s="489"/>
      <c r="BN13" s="489"/>
      <c r="BO13" s="489"/>
      <c r="BP13" s="489"/>
      <c r="BQ13" s="489"/>
      <c r="BR13" s="489"/>
      <c r="BS13" s="489"/>
      <c r="BT13" s="489"/>
      <c r="BU13" s="489"/>
      <c r="BV13" s="489"/>
      <c r="BW13" s="489"/>
      <c r="BX13" s="489"/>
      <c r="BY13" s="489"/>
      <c r="BZ13" s="489"/>
      <c r="CA13" s="489"/>
      <c r="CB13" s="489"/>
      <c r="CC13" s="489"/>
      <c r="CD13" s="489"/>
      <c r="CE13" s="489"/>
      <c r="CF13" s="489"/>
      <c r="CG13" s="489"/>
      <c r="CH13" s="489"/>
      <c r="CI13" s="489"/>
      <c r="CJ13" s="489"/>
      <c r="CK13" s="489"/>
      <c r="CL13" s="489"/>
      <c r="CM13" s="489"/>
      <c r="CN13" s="489"/>
      <c r="CO13" s="489"/>
      <c r="CX13" s="750"/>
      <c r="CZ13" s="490"/>
      <c r="DA13" s="490"/>
      <c r="DB13" s="490"/>
      <c r="DC13" s="490"/>
      <c r="DD13" s="490"/>
      <c r="DE13" s="490"/>
      <c r="DF13" s="490"/>
      <c r="DG13" s="573"/>
      <c r="DH13" s="751"/>
      <c r="DI13" s="751"/>
      <c r="DJ13" s="751"/>
      <c r="DK13" s="751"/>
      <c r="DL13" s="751"/>
      <c r="DM13" s="751"/>
    </row>
    <row r="14" spans="1:117">
      <c r="A14" s="481" t="s">
        <v>574</v>
      </c>
      <c r="B14" s="481"/>
      <c r="C14" s="481"/>
      <c r="D14" s="481"/>
      <c r="E14" s="481"/>
      <c r="F14" s="481"/>
      <c r="G14" s="481"/>
      <c r="H14" s="481"/>
      <c r="I14" s="481"/>
      <c r="J14" s="481"/>
      <c r="K14" s="481"/>
      <c r="L14" s="481"/>
      <c r="M14" s="481"/>
      <c r="N14" s="481"/>
      <c r="O14" s="481"/>
      <c r="P14" s="481"/>
      <c r="Q14" s="481"/>
      <c r="R14" s="481"/>
      <c r="S14" s="481"/>
      <c r="T14" s="481"/>
      <c r="U14" s="481"/>
      <c r="V14" s="481"/>
      <c r="W14" s="481"/>
      <c r="X14" s="481"/>
      <c r="Y14" s="481"/>
      <c r="Z14" s="481"/>
      <c r="AA14" s="481"/>
      <c r="AB14" s="481"/>
      <c r="AC14" s="481"/>
      <c r="AD14" s="481"/>
      <c r="AE14" s="481"/>
      <c r="AF14" s="481"/>
      <c r="AG14" s="481"/>
      <c r="AH14" s="481"/>
      <c r="AI14" s="481"/>
      <c r="AJ14" s="481"/>
      <c r="AK14" s="481"/>
      <c r="AL14" s="481"/>
      <c r="AM14" s="481"/>
      <c r="AN14" s="481"/>
      <c r="AO14" s="481"/>
      <c r="AP14" s="481"/>
      <c r="AQ14" s="481"/>
      <c r="AR14" s="477"/>
      <c r="AS14" s="477"/>
      <c r="AT14" s="477"/>
      <c r="AU14" s="477"/>
      <c r="AV14" s="477"/>
      <c r="AW14" s="481"/>
      <c r="AX14" s="481"/>
      <c r="AY14" s="481"/>
      <c r="AZ14" s="481"/>
      <c r="BA14" s="481"/>
      <c r="BB14" s="481"/>
      <c r="BC14" s="481"/>
      <c r="BD14" s="492"/>
      <c r="BE14" s="481"/>
      <c r="BF14" s="481"/>
      <c r="BG14" s="481"/>
      <c r="BH14" s="481"/>
      <c r="BI14" s="481"/>
      <c r="BJ14" s="481"/>
      <c r="BK14" s="481"/>
      <c r="BL14" s="481"/>
      <c r="BM14" s="481"/>
      <c r="BN14" s="481"/>
      <c r="BO14" s="481"/>
      <c r="BP14" s="481"/>
      <c r="BQ14" s="481"/>
      <c r="BR14" s="481"/>
      <c r="BS14" s="481"/>
      <c r="BT14" s="481"/>
      <c r="BU14" s="481"/>
      <c r="BV14" s="481"/>
      <c r="BW14" s="481"/>
      <c r="BX14" s="481"/>
      <c r="BY14" s="481"/>
      <c r="BZ14" s="481"/>
      <c r="CA14" s="481"/>
      <c r="CB14" s="481"/>
      <c r="CC14" s="481"/>
      <c r="CD14" s="481"/>
      <c r="CE14" s="481"/>
      <c r="CF14" s="481"/>
      <c r="CG14" s="481"/>
      <c r="CH14" s="481"/>
      <c r="CI14" s="481"/>
      <c r="CJ14" s="481"/>
      <c r="CK14" s="481"/>
      <c r="CL14" s="481"/>
      <c r="CM14" s="481"/>
      <c r="CN14" s="481"/>
      <c r="CO14" s="481"/>
      <c r="CP14" s="482"/>
      <c r="CQ14" s="481"/>
      <c r="CR14" s="481"/>
      <c r="CS14" s="481"/>
      <c r="CT14" s="481"/>
      <c r="CU14" s="481"/>
      <c r="CV14" s="481"/>
      <c r="CW14" s="481"/>
      <c r="CX14" s="481"/>
      <c r="CY14" s="481"/>
      <c r="CZ14" s="481"/>
      <c r="DA14" s="481"/>
      <c r="DB14" s="481"/>
      <c r="DC14" s="481"/>
      <c r="DD14" s="481"/>
      <c r="DE14" s="481"/>
      <c r="DF14" s="481"/>
      <c r="DG14" s="492"/>
      <c r="DH14" s="492"/>
      <c r="DI14" s="492"/>
      <c r="DJ14" s="492"/>
      <c r="DK14" s="492"/>
      <c r="DL14" s="492"/>
      <c r="DM14" s="492"/>
    </row>
    <row r="15" spans="1:117" s="484" customFormat="1">
      <c r="A15" s="485" t="s">
        <v>575</v>
      </c>
      <c r="Z15" s="485">
        <f>Worksheet!BB87</f>
        <v>57</v>
      </c>
      <c r="AA15" s="485">
        <f>Worksheet!BC87</f>
        <v>83</v>
      </c>
      <c r="AB15" s="485">
        <f>Worksheet!BD87</f>
        <v>90</v>
      </c>
      <c r="AC15" s="485">
        <f>Worksheet!BE87</f>
        <v>88</v>
      </c>
      <c r="AD15" s="485">
        <f>Worksheet!BF87</f>
        <v>88</v>
      </c>
      <c r="AE15" s="485">
        <f>Worksheet!BG87</f>
        <v>73</v>
      </c>
      <c r="AF15" s="485">
        <f>Worksheet!BH87</f>
        <v>82</v>
      </c>
      <c r="AG15" s="485">
        <f>Worksheet!BI87</f>
        <v>97</v>
      </c>
      <c r="AH15" s="485">
        <f>Worksheet!BJ87</f>
        <v>143</v>
      </c>
      <c r="AI15" s="485">
        <f>Worksheet!BK87</f>
        <v>151</v>
      </c>
      <c r="AJ15" s="485">
        <f>Worksheet!BL87</f>
        <v>240</v>
      </c>
      <c r="AK15" s="485">
        <f>Worksheet!BM87</f>
        <v>296</v>
      </c>
      <c r="AL15" s="485">
        <f>Worksheet!BN87</f>
        <v>409</v>
      </c>
      <c r="AM15" s="485">
        <f>Worksheet!BO87</f>
        <v>416</v>
      </c>
      <c r="AN15" s="485">
        <f>Worksheet!BP87</f>
        <v>501</v>
      </c>
      <c r="AO15" s="485">
        <f>Worksheet!BQ87</f>
        <v>606</v>
      </c>
      <c r="AP15" s="485">
        <f>Worksheet!BR87</f>
        <v>701</v>
      </c>
      <c r="AQ15" s="485">
        <f>Worksheet!BS87</f>
        <v>760</v>
      </c>
      <c r="AR15" s="485">
        <f>Worksheet!BT87</f>
        <v>792</v>
      </c>
      <c r="AS15" s="485">
        <f>Worksheet!BU87</f>
        <v>679</v>
      </c>
      <c r="AT15" s="485">
        <f>Worksheet!BV87</f>
        <v>634</v>
      </c>
      <c r="AU15" s="485">
        <f>Worksheet!BW87</f>
        <v>655</v>
      </c>
      <c r="AV15" s="485">
        <f>Worksheet!BX87</f>
        <v>726</v>
      </c>
      <c r="AW15" s="485">
        <f>Worksheet!BY87</f>
        <v>968</v>
      </c>
      <c r="AX15" s="485">
        <f>Worksheet!BZ87</f>
        <v>1141</v>
      </c>
      <c r="AY15" s="485">
        <f>Worksheet!CA87</f>
        <v>1212</v>
      </c>
      <c r="AZ15" s="485">
        <f>Worksheet!CB87</f>
        <v>1285</v>
      </c>
      <c r="BA15" s="485">
        <f>Worksheet!CC87</f>
        <v>1405.48296</v>
      </c>
      <c r="BB15" s="485">
        <f>Worksheet!CD87</f>
        <v>1512.0675000000001</v>
      </c>
      <c r="BC15" s="485">
        <f>Worksheet!CE87</f>
        <v>1718</v>
      </c>
      <c r="BD15" s="485">
        <f>Worksheet!CF87</f>
        <v>2288</v>
      </c>
      <c r="BE15" s="485">
        <f>Worksheet!CG87</f>
        <v>2550.1999999999998</v>
      </c>
      <c r="BF15" s="485">
        <f>Worksheet!CH87</f>
        <v>3001.56</v>
      </c>
      <c r="BG15" s="485">
        <f>Worksheet!CI87</f>
        <v>3005.1691999999998</v>
      </c>
      <c r="BH15" s="485">
        <f>Worksheet!CJ87</f>
        <v>2831.9614999999999</v>
      </c>
      <c r="BI15" s="485">
        <f>Worksheet!CK87</f>
        <v>2564.9095749999997</v>
      </c>
      <c r="BJ15" s="485">
        <f>Worksheet!CL87</f>
        <v>3357</v>
      </c>
      <c r="BK15" s="485">
        <f>Worksheet!CM87</f>
        <v>8612</v>
      </c>
      <c r="BL15" s="485">
        <f>Worksheet!CN87</f>
        <v>11911.65625</v>
      </c>
      <c r="BM15" s="485">
        <f>Worksheet!CO87</f>
        <v>15073</v>
      </c>
      <c r="BN15" s="485">
        <f>Worksheet!CP87</f>
        <v>19392</v>
      </c>
      <c r="BO15" s="485">
        <f>Worksheet!CQ87</f>
        <v>22604</v>
      </c>
      <c r="BP15" s="485">
        <f>Worksheet!CR87</f>
        <v>27644</v>
      </c>
      <c r="BQ15" s="485">
        <f>Worksheet!CS87</f>
        <v>32556</v>
      </c>
      <c r="BR15" s="485">
        <f>Worksheet!CT87</f>
        <v>34155</v>
      </c>
      <c r="BS15" s="485">
        <f>Worksheet!CU87</f>
        <v>33844</v>
      </c>
      <c r="BT15" s="485">
        <f>Worksheet!CV87</f>
        <v>43028</v>
      </c>
      <c r="BU15" s="485">
        <f>Worksheet!CW87</f>
        <v>51334</v>
      </c>
      <c r="BV15" s="485">
        <f>Worksheet!CX87</f>
        <v>60446</v>
      </c>
      <c r="BW15" s="486">
        <f t="shared" ref="BW15:CO15" si="34">+BV15*(1+BW16)</f>
        <v>69512.899999999994</v>
      </c>
      <c r="BX15" s="486">
        <f t="shared" si="34"/>
        <v>83415.48</v>
      </c>
      <c r="BY15" s="486">
        <f t="shared" si="34"/>
        <v>95093.647200000007</v>
      </c>
      <c r="BZ15" s="486">
        <f t="shared" si="34"/>
        <v>104603.01192000002</v>
      </c>
      <c r="CA15" s="486">
        <f t="shared" si="34"/>
        <v>115063.31311200003</v>
      </c>
      <c r="CB15" s="486">
        <f t="shared" si="34"/>
        <v>128870.91068544005</v>
      </c>
      <c r="CC15" s="486">
        <f t="shared" si="34"/>
        <v>137891.87443342086</v>
      </c>
      <c r="CD15" s="486">
        <f t="shared" si="34"/>
        <v>142028.6306664235</v>
      </c>
      <c r="CE15" s="486">
        <f t="shared" si="34"/>
        <v>146289.48958641622</v>
      </c>
      <c r="CF15" s="486">
        <f t="shared" si="34"/>
        <v>156529.75385746537</v>
      </c>
      <c r="CG15" s="486">
        <f t="shared" si="34"/>
        <v>164356.24155033866</v>
      </c>
      <c r="CH15" s="486">
        <f t="shared" si="34"/>
        <v>165999.80396584206</v>
      </c>
      <c r="CI15" s="486">
        <f t="shared" si="34"/>
        <v>167659.80200550047</v>
      </c>
      <c r="CJ15" s="486">
        <f t="shared" si="34"/>
        <v>172689.59606566548</v>
      </c>
      <c r="CK15" s="486">
        <f t="shared" si="34"/>
        <v>176143.38798697878</v>
      </c>
      <c r="CL15" s="486">
        <f t="shared" si="34"/>
        <v>179666.25574671835</v>
      </c>
      <c r="CM15" s="486">
        <f t="shared" si="34"/>
        <v>185056.24341911991</v>
      </c>
      <c r="CN15" s="486">
        <f t="shared" si="34"/>
        <v>196159.61802426711</v>
      </c>
      <c r="CO15" s="486">
        <f t="shared" si="34"/>
        <v>204006.00274523781</v>
      </c>
      <c r="CU15" s="485">
        <f>Worksheet!EE87</f>
        <v>129</v>
      </c>
      <c r="CV15" s="485">
        <f>Worksheet!EF87</f>
        <v>199</v>
      </c>
      <c r="CW15" s="485">
        <f>SUM(Z15:AC15)</f>
        <v>318</v>
      </c>
      <c r="CX15" s="485">
        <f>SUM(AD15:AG15)</f>
        <v>340</v>
      </c>
      <c r="CY15" s="485">
        <f>SUM(AH15:AK15)</f>
        <v>830</v>
      </c>
      <c r="CZ15" s="485">
        <f>SUM(AL15:AO15)</f>
        <v>1932</v>
      </c>
      <c r="DA15" s="485">
        <f>SUM(AP15:AS15)</f>
        <v>2932</v>
      </c>
      <c r="DB15" s="485">
        <f>SUM(AT15:AW15)</f>
        <v>2983</v>
      </c>
      <c r="DC15" s="485">
        <f>SUM(AX15:BA15)</f>
        <v>5043.4829600000003</v>
      </c>
      <c r="DD15" s="485">
        <f>+BB15+BC15+BD15+BE15</f>
        <v>8068.2674999999999</v>
      </c>
      <c r="DE15" s="485">
        <f>+SUM(BF15:BI15)</f>
        <v>11403.600274999999</v>
      </c>
      <c r="DF15" s="485">
        <f>+SUM(BJ15:BM15)</f>
        <v>38953.65625</v>
      </c>
      <c r="DG15" s="485">
        <f>+SUM(BN15:BQ15)</f>
        <v>102196</v>
      </c>
      <c r="DH15" s="485">
        <f>+SUM(BR15:BU15)</f>
        <v>162361</v>
      </c>
      <c r="DI15" s="485">
        <f>SUM(BV15:BY15)</f>
        <v>308468.02720000001</v>
      </c>
      <c r="DJ15" s="485">
        <f>SUM(BZ15:CC15)</f>
        <v>486429.11015086097</v>
      </c>
      <c r="DK15" s="485">
        <f>SUM(CD15:CG15)</f>
        <v>609204.11566064379</v>
      </c>
      <c r="DL15" s="485">
        <f>SUM(CH15:CK15)</f>
        <v>682492.59002398676</v>
      </c>
      <c r="DM15" s="485">
        <f>SUM(CL15:CO15)</f>
        <v>764888.11993534316</v>
      </c>
    </row>
    <row r="16" spans="1:117" s="488" customFormat="1" ht="12" customHeight="1">
      <c r="A16" s="92" t="s">
        <v>223</v>
      </c>
      <c r="Z16" s="493"/>
      <c r="AA16" s="488">
        <f>AA15/Z15-1</f>
        <v>0.45614035087719307</v>
      </c>
      <c r="AB16" s="488">
        <f t="shared" ref="AB16:BV16" si="35">AB15/AA15-1</f>
        <v>8.43373493975903E-2</v>
      </c>
      <c r="AC16" s="488">
        <f t="shared" si="35"/>
        <v>-2.2222222222222254E-2</v>
      </c>
      <c r="AD16" s="488">
        <f t="shared" si="35"/>
        <v>0</v>
      </c>
      <c r="AE16" s="488">
        <f t="shared" si="35"/>
        <v>-0.17045454545454541</v>
      </c>
      <c r="AF16" s="488">
        <f t="shared" si="35"/>
        <v>0.12328767123287676</v>
      </c>
      <c r="AG16" s="488">
        <f t="shared" si="35"/>
        <v>0.18292682926829262</v>
      </c>
      <c r="AH16" s="488">
        <f t="shared" si="35"/>
        <v>0.47422680412371143</v>
      </c>
      <c r="AI16" s="488">
        <f t="shared" si="35"/>
        <v>5.5944055944056048E-2</v>
      </c>
      <c r="AJ16" s="488">
        <f t="shared" si="35"/>
        <v>0.58940397350993368</v>
      </c>
      <c r="AK16" s="488">
        <f t="shared" si="35"/>
        <v>0.23333333333333339</v>
      </c>
      <c r="AL16" s="488">
        <f t="shared" si="35"/>
        <v>0.3817567567567568</v>
      </c>
      <c r="AM16" s="488">
        <f t="shared" si="35"/>
        <v>1.7114914425427896E-2</v>
      </c>
      <c r="AN16" s="488">
        <f t="shared" si="35"/>
        <v>0.20432692307692313</v>
      </c>
      <c r="AO16" s="488">
        <f t="shared" si="35"/>
        <v>0.20958083832335328</v>
      </c>
      <c r="AP16" s="488">
        <f t="shared" si="35"/>
        <v>0.15676567656765683</v>
      </c>
      <c r="AQ16" s="488">
        <f t="shared" si="35"/>
        <v>8.4165477888730411E-2</v>
      </c>
      <c r="AR16" s="488">
        <f t="shared" si="35"/>
        <v>4.2105263157894646E-2</v>
      </c>
      <c r="AS16" s="488">
        <f t="shared" si="35"/>
        <v>-0.14267676767676762</v>
      </c>
      <c r="AT16" s="488">
        <f t="shared" si="35"/>
        <v>-6.6273932253313683E-2</v>
      </c>
      <c r="AU16" s="488">
        <f t="shared" si="35"/>
        <v>3.3123028391167209E-2</v>
      </c>
      <c r="AV16" s="488">
        <f t="shared" si="35"/>
        <v>0.10839694656488552</v>
      </c>
      <c r="AW16" s="488">
        <f t="shared" si="35"/>
        <v>0.33333333333333326</v>
      </c>
      <c r="AX16" s="488">
        <f t="shared" si="35"/>
        <v>0.17871900826446274</v>
      </c>
      <c r="AY16" s="488">
        <f t="shared" si="35"/>
        <v>6.2226117440841389E-2</v>
      </c>
      <c r="AZ16" s="488">
        <f t="shared" si="35"/>
        <v>6.0231023102310211E-2</v>
      </c>
      <c r="BA16" s="488">
        <f t="shared" si="35"/>
        <v>9.3761058365758876E-2</v>
      </c>
      <c r="BB16" s="488">
        <f t="shared" si="35"/>
        <v>7.583481481696519E-2</v>
      </c>
      <c r="BC16" s="488">
        <f t="shared" si="35"/>
        <v>0.13619266335662927</v>
      </c>
      <c r="BD16" s="488">
        <f t="shared" si="35"/>
        <v>0.33178114086146682</v>
      </c>
      <c r="BE16" s="488">
        <f t="shared" si="35"/>
        <v>0.11459790209790199</v>
      </c>
      <c r="BF16" s="488">
        <f t="shared" si="35"/>
        <v>0.17699003999686314</v>
      </c>
      <c r="BG16" s="488">
        <f t="shared" si="35"/>
        <v>1.2024413971400971E-3</v>
      </c>
      <c r="BH16" s="488">
        <f t="shared" si="35"/>
        <v>-5.7636588315892467E-2</v>
      </c>
      <c r="BI16" s="488">
        <f t="shared" si="35"/>
        <v>-9.4299278079875148E-2</v>
      </c>
      <c r="BJ16" s="488">
        <f t="shared" si="35"/>
        <v>0.30881807012631257</v>
      </c>
      <c r="BK16" s="488">
        <f t="shared" si="35"/>
        <v>1.5653857610962167</v>
      </c>
      <c r="BL16" s="488">
        <f t="shared" si="35"/>
        <v>0.3831463365071992</v>
      </c>
      <c r="BM16" s="488">
        <f t="shared" si="35"/>
        <v>0.26539917570237126</v>
      </c>
      <c r="BN16" s="488">
        <f t="shared" si="35"/>
        <v>0.28653884429111653</v>
      </c>
      <c r="BO16" s="488">
        <f t="shared" si="35"/>
        <v>0.16563531353135308</v>
      </c>
      <c r="BP16" s="488">
        <f t="shared" si="35"/>
        <v>0.22296938594938953</v>
      </c>
      <c r="BQ16" s="488">
        <f t="shared" si="35"/>
        <v>0.17768774417595146</v>
      </c>
      <c r="BR16" s="488">
        <f t="shared" si="35"/>
        <v>4.9115370438628903E-2</v>
      </c>
      <c r="BS16" s="488">
        <f t="shared" si="35"/>
        <v>-9.1055482359829742E-3</v>
      </c>
      <c r="BT16" s="488">
        <f t="shared" si="35"/>
        <v>0.27136272308237808</v>
      </c>
      <c r="BU16" s="488">
        <f t="shared" si="35"/>
        <v>0.19303709212605735</v>
      </c>
      <c r="BV16" s="488">
        <f t="shared" si="35"/>
        <v>0.17750418825729541</v>
      </c>
      <c r="BW16" s="489">
        <v>0.15</v>
      </c>
      <c r="BX16" s="489">
        <v>0.2</v>
      </c>
      <c r="BY16" s="489">
        <v>0.14000000000000001</v>
      </c>
      <c r="BZ16" s="489">
        <v>0.1</v>
      </c>
      <c r="CA16" s="489">
        <v>0.1</v>
      </c>
      <c r="CB16" s="489">
        <v>0.12</v>
      </c>
      <c r="CC16" s="489">
        <v>7.0000000000000007E-2</v>
      </c>
      <c r="CD16" s="489">
        <v>0.03</v>
      </c>
      <c r="CE16" s="489">
        <v>0.03</v>
      </c>
      <c r="CF16" s="489">
        <v>7.0000000000000007E-2</v>
      </c>
      <c r="CG16" s="489">
        <v>0.05</v>
      </c>
      <c r="CH16" s="489">
        <v>0.01</v>
      </c>
      <c r="CI16" s="489">
        <v>0.01</v>
      </c>
      <c r="CJ16" s="489">
        <v>0.03</v>
      </c>
      <c r="CK16" s="489">
        <v>0.02</v>
      </c>
      <c r="CL16" s="489">
        <v>0.02</v>
      </c>
      <c r="CM16" s="489">
        <v>0.03</v>
      </c>
      <c r="CN16" s="489">
        <v>0.06</v>
      </c>
      <c r="CO16" s="489">
        <v>0.04</v>
      </c>
      <c r="CV16" s="494"/>
      <c r="CW16" s="494"/>
      <c r="CX16" s="494"/>
      <c r="CY16" s="494"/>
      <c r="CZ16" s="494"/>
      <c r="DA16" s="494"/>
      <c r="DB16" s="494"/>
      <c r="DC16" s="494"/>
      <c r="DD16" s="494"/>
      <c r="DE16" s="494"/>
      <c r="DF16" s="494"/>
      <c r="DG16" s="494"/>
      <c r="DH16" s="494"/>
      <c r="DI16" s="494"/>
      <c r="DJ16" s="494"/>
      <c r="DK16" s="494"/>
      <c r="DL16" s="494"/>
      <c r="DM16" s="494"/>
    </row>
    <row r="17" spans="1:117" s="488" customFormat="1" ht="12.75" customHeight="1">
      <c r="A17" s="92" t="s">
        <v>225</v>
      </c>
      <c r="Z17" s="493"/>
      <c r="AA17" s="493"/>
      <c r="AB17" s="493"/>
      <c r="AC17" s="493"/>
      <c r="AD17" s="488">
        <f t="shared" ref="AD17:BN17" si="36">AD15/Z15-1</f>
        <v>0.54385964912280693</v>
      </c>
      <c r="AE17" s="488">
        <f t="shared" si="36"/>
        <v>-0.12048192771084343</v>
      </c>
      <c r="AF17" s="488">
        <f t="shared" si="36"/>
        <v>-8.8888888888888906E-2</v>
      </c>
      <c r="AG17" s="488">
        <f t="shared" si="36"/>
        <v>0.10227272727272729</v>
      </c>
      <c r="AH17" s="488">
        <f t="shared" si="36"/>
        <v>0.625</v>
      </c>
      <c r="AI17" s="488">
        <f t="shared" si="36"/>
        <v>1.0684931506849313</v>
      </c>
      <c r="AJ17" s="488">
        <f t="shared" si="36"/>
        <v>1.9268292682926829</v>
      </c>
      <c r="AK17" s="488">
        <f t="shared" si="36"/>
        <v>2.0515463917525771</v>
      </c>
      <c r="AL17" s="488">
        <f t="shared" si="36"/>
        <v>1.86013986013986</v>
      </c>
      <c r="AM17" s="488">
        <f t="shared" si="36"/>
        <v>1.7549668874172184</v>
      </c>
      <c r="AN17" s="488">
        <f t="shared" si="36"/>
        <v>1.0874999999999999</v>
      </c>
      <c r="AO17" s="488">
        <f t="shared" si="36"/>
        <v>1.0472972972972974</v>
      </c>
      <c r="AP17" s="488">
        <f t="shared" si="36"/>
        <v>0.71393643031784837</v>
      </c>
      <c r="AQ17" s="488">
        <f t="shared" si="36"/>
        <v>0.82692307692307687</v>
      </c>
      <c r="AR17" s="488">
        <f t="shared" si="36"/>
        <v>0.58083832335329344</v>
      </c>
      <c r="AS17" s="488">
        <f t="shared" si="36"/>
        <v>0.12046204620462042</v>
      </c>
      <c r="AT17" s="488">
        <f t="shared" si="36"/>
        <v>-9.5577746077032844E-2</v>
      </c>
      <c r="AU17" s="488">
        <f t="shared" si="36"/>
        <v>-0.13815789473684215</v>
      </c>
      <c r="AV17" s="488">
        <f t="shared" si="36"/>
        <v>-8.333333333333337E-2</v>
      </c>
      <c r="AW17" s="488">
        <f t="shared" si="36"/>
        <v>0.42562592047128134</v>
      </c>
      <c r="AX17" s="488">
        <f t="shared" si="36"/>
        <v>0.7996845425867507</v>
      </c>
      <c r="AY17" s="488">
        <f t="shared" si="36"/>
        <v>0.85038167938931308</v>
      </c>
      <c r="AZ17" s="488">
        <f t="shared" si="36"/>
        <v>0.76997245179063367</v>
      </c>
      <c r="BA17" s="488">
        <f t="shared" si="36"/>
        <v>0.45194520661157034</v>
      </c>
      <c r="BB17" s="488">
        <f t="shared" si="36"/>
        <v>0.32521253286590723</v>
      </c>
      <c r="BC17" s="488">
        <f t="shared" si="36"/>
        <v>0.41749174917491749</v>
      </c>
      <c r="BD17" s="488">
        <f t="shared" si="36"/>
        <v>0.78054474708171195</v>
      </c>
      <c r="BE17" s="488">
        <f t="shared" si="36"/>
        <v>0.81446525683954207</v>
      </c>
      <c r="BF17" s="488">
        <f t="shared" si="36"/>
        <v>0.98507011095734787</v>
      </c>
      <c r="BG17" s="488">
        <f t="shared" si="36"/>
        <v>0.74922537834691494</v>
      </c>
      <c r="BH17" s="488">
        <f t="shared" si="36"/>
        <v>0.23774541083916079</v>
      </c>
      <c r="BI17" s="488">
        <f t="shared" si="36"/>
        <v>5.7680083914986024E-3</v>
      </c>
      <c r="BJ17" s="488">
        <f t="shared" si="36"/>
        <v>0.11841842242034151</v>
      </c>
      <c r="BK17" s="488">
        <f t="shared" si="36"/>
        <v>1.865728824852857</v>
      </c>
      <c r="BL17" s="488">
        <f t="shared" si="36"/>
        <v>3.2061504896870954</v>
      </c>
      <c r="BM17" s="488">
        <f t="shared" si="36"/>
        <v>4.8766204262776016</v>
      </c>
      <c r="BN17" s="488">
        <f t="shared" si="36"/>
        <v>4.7765862377122428</v>
      </c>
      <c r="BO17" s="488">
        <f>BO15/BK15-1</f>
        <v>1.6247097073850441</v>
      </c>
      <c r="BP17" s="488">
        <f>BP15/BL15-1</f>
        <v>1.3207519945011845</v>
      </c>
      <c r="BQ17" s="488">
        <f>BQ15/BM15-1</f>
        <v>1.1598885424268559</v>
      </c>
      <c r="BR17" s="488">
        <f>BR15/BN15-1</f>
        <v>0.76129331683168311</v>
      </c>
      <c r="BS17" s="488">
        <f t="shared" ref="BS17:BY17" si="37">BS15/BO15-1</f>
        <v>0.49725712263316235</v>
      </c>
      <c r="BT17" s="488">
        <f t="shared" si="37"/>
        <v>0.55650412386051218</v>
      </c>
      <c r="BU17" s="488">
        <f t="shared" si="37"/>
        <v>0.57679076053569234</v>
      </c>
      <c r="BV17" s="488">
        <f t="shared" si="37"/>
        <v>0.76975552627726551</v>
      </c>
      <c r="BW17" s="489">
        <f t="shared" si="37"/>
        <v>1.0539209313319935</v>
      </c>
      <c r="BX17" s="489">
        <f t="shared" si="37"/>
        <v>0.93863251836013739</v>
      </c>
      <c r="BY17" s="489">
        <f t="shared" si="37"/>
        <v>0.85244958896637724</v>
      </c>
      <c r="BZ17" s="489">
        <f>BZ15/BV15-1</f>
        <v>0.73052000000000028</v>
      </c>
      <c r="CA17" s="489">
        <f>CA15/BW15-1</f>
        <v>0.65528000000000053</v>
      </c>
      <c r="CB17" s="489">
        <f>CB15/BX15-1</f>
        <v>0.54492800000000052</v>
      </c>
      <c r="CC17" s="489">
        <f>CC15/BY15-1</f>
        <v>0.45006400000000046</v>
      </c>
      <c r="CD17" s="489">
        <f t="shared" ref="CD17:CO17" si="38">CD15/BZ15-1</f>
        <v>0.35778720000000042</v>
      </c>
      <c r="CE17" s="489">
        <f t="shared" si="38"/>
        <v>0.27138256000000038</v>
      </c>
      <c r="CF17" s="489">
        <f t="shared" si="38"/>
        <v>0.21462441000000054</v>
      </c>
      <c r="CG17" s="489">
        <f t="shared" si="38"/>
        <v>0.19192115000000043</v>
      </c>
      <c r="CH17" s="489">
        <f t="shared" si="38"/>
        <v>0.16877705000000054</v>
      </c>
      <c r="CI17" s="489">
        <f t="shared" si="38"/>
        <v>0.14608235000000036</v>
      </c>
      <c r="CJ17" s="489">
        <f t="shared" si="38"/>
        <v>0.10323815000000014</v>
      </c>
      <c r="CK17" s="489">
        <f t="shared" si="38"/>
        <v>7.1717059999999888E-2</v>
      </c>
      <c r="CL17" s="489">
        <f t="shared" si="38"/>
        <v>8.2328119999999894E-2</v>
      </c>
      <c r="CM17" s="489">
        <f t="shared" si="38"/>
        <v>0.10376035999999988</v>
      </c>
      <c r="CN17" s="489">
        <f t="shared" si="38"/>
        <v>0.13590871999999998</v>
      </c>
      <c r="CO17" s="489">
        <f t="shared" si="38"/>
        <v>0.15818144000000012</v>
      </c>
      <c r="CV17" s="184">
        <f t="shared" ref="CV17:DM17" si="39">CV15/CU15-1</f>
        <v>0.54263565891472876</v>
      </c>
      <c r="CW17" s="495">
        <f t="shared" si="39"/>
        <v>0.59798994974874375</v>
      </c>
      <c r="CX17" s="495">
        <f t="shared" si="39"/>
        <v>6.9182389937106903E-2</v>
      </c>
      <c r="CY17" s="495">
        <f t="shared" si="39"/>
        <v>1.4411764705882355</v>
      </c>
      <c r="CZ17" s="495">
        <f t="shared" si="39"/>
        <v>1.3277108433734939</v>
      </c>
      <c r="DA17" s="495">
        <f t="shared" si="39"/>
        <v>0.51759834368530022</v>
      </c>
      <c r="DB17" s="495">
        <f t="shared" si="39"/>
        <v>1.7394270122783162E-2</v>
      </c>
      <c r="DC17" s="495">
        <f t="shared" si="39"/>
        <v>0.69074185719074777</v>
      </c>
      <c r="DD17" s="495">
        <f t="shared" si="39"/>
        <v>0.5997412034480234</v>
      </c>
      <c r="DE17" s="495">
        <f t="shared" si="39"/>
        <v>0.41338896795377678</v>
      </c>
      <c r="DF17" s="495">
        <f t="shared" si="39"/>
        <v>2.4159085999706353</v>
      </c>
      <c r="DG17" s="495">
        <f t="shared" si="39"/>
        <v>1.6235277978559459</v>
      </c>
      <c r="DH17" s="495">
        <f t="shared" si="39"/>
        <v>0.58872167208109905</v>
      </c>
      <c r="DI17" s="495">
        <f t="shared" si="39"/>
        <v>0.89988991937719032</v>
      </c>
      <c r="DJ17" s="495">
        <f t="shared" si="39"/>
        <v>0.57691905565135659</v>
      </c>
      <c r="DK17" s="495">
        <f t="shared" si="39"/>
        <v>0.25240061284922977</v>
      </c>
      <c r="DL17" s="495">
        <f t="shared" si="39"/>
        <v>0.12030200138071323</v>
      </c>
      <c r="DM17" s="495">
        <f t="shared" si="39"/>
        <v>0.1207273619021425</v>
      </c>
    </row>
    <row r="18" spans="1:117" s="488" customFormat="1" ht="12" customHeight="1">
      <c r="A18" s="496" t="s">
        <v>576</v>
      </c>
      <c r="B18" s="493"/>
      <c r="C18" s="493"/>
      <c r="D18" s="493"/>
      <c r="E18" s="493"/>
      <c r="F18" s="493"/>
      <c r="G18" s="493"/>
      <c r="H18" s="493"/>
      <c r="I18" s="493"/>
      <c r="J18" s="493"/>
      <c r="K18" s="493"/>
      <c r="L18" s="493"/>
      <c r="M18" s="493"/>
      <c r="N18" s="493"/>
      <c r="O18" s="493"/>
      <c r="P18" s="493"/>
      <c r="Q18" s="493"/>
      <c r="R18" s="493"/>
      <c r="S18" s="493"/>
      <c r="T18" s="493"/>
      <c r="U18" s="493"/>
      <c r="V18" s="493"/>
      <c r="W18" s="493"/>
      <c r="X18" s="493"/>
      <c r="Y18" s="493"/>
      <c r="Z18" s="493">
        <f>Z15/Z$10</f>
        <v>1.2439391091670823E-2</v>
      </c>
      <c r="AA18" s="493">
        <f t="shared" ref="AA18:BL18" si="40">AA15/AA$10</f>
        <v>1.6079936457440325E-2</v>
      </c>
      <c r="AB18" s="493">
        <f t="shared" si="40"/>
        <v>1.787333431570691E-2</v>
      </c>
      <c r="AC18" s="493">
        <f t="shared" si="40"/>
        <v>1.3660952779635027E-2</v>
      </c>
      <c r="AD18" s="493">
        <f t="shared" si="40"/>
        <v>1.5533656895611038E-2</v>
      </c>
      <c r="AE18" s="493">
        <f t="shared" si="40"/>
        <v>1.1982634074815961E-2</v>
      </c>
      <c r="AF18" s="493">
        <f t="shared" si="40"/>
        <v>1.4488811153550595E-2</v>
      </c>
      <c r="AG18" s="493">
        <f t="shared" si="40"/>
        <v>1.685432120137097E-2</v>
      </c>
      <c r="AH18" s="493">
        <f t="shared" si="40"/>
        <v>1.8936725437229934E-2</v>
      </c>
      <c r="AI18" s="493">
        <f t="shared" si="40"/>
        <v>1.8768123756574284E-2</v>
      </c>
      <c r="AJ18" s="493">
        <f t="shared" si="40"/>
        <v>2.9111048762067483E-2</v>
      </c>
      <c r="AK18" s="493">
        <f t="shared" si="40"/>
        <v>3.0189422171914275E-2</v>
      </c>
      <c r="AL18" s="493">
        <f t="shared" si="40"/>
        <v>5.0561333269699173E-2</v>
      </c>
      <c r="AM18" s="493">
        <f t="shared" si="40"/>
        <v>4.0539415831723935E-2</v>
      </c>
      <c r="AN18" s="493">
        <f t="shared" si="40"/>
        <v>4.6043712826296254E-2</v>
      </c>
      <c r="AO18" s="493">
        <f t="shared" si="40"/>
        <v>4.4915421302291224E-2</v>
      </c>
      <c r="AP18" s="493">
        <f t="shared" si="40"/>
        <v>4.0277766280857184E-2</v>
      </c>
      <c r="AQ18" s="493">
        <f t="shared" si="40"/>
        <v>4.3675711976998592E-2</v>
      </c>
      <c r="AR18" s="493">
        <f t="shared" si="40"/>
        <v>4.6141067468098824E-2</v>
      </c>
      <c r="AS18" s="493">
        <f t="shared" si="40"/>
        <v>3.4130506207361536E-2</v>
      </c>
      <c r="AT18" s="493">
        <f t="shared" si="40"/>
        <v>3.9329861510284878E-2</v>
      </c>
      <c r="AU18" s="493">
        <f t="shared" si="40"/>
        <v>3.45054816849827E-2</v>
      </c>
      <c r="AV18" s="493">
        <f t="shared" si="40"/>
        <v>3.6021999362073655E-2</v>
      </c>
      <c r="AW18" s="493">
        <f t="shared" si="40"/>
        <v>4.7181501886795624E-2</v>
      </c>
      <c r="AX18" s="493">
        <f t="shared" si="40"/>
        <v>6.3728362791036164E-2</v>
      </c>
      <c r="AY18" s="493">
        <f t="shared" si="40"/>
        <v>6.3814369774791088E-2</v>
      </c>
      <c r="AZ18" s="493">
        <f t="shared" si="40"/>
        <v>6.1424927481091574E-2</v>
      </c>
      <c r="BA18" s="493">
        <f t="shared" si="40"/>
        <v>6.1544663101666224E-2</v>
      </c>
      <c r="BB18" s="493">
        <f t="shared" si="40"/>
        <v>6.7920733633173663E-2</v>
      </c>
      <c r="BC18" s="493">
        <f t="shared" si="40"/>
        <v>7.1227396605924628E-2</v>
      </c>
      <c r="BD18" s="493">
        <f t="shared" si="40"/>
        <v>8.5893204441473137E-2</v>
      </c>
      <c r="BE18" s="493">
        <f t="shared" si="40"/>
        <v>9.3557587983854343E-2</v>
      </c>
      <c r="BF18" s="493">
        <f t="shared" si="40"/>
        <v>0.10011753332048588</v>
      </c>
      <c r="BG18" s="493">
        <f t="shared" si="40"/>
        <v>9.3968089349985559E-2</v>
      </c>
      <c r="BH18" s="493">
        <f t="shared" si="40"/>
        <v>8.5122991824392577E-2</v>
      </c>
      <c r="BI18" s="493">
        <f t="shared" si="40"/>
        <v>7.48090496072049E-2</v>
      </c>
      <c r="BJ18" s="493">
        <f t="shared" si="40"/>
        <v>0.10563548954029089</v>
      </c>
      <c r="BK18" s="493">
        <f t="shared" si="40"/>
        <v>0.2671540534540745</v>
      </c>
      <c r="BL18" s="493">
        <f t="shared" si="40"/>
        <v>0.34546820478028423</v>
      </c>
      <c r="BM18" s="493">
        <f>BM15/BM$10</f>
        <v>0.38016109903068013</v>
      </c>
      <c r="BN18" s="493">
        <f>BN15/BN$10</f>
        <v>0.42450968863432376</v>
      </c>
      <c r="BO18" s="493">
        <f>+BO15/BO10</f>
        <v>0.40372653419191423</v>
      </c>
      <c r="BP18" s="493">
        <f>+BP15/BP10</f>
        <v>0.45610760401946632</v>
      </c>
      <c r="BQ18" s="493">
        <f>+BQ15/BQ10</f>
        <v>0.43253503850525904</v>
      </c>
      <c r="BR18" s="493">
        <f>+BR15/BR10</f>
        <v>0.42751474747593865</v>
      </c>
      <c r="BS18" s="493">
        <f t="shared" ref="BS18:BY18" si="41">+BS15/BS10</f>
        <v>0.34034802842150902</v>
      </c>
      <c r="BT18" s="493">
        <f t="shared" si="41"/>
        <v>0.3664193921379954</v>
      </c>
      <c r="BU18" s="493">
        <f t="shared" si="41"/>
        <v>0.38606537635454874</v>
      </c>
      <c r="BV18" s="493">
        <f t="shared" si="41"/>
        <v>0.42037035146238838</v>
      </c>
      <c r="BW18" s="497">
        <f t="shared" si="41"/>
        <v>0.37602598172551627</v>
      </c>
      <c r="BX18" s="497">
        <f t="shared" si="41"/>
        <v>0.41481527416061081</v>
      </c>
      <c r="BY18" s="497">
        <f t="shared" si="41"/>
        <v>0.44736378537898941</v>
      </c>
      <c r="BZ18" s="497">
        <f>+BZ15/BZ10</f>
        <v>0.53705021652907503</v>
      </c>
      <c r="CA18" s="497">
        <f>+CA15/CA10</f>
        <v>0.47355140483398028</v>
      </c>
      <c r="CB18" s="497">
        <f>+CB15/CB10</f>
        <v>0.52163533211298629</v>
      </c>
      <c r="CC18" s="497">
        <f>+CC15/CC10</f>
        <v>0.53053944796721597</v>
      </c>
      <c r="CD18" s="497">
        <f t="shared" ref="CD18:CO18" si="42">+CD15/CD10</f>
        <v>0.64404384513321322</v>
      </c>
      <c r="CE18" s="497">
        <f t="shared" si="42"/>
        <v>0.53202412411302591</v>
      </c>
      <c r="CF18" s="497">
        <f t="shared" si="42"/>
        <v>0.57969227920248212</v>
      </c>
      <c r="CG18" s="497">
        <f t="shared" si="42"/>
        <v>0.59026097986957482</v>
      </c>
      <c r="CH18" s="497">
        <f t="shared" si="42"/>
        <v>0.7480521852834171</v>
      </c>
      <c r="CI18" s="497">
        <f t="shared" si="42"/>
        <v>0.58248369032234382</v>
      </c>
      <c r="CJ18" s="497">
        <f t="shared" si="42"/>
        <v>0.65637164419100602</v>
      </c>
      <c r="CK18" s="497">
        <f t="shared" si="42"/>
        <v>0.64818136042012142</v>
      </c>
      <c r="CL18" s="497">
        <f t="shared" si="42"/>
        <v>0.84196602408629817</v>
      </c>
      <c r="CM18" s="497">
        <f t="shared" si="42"/>
        <v>0.65721671578003737</v>
      </c>
      <c r="CN18" s="497">
        <f t="shared" si="42"/>
        <v>0.97053027220181087</v>
      </c>
      <c r="CO18" s="497">
        <f t="shared" si="42"/>
        <v>0.97615257756740648</v>
      </c>
      <c r="CP18" s="493"/>
      <c r="CQ18" s="493"/>
      <c r="CR18" s="493"/>
      <c r="CS18" s="493"/>
      <c r="CT18" s="493"/>
      <c r="CU18" s="498">
        <f t="shared" ref="CU18:DI18" si="43">CU15/CU$10</f>
        <v>1.4842093275326103E-2</v>
      </c>
      <c r="CV18" s="498">
        <f t="shared" si="43"/>
        <v>1.2175597067232898E-2</v>
      </c>
      <c r="CW18" s="498">
        <f t="shared" si="43"/>
        <v>1.4985098547038512E-2</v>
      </c>
      <c r="CX18" s="498">
        <f t="shared" si="43"/>
        <v>1.4672876064537467E-2</v>
      </c>
      <c r="CY18" s="498">
        <f t="shared" si="43"/>
        <v>2.4668555920131327E-2</v>
      </c>
      <c r="CZ18" s="498">
        <f t="shared" si="43"/>
        <v>4.5220703936124318E-2</v>
      </c>
      <c r="DA18" s="498">
        <f t="shared" si="43"/>
        <v>4.0799232558973719E-2</v>
      </c>
      <c r="DB18" s="498">
        <f t="shared" si="43"/>
        <v>3.9367364616070641E-2</v>
      </c>
      <c r="DC18" s="498">
        <f t="shared" si="43"/>
        <v>6.2532842371673392E-2</v>
      </c>
      <c r="DD18" s="498">
        <f t="shared" si="43"/>
        <v>8.0459016813243134E-2</v>
      </c>
      <c r="DE18" s="498">
        <f t="shared" si="43"/>
        <v>8.8047643121740751E-2</v>
      </c>
      <c r="DF18" s="498">
        <f t="shared" si="43"/>
        <v>0.28197883280472225</v>
      </c>
      <c r="DG18" s="498">
        <f t="shared" si="43"/>
        <v>0.43021611901677731</v>
      </c>
      <c r="DH18" s="498">
        <f t="shared" si="43"/>
        <v>0.377823797690925</v>
      </c>
      <c r="DI18" s="498">
        <f t="shared" si="43"/>
        <v>0.41555185329819605</v>
      </c>
      <c r="DJ18" s="498">
        <f>DJ15/DJ$10</f>
        <v>0.51489598991771013</v>
      </c>
      <c r="DK18" s="498">
        <f>DK15/DK$10</f>
        <v>0.58354953165487522</v>
      </c>
      <c r="DL18" s="498">
        <f>DL15/DL$10</f>
        <v>0.65335749914729335</v>
      </c>
      <c r="DM18" s="498">
        <f>DM15/DM$10</f>
        <v>0.84418174568968329</v>
      </c>
    </row>
    <row r="19" spans="1:117" s="488" customFormat="1" ht="12" customHeight="1">
      <c r="A19" s="496"/>
      <c r="B19" s="493"/>
      <c r="C19" s="493"/>
      <c r="D19" s="493"/>
      <c r="E19" s="493"/>
      <c r="F19" s="493"/>
      <c r="G19" s="493"/>
      <c r="H19" s="493"/>
      <c r="I19" s="493"/>
      <c r="J19" s="493"/>
      <c r="K19" s="493"/>
      <c r="L19" s="493"/>
      <c r="M19" s="493"/>
      <c r="N19" s="493"/>
      <c r="O19" s="493"/>
      <c r="P19" s="493"/>
      <c r="Q19" s="493"/>
      <c r="R19" s="493"/>
      <c r="S19" s="493"/>
      <c r="T19" s="493"/>
      <c r="U19" s="493"/>
      <c r="V19" s="493"/>
      <c r="W19" s="493"/>
      <c r="X19" s="493"/>
      <c r="Y19" s="493"/>
      <c r="Z19" s="493"/>
      <c r="AA19" s="493"/>
      <c r="AB19" s="493"/>
      <c r="AC19" s="493"/>
      <c r="AD19" s="493"/>
      <c r="AE19" s="493"/>
      <c r="AF19" s="493"/>
      <c r="AG19" s="493"/>
      <c r="AH19" s="493"/>
      <c r="AI19" s="493"/>
      <c r="AJ19" s="493"/>
      <c r="AK19" s="493"/>
      <c r="AL19" s="493"/>
      <c r="AM19" s="493"/>
      <c r="AN19" s="493"/>
      <c r="AO19" s="493"/>
      <c r="AP19" s="493"/>
      <c r="AQ19" s="493"/>
      <c r="AR19" s="493"/>
      <c r="AS19" s="493"/>
      <c r="AT19" s="493"/>
      <c r="AU19" s="493"/>
      <c r="AV19" s="493"/>
      <c r="AW19" s="493"/>
      <c r="AX19" s="493"/>
      <c r="AY19" s="493"/>
      <c r="AZ19" s="493"/>
      <c r="BA19" s="493"/>
      <c r="BB19" s="493"/>
      <c r="BC19" s="493"/>
      <c r="BD19" s="493"/>
      <c r="BE19" s="493"/>
      <c r="BF19" s="493"/>
      <c r="BG19" s="493"/>
      <c r="BH19" s="493"/>
      <c r="BI19" s="493"/>
      <c r="BJ19" s="493"/>
      <c r="BK19" s="493"/>
      <c r="BL19" s="493"/>
      <c r="BM19" s="493"/>
      <c r="BN19" s="493"/>
      <c r="BO19" s="493"/>
      <c r="BP19" s="493"/>
      <c r="BQ19" s="493"/>
      <c r="BR19" s="493"/>
      <c r="BS19" s="493"/>
      <c r="BT19" s="493"/>
      <c r="BU19" s="493"/>
      <c r="BV19" s="493"/>
      <c r="BW19" s="497"/>
      <c r="BX19" s="497"/>
      <c r="BY19" s="497"/>
      <c r="BZ19" s="497"/>
      <c r="CA19" s="497"/>
      <c r="CB19" s="497"/>
      <c r="CC19" s="497"/>
      <c r="CD19" s="497"/>
      <c r="CE19" s="497"/>
      <c r="CF19" s="497"/>
      <c r="CG19" s="497"/>
      <c r="CH19" s="497"/>
      <c r="CI19" s="497"/>
      <c r="CJ19" s="497"/>
      <c r="CK19" s="497"/>
      <c r="CL19" s="497"/>
      <c r="CM19" s="497"/>
      <c r="CN19" s="497"/>
      <c r="CO19" s="497"/>
      <c r="CP19" s="493"/>
      <c r="CQ19" s="493"/>
      <c r="CR19" s="493"/>
      <c r="CS19" s="493"/>
      <c r="CT19" s="493"/>
      <c r="CU19" s="498"/>
      <c r="CV19" s="498"/>
      <c r="CW19" s="498"/>
      <c r="CX19" s="498"/>
      <c r="CY19" s="498"/>
      <c r="CZ19" s="498"/>
      <c r="DA19" s="498"/>
      <c r="DB19" s="498"/>
      <c r="DC19" s="498"/>
      <c r="DD19" s="498"/>
      <c r="DE19" s="498"/>
      <c r="DF19" s="498"/>
      <c r="DG19" s="498"/>
      <c r="DH19" s="498"/>
      <c r="DI19" s="498"/>
      <c r="DJ19" s="498"/>
      <c r="DK19" s="498"/>
      <c r="DL19" s="498"/>
      <c r="DM19" s="498"/>
    </row>
    <row r="20" spans="1:117">
      <c r="A20" s="481" t="s">
        <v>579</v>
      </c>
      <c r="B20" s="481"/>
      <c r="C20" s="481"/>
      <c r="D20" s="481"/>
      <c r="E20" s="481"/>
      <c r="F20" s="481"/>
      <c r="G20" s="481"/>
      <c r="H20" s="481"/>
      <c r="I20" s="481"/>
      <c r="J20" s="481"/>
      <c r="K20" s="481"/>
      <c r="L20" s="481"/>
      <c r="M20" s="481"/>
      <c r="N20" s="481"/>
      <c r="O20" s="481"/>
      <c r="P20" s="481"/>
      <c r="Q20" s="481"/>
      <c r="R20" s="481"/>
      <c r="S20" s="481"/>
      <c r="T20" s="481"/>
      <c r="U20" s="481"/>
      <c r="V20" s="481"/>
      <c r="W20" s="481"/>
      <c r="X20" s="481"/>
      <c r="Y20" s="481"/>
      <c r="Z20" s="481"/>
      <c r="AA20" s="481"/>
      <c r="AB20" s="481"/>
      <c r="AC20" s="481"/>
      <c r="AD20" s="481"/>
      <c r="AE20" s="481"/>
      <c r="AF20" s="481"/>
      <c r="AG20" s="481"/>
      <c r="AH20" s="481"/>
      <c r="AI20" s="481"/>
      <c r="AJ20" s="481"/>
      <c r="AK20" s="481"/>
      <c r="AL20" s="481"/>
      <c r="AM20" s="481"/>
      <c r="AN20" s="481"/>
      <c r="AO20" s="481"/>
      <c r="AP20" s="481"/>
      <c r="AQ20" s="481"/>
      <c r="AR20" s="477"/>
      <c r="AS20" s="477"/>
      <c r="AT20" s="477"/>
      <c r="AU20" s="477"/>
      <c r="AV20" s="477"/>
      <c r="AW20" s="481"/>
      <c r="AX20" s="481"/>
      <c r="AY20" s="481"/>
      <c r="AZ20" s="481"/>
      <c r="BA20" s="481"/>
      <c r="BB20" s="481"/>
      <c r="BC20" s="481"/>
      <c r="BD20" s="492"/>
      <c r="BE20" s="481"/>
      <c r="BF20" s="481"/>
      <c r="BG20" s="481"/>
      <c r="BH20" s="481"/>
      <c r="BI20" s="481"/>
      <c r="BJ20" s="481"/>
      <c r="BK20" s="481"/>
      <c r="BL20" s="481"/>
      <c r="BM20" s="481"/>
      <c r="BN20" s="481"/>
      <c r="BO20" s="481"/>
      <c r="BP20" s="481"/>
      <c r="BQ20" s="481"/>
      <c r="BR20" s="481"/>
      <c r="BS20" s="481"/>
      <c r="BT20" s="481"/>
      <c r="BU20" s="481"/>
      <c r="BV20" s="481"/>
      <c r="BW20" s="481"/>
      <c r="BX20" s="481"/>
      <c r="BY20" s="481"/>
      <c r="BZ20" s="481"/>
      <c r="CA20" s="481"/>
      <c r="CB20" s="481"/>
      <c r="CC20" s="481"/>
      <c r="CD20" s="481"/>
      <c r="CE20" s="481"/>
      <c r="CF20" s="481"/>
      <c r="CG20" s="481"/>
      <c r="CH20" s="481"/>
      <c r="CI20" s="481"/>
      <c r="CJ20" s="481"/>
      <c r="CK20" s="481"/>
      <c r="CL20" s="481"/>
      <c r="CM20" s="481"/>
      <c r="CN20" s="481"/>
      <c r="CO20" s="481"/>
      <c r="CP20" s="482"/>
      <c r="CQ20" s="481"/>
      <c r="CR20" s="481"/>
      <c r="CS20" s="481"/>
      <c r="CT20" s="481"/>
      <c r="CU20" s="481"/>
      <c r="CV20" s="481"/>
      <c r="CW20" s="481"/>
      <c r="CX20" s="481"/>
      <c r="CY20" s="481"/>
      <c r="CZ20" s="481"/>
      <c r="DA20" s="481"/>
      <c r="DB20" s="481"/>
      <c r="DC20" s="481"/>
      <c r="DD20" s="481"/>
      <c r="DE20" s="481"/>
      <c r="DF20" s="481"/>
      <c r="DG20" s="492"/>
      <c r="DH20" s="492"/>
      <c r="DI20" s="492"/>
      <c r="DJ20" s="492"/>
      <c r="DK20" s="492"/>
      <c r="DL20" s="492"/>
      <c r="DM20" s="492"/>
    </row>
    <row r="21" spans="1:117">
      <c r="A21" s="514" t="s">
        <v>580</v>
      </c>
      <c r="B21" s="515"/>
      <c r="C21" s="515"/>
      <c r="D21" s="515"/>
      <c r="E21" s="515"/>
      <c r="F21" s="515"/>
      <c r="G21" s="515"/>
      <c r="H21" s="515"/>
      <c r="I21" s="515"/>
      <c r="J21" s="515"/>
      <c r="K21" s="515"/>
      <c r="L21" s="515"/>
      <c r="M21" s="515"/>
      <c r="N21" s="515"/>
      <c r="O21" s="515"/>
      <c r="P21" s="515"/>
      <c r="Q21" s="515"/>
      <c r="R21" s="515"/>
      <c r="S21" s="515"/>
      <c r="T21" s="515"/>
      <c r="U21" s="515"/>
      <c r="V21" s="515"/>
      <c r="W21" s="515"/>
      <c r="X21" s="515"/>
      <c r="Y21" s="515"/>
      <c r="Z21" s="515"/>
      <c r="AA21" s="515"/>
      <c r="AB21" s="515"/>
      <c r="AC21" s="515"/>
      <c r="AD21" s="515"/>
      <c r="AE21" s="515"/>
      <c r="AF21" s="515"/>
      <c r="AG21" s="515"/>
      <c r="AH21" s="515"/>
      <c r="AI21" s="515"/>
      <c r="AJ21" s="515"/>
      <c r="AK21" s="515"/>
      <c r="AL21" s="515"/>
      <c r="AM21" s="515"/>
      <c r="AN21" s="515"/>
      <c r="AO21" s="515"/>
      <c r="AP21" s="515"/>
      <c r="AQ21" s="515"/>
      <c r="AR21" s="515"/>
      <c r="AS21" s="515"/>
      <c r="AT21" s="515"/>
      <c r="AU21" s="515"/>
      <c r="AV21" s="515"/>
      <c r="AW21" s="515"/>
      <c r="AX21" s="515"/>
      <c r="AY21" s="515"/>
      <c r="AZ21" s="515"/>
      <c r="BA21" s="515"/>
      <c r="BB21" s="515"/>
      <c r="BC21" s="515"/>
      <c r="BD21" s="515"/>
      <c r="BE21" s="515"/>
      <c r="BF21" s="515"/>
      <c r="BG21" s="515"/>
      <c r="BH21" s="515"/>
      <c r="BI21" s="515"/>
      <c r="BJ21" s="515"/>
      <c r="BK21" s="515"/>
      <c r="BL21" s="515"/>
      <c r="BM21" s="515"/>
      <c r="BN21" s="515"/>
      <c r="BO21" s="515"/>
      <c r="BP21" s="515"/>
      <c r="BQ21" s="515"/>
      <c r="BR21" s="515"/>
      <c r="BS21" s="515"/>
      <c r="BT21" s="515"/>
      <c r="BU21" s="515"/>
      <c r="BV21" s="515"/>
      <c r="BW21" s="515"/>
      <c r="BX21" s="515"/>
      <c r="BY21" s="515"/>
      <c r="BZ21" s="515"/>
      <c r="CA21" s="515"/>
      <c r="CB21" s="515"/>
      <c r="CC21" s="515"/>
      <c r="CD21" s="515"/>
      <c r="CE21" s="515"/>
      <c r="CF21" s="515"/>
      <c r="CG21" s="515"/>
      <c r="CH21" s="515"/>
      <c r="CI21" s="515"/>
      <c r="CJ21" s="515"/>
      <c r="CK21" s="515"/>
      <c r="CL21" s="515"/>
      <c r="CM21" s="515"/>
      <c r="CN21" s="515"/>
      <c r="CO21" s="515"/>
      <c r="CP21" s="516"/>
      <c r="CQ21" s="515"/>
      <c r="CR21" s="515"/>
      <c r="CS21" s="515"/>
      <c r="CT21" s="515"/>
      <c r="CU21" s="515"/>
      <c r="CV21" s="515"/>
      <c r="CW21" s="515"/>
      <c r="CX21" s="515"/>
      <c r="CY21" s="515"/>
      <c r="CZ21" s="515"/>
      <c r="DA21" s="515"/>
      <c r="DB21" s="515"/>
      <c r="DC21" s="515"/>
      <c r="DD21" s="515"/>
      <c r="DE21" s="515"/>
      <c r="DF21" s="515"/>
      <c r="DG21" s="515"/>
      <c r="DH21" s="515"/>
      <c r="DI21" s="515"/>
      <c r="DJ21" s="515"/>
      <c r="DK21" s="515"/>
      <c r="DL21" s="515"/>
      <c r="DM21" s="515"/>
    </row>
    <row r="22" spans="1:117">
      <c r="A22" s="517" t="s">
        <v>581</v>
      </c>
      <c r="W22" s="754"/>
      <c r="X22" s="754"/>
      <c r="Y22" s="754"/>
      <c r="Z22" s="754"/>
      <c r="AA22" s="754"/>
      <c r="AB22" s="754"/>
      <c r="AC22" s="754"/>
      <c r="AD22" s="754"/>
      <c r="AE22" s="754"/>
      <c r="AF22" s="754"/>
      <c r="AG22" s="754"/>
      <c r="AH22" s="754"/>
      <c r="AI22" s="754"/>
      <c r="AJ22" s="754"/>
      <c r="AK22" s="754"/>
      <c r="AL22" s="754"/>
      <c r="BJ22" s="518">
        <v>99</v>
      </c>
      <c r="BK22" s="518">
        <f>8612/40</f>
        <v>215.3</v>
      </c>
      <c r="BL22" s="518">
        <f t="shared" ref="BL22:BY22" si="44">BK22*(1+BL23)</f>
        <v>210.994</v>
      </c>
      <c r="BM22" s="518">
        <f t="shared" si="44"/>
        <v>189.8946</v>
      </c>
      <c r="BN22" s="518">
        <f t="shared" si="44"/>
        <v>170.90513999999999</v>
      </c>
      <c r="BO22" s="518">
        <f t="shared" si="44"/>
        <v>17.090513999999995</v>
      </c>
      <c r="BP22" s="518">
        <f t="shared" si="44"/>
        <v>0</v>
      </c>
      <c r="BQ22" s="518">
        <f t="shared" si="44"/>
        <v>0</v>
      </c>
      <c r="BR22" s="518">
        <f t="shared" si="44"/>
        <v>0</v>
      </c>
      <c r="BS22" s="518">
        <f t="shared" si="44"/>
        <v>0</v>
      </c>
      <c r="BT22" s="518">
        <f t="shared" si="44"/>
        <v>0</v>
      </c>
      <c r="BU22" s="518">
        <f t="shared" si="44"/>
        <v>0</v>
      </c>
      <c r="BV22" s="518">
        <f t="shared" si="44"/>
        <v>0</v>
      </c>
      <c r="BW22" s="518">
        <f t="shared" si="44"/>
        <v>0</v>
      </c>
      <c r="BX22" s="518">
        <f t="shared" si="44"/>
        <v>0</v>
      </c>
      <c r="BY22" s="518">
        <f t="shared" si="44"/>
        <v>0</v>
      </c>
      <c r="BZ22" s="518">
        <f>BY22*(1+BZ23)</f>
        <v>0</v>
      </c>
      <c r="CA22" s="518">
        <f>BZ22*(1+CA23)</f>
        <v>0</v>
      </c>
      <c r="CB22" s="518">
        <f>CA22*(1+CB23)</f>
        <v>0</v>
      </c>
      <c r="CC22" s="518">
        <f>CB22*(1+CC23)</f>
        <v>0</v>
      </c>
      <c r="CD22" s="518"/>
      <c r="CE22" s="518"/>
      <c r="CF22" s="518"/>
      <c r="CG22" s="518"/>
      <c r="CH22" s="518"/>
      <c r="CI22" s="518"/>
      <c r="CJ22" s="518"/>
      <c r="CK22" s="518"/>
      <c r="CL22" s="518"/>
      <c r="CM22" s="518"/>
      <c r="CN22" s="518"/>
      <c r="CO22" s="518"/>
      <c r="CP22" s="518"/>
      <c r="DF22" s="518">
        <f>SUM(BJ22:BM22)</f>
        <v>715.18859999999995</v>
      </c>
      <c r="DG22" s="518">
        <f>SUM(BN22:BQ22)</f>
        <v>187.99565399999997</v>
      </c>
      <c r="DH22" s="518"/>
      <c r="DI22" s="518"/>
      <c r="DJ22" s="518"/>
      <c r="DK22" s="518"/>
      <c r="DL22" s="518"/>
      <c r="DM22" s="518"/>
    </row>
    <row r="23" spans="1:117">
      <c r="A23" s="519" t="s">
        <v>577</v>
      </c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BJ23" s="516"/>
      <c r="BK23" s="520">
        <f>BK22/BJ22-1</f>
        <v>1.1747474747474747</v>
      </c>
      <c r="BL23" s="520">
        <v>-0.02</v>
      </c>
      <c r="BM23" s="520">
        <v>-0.1</v>
      </c>
      <c r="BN23" s="520">
        <v>-0.1</v>
      </c>
      <c r="BO23" s="520">
        <v>-0.9</v>
      </c>
      <c r="BP23" s="520">
        <v>-1</v>
      </c>
      <c r="BQ23" s="520">
        <v>0</v>
      </c>
      <c r="BR23" s="520">
        <v>0</v>
      </c>
      <c r="BS23" s="520">
        <v>0</v>
      </c>
      <c r="BT23" s="520">
        <v>0</v>
      </c>
      <c r="BU23" s="520">
        <v>0</v>
      </c>
      <c r="BV23" s="520">
        <v>0</v>
      </c>
      <c r="BW23" s="520">
        <v>0</v>
      </c>
      <c r="BX23" s="520">
        <v>0</v>
      </c>
      <c r="BY23" s="520">
        <v>0</v>
      </c>
      <c r="BZ23" s="520">
        <v>0</v>
      </c>
      <c r="CA23" s="520">
        <v>0</v>
      </c>
      <c r="CB23" s="520">
        <v>0</v>
      </c>
      <c r="CC23" s="520">
        <v>0</v>
      </c>
      <c r="CD23" s="520"/>
      <c r="CE23" s="520"/>
      <c r="CF23" s="520"/>
      <c r="CG23" s="520"/>
      <c r="CH23" s="520"/>
      <c r="CI23" s="520"/>
      <c r="CJ23" s="520"/>
      <c r="CK23" s="520"/>
      <c r="CL23" s="520"/>
      <c r="CM23" s="520"/>
      <c r="CN23" s="520"/>
      <c r="CO23" s="520"/>
      <c r="CP23" s="516"/>
      <c r="DF23" s="521" t="s">
        <v>224</v>
      </c>
      <c r="DG23" s="521" t="s">
        <v>224</v>
      </c>
      <c r="DH23" s="516"/>
      <c r="DI23" s="516"/>
      <c r="DJ23" s="516"/>
      <c r="DK23" s="516"/>
      <c r="DL23" s="516"/>
      <c r="DM23" s="516"/>
    </row>
    <row r="24" spans="1:117">
      <c r="A24" s="519" t="s">
        <v>578</v>
      </c>
      <c r="W24" s="755"/>
      <c r="X24" s="755"/>
      <c r="Y24" s="755"/>
      <c r="Z24" s="755"/>
      <c r="AA24" s="755"/>
      <c r="AB24" s="755"/>
      <c r="AC24" s="755"/>
      <c r="AD24" s="755"/>
      <c r="AE24" s="755"/>
      <c r="AF24" s="755"/>
      <c r="AG24" s="755"/>
      <c r="AH24" s="755"/>
      <c r="AI24" s="755"/>
      <c r="AJ24" s="755"/>
      <c r="AK24" s="755"/>
      <c r="AL24" s="755"/>
      <c r="BJ24" s="516"/>
      <c r="BK24" s="516"/>
      <c r="BL24" s="516"/>
      <c r="BM24" s="516"/>
      <c r="BN24" s="516"/>
      <c r="BO24" s="516"/>
      <c r="BP24" s="516"/>
      <c r="BQ24" s="516"/>
      <c r="BR24" s="516"/>
      <c r="BS24" s="516"/>
      <c r="BT24" s="516"/>
      <c r="BU24" s="516"/>
      <c r="BV24" s="516"/>
      <c r="BW24" s="516"/>
      <c r="BX24" s="516"/>
      <c r="BY24" s="516"/>
      <c r="BZ24" s="516"/>
      <c r="CA24" s="516"/>
      <c r="CB24" s="516"/>
      <c r="CC24" s="516"/>
      <c r="CD24" s="516"/>
      <c r="CE24" s="516"/>
      <c r="CF24" s="516"/>
      <c r="CG24" s="516"/>
      <c r="CH24" s="516"/>
      <c r="CI24" s="516"/>
      <c r="CJ24" s="516"/>
      <c r="CK24" s="516"/>
      <c r="CL24" s="516"/>
      <c r="CM24" s="516"/>
      <c r="CN24" s="516"/>
      <c r="CO24" s="516"/>
      <c r="CP24" s="516"/>
      <c r="DF24" s="516"/>
      <c r="DG24" s="756">
        <f>DG22/DF22-1</f>
        <v>-0.73713835203749056</v>
      </c>
      <c r="DH24" s="756"/>
      <c r="DI24" s="756"/>
      <c r="DJ24" s="756"/>
      <c r="DK24" s="756"/>
      <c r="DL24" s="756"/>
      <c r="DM24" s="756"/>
    </row>
    <row r="25" spans="1:117">
      <c r="A25" s="519" t="s">
        <v>582</v>
      </c>
      <c r="W25" s="755"/>
      <c r="X25" s="755"/>
      <c r="Y25" s="755"/>
      <c r="Z25" s="755"/>
      <c r="AA25" s="755"/>
      <c r="AB25" s="755"/>
      <c r="AC25" s="755"/>
      <c r="AD25" s="755"/>
      <c r="AE25" s="755"/>
      <c r="AF25" s="755"/>
      <c r="AG25" s="755"/>
      <c r="AH25" s="755"/>
      <c r="AI25" s="755"/>
      <c r="AJ25" s="755"/>
      <c r="AK25" s="755"/>
      <c r="AL25" s="755"/>
      <c r="BJ25" s="520">
        <f t="shared" ref="BJ25:CC25" si="45">BJ22/BJ97</f>
        <v>0.56896551724137934</v>
      </c>
      <c r="BK25" s="520">
        <f t="shared" si="45"/>
        <v>0.5</v>
      </c>
      <c r="BL25" s="520">
        <f t="shared" si="45"/>
        <v>0.37591100882240119</v>
      </c>
      <c r="BM25" s="520">
        <f t="shared" si="45"/>
        <v>0.27913159060700043</v>
      </c>
      <c r="BN25" s="520">
        <f t="shared" si="45"/>
        <v>0.20255468976623689</v>
      </c>
      <c r="BO25" s="520">
        <f t="shared" si="45"/>
        <v>1.9239761794099235E-2</v>
      </c>
      <c r="BP25" s="520">
        <f t="shared" si="45"/>
        <v>0</v>
      </c>
      <c r="BQ25" s="520">
        <f t="shared" si="45"/>
        <v>0</v>
      </c>
      <c r="BR25" s="520">
        <f t="shared" si="45"/>
        <v>0</v>
      </c>
      <c r="BS25" s="520">
        <f t="shared" si="45"/>
        <v>0</v>
      </c>
      <c r="BT25" s="520">
        <f t="shared" si="45"/>
        <v>0</v>
      </c>
      <c r="BU25" s="520">
        <f t="shared" si="45"/>
        <v>0</v>
      </c>
      <c r="BV25" s="520">
        <f t="shared" si="45"/>
        <v>0</v>
      </c>
      <c r="BW25" s="520">
        <f t="shared" si="45"/>
        <v>0</v>
      </c>
      <c r="BX25" s="520">
        <f t="shared" si="45"/>
        <v>0</v>
      </c>
      <c r="BY25" s="520">
        <f t="shared" si="45"/>
        <v>0</v>
      </c>
      <c r="BZ25" s="520">
        <f t="shared" si="45"/>
        <v>0</v>
      </c>
      <c r="CA25" s="520">
        <f t="shared" si="45"/>
        <v>0</v>
      </c>
      <c r="CB25" s="520">
        <f t="shared" si="45"/>
        <v>0</v>
      </c>
      <c r="CC25" s="520">
        <f t="shared" si="45"/>
        <v>0</v>
      </c>
      <c r="CD25" s="520"/>
      <c r="CE25" s="520"/>
      <c r="CF25" s="520"/>
      <c r="CG25" s="520"/>
      <c r="CH25" s="520"/>
      <c r="CI25" s="520"/>
      <c r="CJ25" s="520"/>
      <c r="CK25" s="520"/>
      <c r="CL25" s="520"/>
      <c r="CM25" s="520"/>
      <c r="CN25" s="520"/>
      <c r="CO25" s="520"/>
      <c r="CP25" s="516"/>
      <c r="DF25" s="520">
        <f>DF22/DF97</f>
        <v>0.38738581063322103</v>
      </c>
      <c r="DG25" s="520">
        <f>DG22/DG97</f>
        <v>4.7961609190459185E-2</v>
      </c>
      <c r="DH25" s="520"/>
      <c r="DI25" s="520"/>
      <c r="DJ25" s="520"/>
      <c r="DK25" s="520"/>
      <c r="DL25" s="520"/>
      <c r="DM25" s="520"/>
    </row>
    <row r="26" spans="1:117">
      <c r="A26" s="517" t="s">
        <v>583</v>
      </c>
      <c r="W26" s="754"/>
      <c r="X26" s="754"/>
      <c r="Y26" s="754"/>
      <c r="Z26" s="754"/>
      <c r="AA26" s="754"/>
      <c r="AB26" s="754"/>
      <c r="AC26" s="754"/>
      <c r="AD26" s="754"/>
      <c r="AE26" s="754"/>
      <c r="AF26" s="754"/>
      <c r="AG26" s="754"/>
      <c r="AH26" s="754"/>
      <c r="AI26" s="754"/>
      <c r="AJ26" s="754"/>
      <c r="AK26" s="754"/>
      <c r="AL26" s="754"/>
      <c r="BJ26" s="518">
        <f>BK26</f>
        <v>15000</v>
      </c>
      <c r="BK26" s="757">
        <v>15000</v>
      </c>
      <c r="BL26" s="757">
        <f t="shared" ref="BL26:BY26" si="46">BK26</f>
        <v>15000</v>
      </c>
      <c r="BM26" s="757">
        <f t="shared" si="46"/>
        <v>15000</v>
      </c>
      <c r="BN26" s="757">
        <f t="shared" si="46"/>
        <v>15000</v>
      </c>
      <c r="BO26" s="757">
        <f t="shared" si="46"/>
        <v>15000</v>
      </c>
      <c r="BP26" s="757">
        <f t="shared" si="46"/>
        <v>15000</v>
      </c>
      <c r="BQ26" s="757">
        <f t="shared" si="46"/>
        <v>15000</v>
      </c>
      <c r="BR26" s="757">
        <f t="shared" si="46"/>
        <v>15000</v>
      </c>
      <c r="BS26" s="757">
        <f t="shared" si="46"/>
        <v>15000</v>
      </c>
      <c r="BT26" s="757">
        <f t="shared" si="46"/>
        <v>15000</v>
      </c>
      <c r="BU26" s="757">
        <f t="shared" si="46"/>
        <v>15000</v>
      </c>
      <c r="BV26" s="757">
        <f t="shared" si="46"/>
        <v>15000</v>
      </c>
      <c r="BW26" s="757">
        <f t="shared" si="46"/>
        <v>15000</v>
      </c>
      <c r="BX26" s="757">
        <f t="shared" si="46"/>
        <v>15000</v>
      </c>
      <c r="BY26" s="757">
        <f t="shared" si="46"/>
        <v>15000</v>
      </c>
      <c r="BZ26" s="757">
        <f>BY26</f>
        <v>15000</v>
      </c>
      <c r="CA26" s="757">
        <f>BZ26</f>
        <v>15000</v>
      </c>
      <c r="CB26" s="757">
        <f>CA26</f>
        <v>15000</v>
      </c>
      <c r="CC26" s="757">
        <f>CB26</f>
        <v>15000</v>
      </c>
      <c r="CD26" s="757"/>
      <c r="CE26" s="757"/>
      <c r="CF26" s="757"/>
      <c r="CG26" s="757"/>
      <c r="CH26" s="757"/>
      <c r="CI26" s="757"/>
      <c r="CJ26" s="757"/>
      <c r="CK26" s="757"/>
      <c r="CL26" s="757"/>
      <c r="CM26" s="757"/>
      <c r="CN26" s="757"/>
      <c r="CO26" s="757"/>
      <c r="CP26" s="518"/>
      <c r="DF26" s="757">
        <f>DF27/DF22*1000</f>
        <v>15000</v>
      </c>
      <c r="DG26" s="757">
        <f>DG27/DG22*1000</f>
        <v>14999.999999999998</v>
      </c>
      <c r="DH26" s="518"/>
      <c r="DI26" s="518"/>
      <c r="DJ26" s="518"/>
      <c r="DK26" s="518"/>
      <c r="DL26" s="518"/>
      <c r="DM26" s="518"/>
    </row>
    <row r="27" spans="1:117">
      <c r="A27" s="522" t="s">
        <v>584</v>
      </c>
      <c r="W27" s="758"/>
      <c r="X27" s="758"/>
      <c r="Y27" s="758"/>
      <c r="Z27" s="758"/>
      <c r="AA27" s="758"/>
      <c r="AB27" s="758"/>
      <c r="AC27" s="758"/>
      <c r="AD27" s="758"/>
      <c r="AE27" s="758"/>
      <c r="AF27" s="758"/>
      <c r="AG27" s="758"/>
      <c r="AH27" s="758"/>
      <c r="AI27" s="758"/>
      <c r="AJ27" s="758"/>
      <c r="AK27" s="758"/>
      <c r="AL27" s="758"/>
      <c r="BJ27" s="523">
        <f t="shared" ref="BJ27:BY27" si="47">BJ26*BJ22/1000</f>
        <v>1485</v>
      </c>
      <c r="BK27" s="523">
        <f t="shared" si="47"/>
        <v>3229.5</v>
      </c>
      <c r="BL27" s="523">
        <f t="shared" si="47"/>
        <v>3164.91</v>
      </c>
      <c r="BM27" s="523">
        <f t="shared" si="47"/>
        <v>2848.4189999999999</v>
      </c>
      <c r="BN27" s="523">
        <f t="shared" si="47"/>
        <v>2563.5770999999995</v>
      </c>
      <c r="BO27" s="523">
        <f t="shared" si="47"/>
        <v>256.35770999999994</v>
      </c>
      <c r="BP27" s="523">
        <f t="shared" si="47"/>
        <v>0</v>
      </c>
      <c r="BQ27" s="523">
        <f t="shared" si="47"/>
        <v>0</v>
      </c>
      <c r="BR27" s="523">
        <f t="shared" si="47"/>
        <v>0</v>
      </c>
      <c r="BS27" s="523">
        <f t="shared" si="47"/>
        <v>0</v>
      </c>
      <c r="BT27" s="523">
        <f t="shared" si="47"/>
        <v>0</v>
      </c>
      <c r="BU27" s="523">
        <f t="shared" si="47"/>
        <v>0</v>
      </c>
      <c r="BV27" s="523">
        <f t="shared" si="47"/>
        <v>0</v>
      </c>
      <c r="BW27" s="523">
        <f t="shared" si="47"/>
        <v>0</v>
      </c>
      <c r="BX27" s="523">
        <f t="shared" si="47"/>
        <v>0</v>
      </c>
      <c r="BY27" s="523">
        <f t="shared" si="47"/>
        <v>0</v>
      </c>
      <c r="BZ27" s="523">
        <f>BZ26*BZ22/1000</f>
        <v>0</v>
      </c>
      <c r="CA27" s="523">
        <f>CA26*CA22/1000</f>
        <v>0</v>
      </c>
      <c r="CB27" s="523">
        <f>CB26*CB22/1000</f>
        <v>0</v>
      </c>
      <c r="CC27" s="523">
        <f>CC26*CC22/1000</f>
        <v>0</v>
      </c>
      <c r="CD27" s="523"/>
      <c r="CE27" s="523"/>
      <c r="CF27" s="523"/>
      <c r="CG27" s="523"/>
      <c r="CH27" s="523"/>
      <c r="CI27" s="523"/>
      <c r="CJ27" s="523"/>
      <c r="CK27" s="523"/>
      <c r="CL27" s="523"/>
      <c r="CM27" s="523"/>
      <c r="CN27" s="523"/>
      <c r="CO27" s="523"/>
      <c r="CP27" s="523"/>
      <c r="DF27" s="523">
        <f>SUM(BJ27:BM27)</f>
        <v>10727.829</v>
      </c>
      <c r="DG27" s="523">
        <f>SUM(BN27:BQ27)</f>
        <v>2819.9348099999993</v>
      </c>
      <c r="DH27" s="523"/>
      <c r="DI27" s="523"/>
      <c r="DJ27" s="523"/>
      <c r="DK27" s="523"/>
      <c r="DL27" s="523"/>
      <c r="DM27" s="523"/>
    </row>
    <row r="28" spans="1:117">
      <c r="A28" s="519" t="s">
        <v>577</v>
      </c>
      <c r="W28" s="758"/>
      <c r="X28" s="758"/>
      <c r="Y28" s="758"/>
      <c r="Z28" s="758"/>
      <c r="AA28" s="758"/>
      <c r="AB28" s="758"/>
      <c r="AC28" s="758"/>
      <c r="AD28" s="758"/>
      <c r="AE28" s="758"/>
      <c r="AF28" s="758"/>
      <c r="AG28" s="758"/>
      <c r="AH28" s="758"/>
      <c r="AI28" s="758"/>
      <c r="AJ28" s="758"/>
      <c r="AK28" s="758"/>
      <c r="AL28" s="758"/>
      <c r="BJ28" s="523"/>
      <c r="BK28" s="759">
        <f>BK27/BJ27-1</f>
        <v>1.1747474747474747</v>
      </c>
      <c r="BL28" s="759">
        <f>BL27/BK27-1</f>
        <v>-2.0000000000000018E-2</v>
      </c>
      <c r="BM28" s="759">
        <f>BM27/BL27-1</f>
        <v>-9.9999999999999978E-2</v>
      </c>
      <c r="BN28" s="759">
        <f>BN27/BM27-1</f>
        <v>-0.10000000000000009</v>
      </c>
      <c r="BO28" s="759">
        <f>BO27/BN27-1</f>
        <v>-0.9</v>
      </c>
      <c r="BP28" s="759"/>
      <c r="BQ28" s="759"/>
      <c r="BR28" s="759"/>
      <c r="BS28" s="759"/>
      <c r="BT28" s="759"/>
      <c r="BU28" s="759"/>
      <c r="BV28" s="759"/>
      <c r="BW28" s="759"/>
      <c r="BX28" s="759"/>
      <c r="BY28" s="759"/>
      <c r="BZ28" s="759"/>
      <c r="CA28" s="759"/>
      <c r="CB28" s="759"/>
      <c r="CC28" s="759"/>
      <c r="CD28" s="759"/>
      <c r="CE28" s="759"/>
      <c r="CF28" s="759"/>
      <c r="CG28" s="759"/>
      <c r="CH28" s="759"/>
      <c r="CI28" s="759"/>
      <c r="CJ28" s="759"/>
      <c r="CK28" s="759"/>
      <c r="CL28" s="759"/>
      <c r="CM28" s="759"/>
      <c r="CN28" s="759"/>
      <c r="CO28" s="759"/>
      <c r="CP28" s="523"/>
      <c r="DF28" s="523"/>
      <c r="DG28" s="523"/>
      <c r="DH28" s="523"/>
      <c r="DI28" s="523"/>
      <c r="DJ28" s="523"/>
      <c r="DK28" s="523"/>
      <c r="DL28" s="523"/>
      <c r="DM28" s="523"/>
    </row>
    <row r="29" spans="1:117">
      <c r="A29" s="519" t="s">
        <v>578</v>
      </c>
      <c r="W29" s="758"/>
      <c r="X29" s="758"/>
      <c r="Y29" s="758"/>
      <c r="Z29" s="758"/>
      <c r="AA29" s="758"/>
      <c r="AB29" s="758"/>
      <c r="AC29" s="758"/>
      <c r="AD29" s="758"/>
      <c r="AE29" s="758"/>
      <c r="AF29" s="758"/>
      <c r="AG29" s="758"/>
      <c r="AH29" s="758"/>
      <c r="AI29" s="758"/>
      <c r="AJ29" s="758"/>
      <c r="AK29" s="758"/>
      <c r="AL29" s="758"/>
      <c r="BJ29" s="523"/>
      <c r="BK29" s="523"/>
      <c r="BL29" s="523"/>
      <c r="BM29" s="523"/>
      <c r="BN29" s="759">
        <f>BN27/BJ27-1</f>
        <v>0.72631454545454521</v>
      </c>
      <c r="BO29" s="759">
        <f>BO27/BK27-1</f>
        <v>-0.92061999999999999</v>
      </c>
      <c r="BP29" s="759"/>
      <c r="BQ29" s="759"/>
      <c r="BR29" s="759"/>
      <c r="BS29" s="759"/>
      <c r="BT29" s="759"/>
      <c r="BU29" s="759"/>
      <c r="BV29" s="759"/>
      <c r="BW29" s="759"/>
      <c r="BX29" s="759"/>
      <c r="BY29" s="759"/>
      <c r="BZ29" s="759"/>
      <c r="CA29" s="759"/>
      <c r="CB29" s="759"/>
      <c r="CC29" s="759"/>
      <c r="CD29" s="759"/>
      <c r="CE29" s="759"/>
      <c r="CF29" s="759"/>
      <c r="CG29" s="759"/>
      <c r="CH29" s="759"/>
      <c r="CI29" s="759"/>
      <c r="CJ29" s="759"/>
      <c r="CK29" s="759"/>
      <c r="CL29" s="759"/>
      <c r="CM29" s="759"/>
      <c r="CN29" s="759"/>
      <c r="CO29" s="759"/>
      <c r="CP29" s="523"/>
      <c r="DF29" s="523"/>
      <c r="DG29" s="759">
        <f>+DG27/DF27-1</f>
        <v>-0.73713835203749056</v>
      </c>
      <c r="DH29" s="523"/>
      <c r="DI29" s="523"/>
      <c r="DJ29" s="523"/>
      <c r="DK29" s="523"/>
      <c r="DL29" s="523"/>
      <c r="DM29" s="523"/>
    </row>
    <row r="30" spans="1:117">
      <c r="A30" s="514" t="s">
        <v>585</v>
      </c>
      <c r="B30" s="515"/>
      <c r="C30" s="515"/>
      <c r="D30" s="515"/>
      <c r="E30" s="515"/>
      <c r="F30" s="515"/>
      <c r="G30" s="515"/>
      <c r="H30" s="515"/>
      <c r="I30" s="515"/>
      <c r="J30" s="515"/>
      <c r="K30" s="515"/>
      <c r="L30" s="515"/>
      <c r="M30" s="515"/>
      <c r="N30" s="515"/>
      <c r="O30" s="515"/>
      <c r="P30" s="515"/>
      <c r="Q30" s="515"/>
      <c r="R30" s="515"/>
      <c r="S30" s="515"/>
      <c r="T30" s="515"/>
      <c r="U30" s="515"/>
      <c r="V30" s="515"/>
      <c r="W30" s="515"/>
      <c r="X30" s="515"/>
      <c r="Y30" s="515"/>
      <c r="Z30" s="515"/>
      <c r="AA30" s="515"/>
      <c r="AB30" s="515"/>
      <c r="AC30" s="515"/>
      <c r="AD30" s="515"/>
      <c r="AE30" s="515"/>
      <c r="AF30" s="515"/>
      <c r="AG30" s="515"/>
      <c r="AH30" s="515"/>
      <c r="AI30" s="515"/>
      <c r="AJ30" s="515"/>
      <c r="AK30" s="515"/>
      <c r="AL30" s="515"/>
      <c r="AM30" s="515"/>
      <c r="AN30" s="515"/>
      <c r="AO30" s="515"/>
      <c r="AP30" s="515"/>
      <c r="AQ30" s="515"/>
      <c r="AR30" s="515"/>
      <c r="AS30" s="515"/>
      <c r="AT30" s="515"/>
      <c r="AU30" s="515"/>
      <c r="AV30" s="515"/>
      <c r="AW30" s="515"/>
      <c r="AX30" s="515"/>
      <c r="AY30" s="515"/>
      <c r="AZ30" s="515"/>
      <c r="BA30" s="515"/>
      <c r="BB30" s="515"/>
      <c r="BC30" s="515"/>
      <c r="BD30" s="515"/>
      <c r="BE30" s="515"/>
      <c r="BF30" s="515"/>
      <c r="BG30" s="515"/>
      <c r="BH30" s="515"/>
      <c r="BI30" s="515"/>
      <c r="BJ30" s="515"/>
      <c r="BK30" s="515"/>
      <c r="BL30" s="515"/>
      <c r="BM30" s="515"/>
      <c r="BN30" s="515"/>
      <c r="BO30" s="515"/>
      <c r="BP30" s="515"/>
      <c r="BQ30" s="515"/>
      <c r="BR30" s="515"/>
      <c r="BS30" s="515"/>
      <c r="BT30" s="515"/>
      <c r="BU30" s="515"/>
      <c r="BV30" s="515"/>
      <c r="BW30" s="515"/>
      <c r="BX30" s="515"/>
      <c r="BY30" s="515"/>
      <c r="BZ30" s="515"/>
      <c r="CA30" s="515"/>
      <c r="CB30" s="515"/>
      <c r="CC30" s="515"/>
      <c r="CD30" s="515"/>
      <c r="CE30" s="515"/>
      <c r="CF30" s="515"/>
      <c r="CG30" s="515"/>
      <c r="CH30" s="515"/>
      <c r="CI30" s="515"/>
      <c r="CJ30" s="515"/>
      <c r="CK30" s="515"/>
      <c r="CL30" s="515"/>
      <c r="CM30" s="515"/>
      <c r="CN30" s="515"/>
      <c r="CO30" s="515"/>
      <c r="CP30" s="516"/>
      <c r="CQ30" s="515"/>
      <c r="CR30" s="515"/>
      <c r="CS30" s="515"/>
      <c r="CT30" s="515"/>
      <c r="CU30" s="515"/>
      <c r="CV30" s="515"/>
      <c r="CW30" s="515"/>
      <c r="CX30" s="515"/>
      <c r="CY30" s="515"/>
      <c r="CZ30" s="515"/>
      <c r="DA30" s="515"/>
      <c r="DB30" s="515"/>
      <c r="DC30" s="515"/>
      <c r="DD30" s="515"/>
      <c r="DE30" s="515"/>
      <c r="DF30" s="515"/>
      <c r="DG30" s="515"/>
      <c r="DH30" s="515"/>
      <c r="DI30" s="515"/>
      <c r="DJ30" s="515"/>
      <c r="DK30" s="515"/>
      <c r="DL30" s="515"/>
      <c r="DM30" s="515"/>
    </row>
    <row r="31" spans="1:117">
      <c r="A31" s="517" t="s">
        <v>581</v>
      </c>
      <c r="W31" s="754"/>
      <c r="X31" s="754"/>
      <c r="Y31" s="754"/>
      <c r="Z31" s="754"/>
      <c r="AA31" s="754"/>
      <c r="AB31" s="754"/>
      <c r="AC31" s="754"/>
      <c r="AD31" s="754"/>
      <c r="AE31" s="754"/>
      <c r="AF31" s="754"/>
      <c r="AG31" s="754"/>
      <c r="AH31" s="754"/>
      <c r="AI31" s="754"/>
      <c r="AJ31" s="754"/>
      <c r="AK31" s="754"/>
      <c r="AL31" s="754"/>
      <c r="BJ31" s="518">
        <v>75</v>
      </c>
      <c r="BK31" s="518">
        <f>8612/40</f>
        <v>215.3</v>
      </c>
      <c r="BL31" s="518">
        <f t="shared" ref="BL31:BY31" si="48">BK31*(1+BL32)</f>
        <v>350.29310000000004</v>
      </c>
      <c r="BM31" s="518">
        <f t="shared" si="48"/>
        <v>490.41034000000002</v>
      </c>
      <c r="BN31" s="518">
        <f t="shared" si="48"/>
        <v>672.84298647999992</v>
      </c>
      <c r="BO31" s="518">
        <f t="shared" si="48"/>
        <v>639.20083715599992</v>
      </c>
      <c r="BP31" s="518">
        <f t="shared" si="48"/>
        <v>604.04479111241994</v>
      </c>
      <c r="BQ31" s="518">
        <f t="shared" si="48"/>
        <v>362.42687466745195</v>
      </c>
      <c r="BR31" s="518">
        <f t="shared" si="48"/>
        <v>90.606718666862989</v>
      </c>
      <c r="BS31" s="518">
        <f t="shared" si="48"/>
        <v>22.651679666715747</v>
      </c>
      <c r="BT31" s="518">
        <f t="shared" si="48"/>
        <v>0</v>
      </c>
      <c r="BU31" s="518">
        <f t="shared" si="48"/>
        <v>0</v>
      </c>
      <c r="BV31" s="518">
        <f t="shared" si="48"/>
        <v>0</v>
      </c>
      <c r="BW31" s="518">
        <f t="shared" si="48"/>
        <v>0</v>
      </c>
      <c r="BX31" s="518">
        <f t="shared" si="48"/>
        <v>0</v>
      </c>
      <c r="BY31" s="518">
        <f t="shared" si="48"/>
        <v>0</v>
      </c>
      <c r="BZ31" s="518">
        <f>BY31*(1+BZ32)</f>
        <v>0</v>
      </c>
      <c r="CA31" s="518">
        <f>BZ31*(1+CA32)</f>
        <v>0</v>
      </c>
      <c r="CB31" s="518">
        <f>CA31*(1+CB32)</f>
        <v>0</v>
      </c>
      <c r="CC31" s="518">
        <f>CB31*(1+CC32)</f>
        <v>0</v>
      </c>
      <c r="CD31" s="518"/>
      <c r="CE31" s="518"/>
      <c r="CF31" s="518"/>
      <c r="CG31" s="518"/>
      <c r="CH31" s="518"/>
      <c r="CI31" s="518"/>
      <c r="CJ31" s="518"/>
      <c r="CK31" s="518"/>
      <c r="CL31" s="518"/>
      <c r="CM31" s="518"/>
      <c r="CN31" s="518"/>
      <c r="CO31" s="518"/>
      <c r="CP31" s="518"/>
      <c r="DF31" s="518">
        <f>SUM(BJ31:BM31)</f>
        <v>1131.00344</v>
      </c>
      <c r="DG31" s="518">
        <f>SUM(BN31:BQ31)</f>
        <v>2278.5154894158718</v>
      </c>
      <c r="DH31" s="518">
        <f>SUM(BR31:BU31)</f>
        <v>113.25839833357874</v>
      </c>
      <c r="DI31" s="518">
        <f>SUM(BV31:BY31)</f>
        <v>0</v>
      </c>
      <c r="DJ31" s="518">
        <f>SUM(BZ31:CC31)</f>
        <v>0</v>
      </c>
      <c r="DK31" s="518">
        <f>SUM(CD31:CG31)</f>
        <v>0</v>
      </c>
      <c r="DL31" s="518"/>
      <c r="DM31" s="518"/>
    </row>
    <row r="32" spans="1:117">
      <c r="A32" s="519" t="s">
        <v>577</v>
      </c>
      <c r="W32" s="755"/>
      <c r="X32" s="755"/>
      <c r="Y32" s="755"/>
      <c r="Z32" s="755"/>
      <c r="AA32" s="755"/>
      <c r="AB32" s="755"/>
      <c r="AC32" s="755"/>
      <c r="AD32" s="755"/>
      <c r="AE32" s="755"/>
      <c r="AF32" s="755"/>
      <c r="AG32" s="755"/>
      <c r="AH32" s="755"/>
      <c r="AI32" s="755"/>
      <c r="AJ32" s="755"/>
      <c r="AK32" s="755"/>
      <c r="AL32" s="755"/>
      <c r="BJ32" s="516"/>
      <c r="BK32" s="516"/>
      <c r="BL32" s="520">
        <v>0.627</v>
      </c>
      <c r="BM32" s="520">
        <v>0.4</v>
      </c>
      <c r="BN32" s="520">
        <v>0.372</v>
      </c>
      <c r="BO32" s="520">
        <v>-0.05</v>
      </c>
      <c r="BP32" s="520">
        <v>-5.5E-2</v>
      </c>
      <c r="BQ32" s="520">
        <v>-0.4</v>
      </c>
      <c r="BR32" s="520">
        <v>-0.75</v>
      </c>
      <c r="BS32" s="520">
        <v>-0.75</v>
      </c>
      <c r="BT32" s="520">
        <v>-1</v>
      </c>
      <c r="BU32" s="520">
        <v>0</v>
      </c>
      <c r="BV32" s="520">
        <v>0</v>
      </c>
      <c r="BW32" s="520">
        <v>0</v>
      </c>
      <c r="BX32" s="520">
        <v>0</v>
      </c>
      <c r="BY32" s="520">
        <v>0</v>
      </c>
      <c r="BZ32" s="520">
        <v>0</v>
      </c>
      <c r="CA32" s="520">
        <v>0</v>
      </c>
      <c r="CB32" s="520">
        <v>0</v>
      </c>
      <c r="CC32" s="520">
        <v>0</v>
      </c>
      <c r="CD32" s="520"/>
      <c r="CE32" s="520"/>
      <c r="CF32" s="520"/>
      <c r="CG32" s="520"/>
      <c r="CH32" s="520"/>
      <c r="CI32" s="520"/>
      <c r="CJ32" s="520"/>
      <c r="CK32" s="520"/>
      <c r="CL32" s="520"/>
      <c r="CM32" s="520"/>
      <c r="CN32" s="520"/>
      <c r="CO32" s="520"/>
      <c r="CP32" s="516"/>
      <c r="DF32" s="516"/>
      <c r="DG32" s="516"/>
      <c r="DH32" s="516"/>
      <c r="DI32" s="516"/>
      <c r="DJ32" s="516"/>
      <c r="DK32" s="516"/>
      <c r="DL32" s="516"/>
      <c r="DM32" s="516"/>
    </row>
    <row r="33" spans="1:118">
      <c r="A33" s="519" t="s">
        <v>578</v>
      </c>
      <c r="W33" s="755"/>
      <c r="X33" s="755"/>
      <c r="Y33" s="755"/>
      <c r="Z33" s="755"/>
      <c r="AA33" s="755"/>
      <c r="AB33" s="755"/>
      <c r="AC33" s="755"/>
      <c r="AD33" s="755"/>
      <c r="AE33" s="755"/>
      <c r="AF33" s="755"/>
      <c r="AG33" s="755"/>
      <c r="AH33" s="755"/>
      <c r="AI33" s="755"/>
      <c r="AJ33" s="755"/>
      <c r="AK33" s="755"/>
      <c r="AL33" s="755"/>
      <c r="BJ33" s="516"/>
      <c r="BK33" s="516"/>
      <c r="BL33" s="516"/>
      <c r="BM33" s="516"/>
      <c r="BN33" s="516"/>
      <c r="BO33" s="516"/>
      <c r="BP33" s="516"/>
      <c r="BQ33" s="516"/>
      <c r="BR33" s="516"/>
      <c r="BS33" s="516"/>
      <c r="BT33" s="516"/>
      <c r="BU33" s="516"/>
      <c r="BV33" s="516"/>
      <c r="BW33" s="516"/>
      <c r="BX33" s="516"/>
      <c r="BY33" s="516"/>
      <c r="BZ33" s="516"/>
      <c r="CA33" s="516"/>
      <c r="CB33" s="516"/>
      <c r="CC33" s="516"/>
      <c r="CD33" s="516"/>
      <c r="CE33" s="516"/>
      <c r="CF33" s="516"/>
      <c r="CG33" s="516"/>
      <c r="CH33" s="516"/>
      <c r="CI33" s="516"/>
      <c r="CJ33" s="516"/>
      <c r="CK33" s="516"/>
      <c r="CL33" s="516"/>
      <c r="CM33" s="516"/>
      <c r="CN33" s="516"/>
      <c r="CO33" s="516"/>
      <c r="CP33" s="516"/>
      <c r="DF33" s="516"/>
      <c r="DG33" s="525">
        <f>DG31/DF31-1</f>
        <v>1.0145964272362176</v>
      </c>
      <c r="DH33" s="525">
        <f>DH31/DG31-1</f>
        <v>-0.95029289953933382</v>
      </c>
      <c r="DI33" s="525">
        <f>DI31/DH31-1</f>
        <v>-1</v>
      </c>
      <c r="DJ33" s="525" t="e">
        <f>DJ31/DI31-1</f>
        <v>#DIV/0!</v>
      </c>
      <c r="DK33" s="525" t="e">
        <f>DK31/DJ31-1</f>
        <v>#DIV/0!</v>
      </c>
      <c r="DL33" s="525"/>
      <c r="DM33" s="525"/>
    </row>
    <row r="34" spans="1:118">
      <c r="A34" s="519" t="s">
        <v>582</v>
      </c>
      <c r="W34" s="755"/>
      <c r="X34" s="755"/>
      <c r="Y34" s="755"/>
      <c r="Z34" s="755"/>
      <c r="AA34" s="755"/>
      <c r="AB34" s="755"/>
      <c r="AC34" s="755"/>
      <c r="AD34" s="755"/>
      <c r="AE34" s="755"/>
      <c r="AF34" s="755"/>
      <c r="AG34" s="755"/>
      <c r="AH34" s="755"/>
      <c r="AI34" s="755"/>
      <c r="AJ34" s="755"/>
      <c r="AK34" s="755"/>
      <c r="AL34" s="755"/>
      <c r="BJ34" s="520">
        <f t="shared" ref="BJ34:CC34" si="49">BJ31/BJ97</f>
        <v>0.43103448275862066</v>
      </c>
      <c r="BK34" s="520">
        <f t="shared" si="49"/>
        <v>0.5</v>
      </c>
      <c r="BL34" s="520">
        <f t="shared" si="49"/>
        <v>0.62408899117759886</v>
      </c>
      <c r="BM34" s="520">
        <f t="shared" si="49"/>
        <v>0.72086840939299957</v>
      </c>
      <c r="BN34" s="520">
        <f t="shared" si="49"/>
        <v>0.79744531023376308</v>
      </c>
      <c r="BO34" s="520">
        <f t="shared" si="49"/>
        <v>0.71958466816564193</v>
      </c>
      <c r="BP34" s="520">
        <f t="shared" si="49"/>
        <v>0.57144673167229854</v>
      </c>
      <c r="BQ34" s="520">
        <f t="shared" si="49"/>
        <v>0.32055391817397899</v>
      </c>
      <c r="BR34" s="520">
        <f t="shared" si="49"/>
        <v>8.5140309075463133E-2</v>
      </c>
      <c r="BS34" s="520">
        <f t="shared" si="49"/>
        <v>2.3083035121692238E-2</v>
      </c>
      <c r="BT34" s="520">
        <f t="shared" si="49"/>
        <v>0</v>
      </c>
      <c r="BU34" s="520">
        <f t="shared" si="49"/>
        <v>0</v>
      </c>
      <c r="BV34" s="520">
        <f t="shared" si="49"/>
        <v>0</v>
      </c>
      <c r="BW34" s="520">
        <f t="shared" si="49"/>
        <v>0</v>
      </c>
      <c r="BX34" s="520">
        <f t="shared" si="49"/>
        <v>0</v>
      </c>
      <c r="BY34" s="520">
        <f t="shared" si="49"/>
        <v>0</v>
      </c>
      <c r="BZ34" s="520">
        <f t="shared" si="49"/>
        <v>0</v>
      </c>
      <c r="CA34" s="520">
        <f t="shared" si="49"/>
        <v>0</v>
      </c>
      <c r="CB34" s="520">
        <f t="shared" si="49"/>
        <v>0</v>
      </c>
      <c r="CC34" s="520">
        <f t="shared" si="49"/>
        <v>0</v>
      </c>
      <c r="CD34" s="520"/>
      <c r="CE34" s="520"/>
      <c r="CF34" s="520"/>
      <c r="CG34" s="520"/>
      <c r="CH34" s="520"/>
      <c r="CI34" s="520"/>
      <c r="CJ34" s="520"/>
      <c r="CK34" s="520"/>
      <c r="CL34" s="520"/>
      <c r="CM34" s="520"/>
      <c r="CN34" s="520"/>
      <c r="CO34" s="520"/>
      <c r="CP34" s="516"/>
      <c r="DF34" s="520">
        <f t="shared" ref="DF34:DK34" si="50">DF31/DF97</f>
        <v>0.61261418936677903</v>
      </c>
      <c r="DG34" s="520">
        <f t="shared" si="50"/>
        <v>0.58129678592342304</v>
      </c>
      <c r="DH34" s="520">
        <f t="shared" si="50"/>
        <v>2.4622675205507937E-2</v>
      </c>
      <c r="DI34" s="520">
        <f t="shared" si="50"/>
        <v>0</v>
      </c>
      <c r="DJ34" s="520">
        <f t="shared" si="50"/>
        <v>0</v>
      </c>
      <c r="DK34" s="520">
        <f t="shared" si="50"/>
        <v>0</v>
      </c>
      <c r="DL34" s="520"/>
      <c r="DM34" s="520"/>
    </row>
    <row r="35" spans="1:118">
      <c r="A35" s="517" t="s">
        <v>586</v>
      </c>
      <c r="W35" s="754"/>
      <c r="X35" s="754"/>
      <c r="Y35" s="754"/>
      <c r="Z35" s="754"/>
      <c r="AA35" s="754"/>
      <c r="AB35" s="754"/>
      <c r="AC35" s="754"/>
      <c r="AD35" s="754"/>
      <c r="AE35" s="754"/>
      <c r="AF35" s="754"/>
      <c r="AG35" s="754"/>
      <c r="AH35" s="754"/>
      <c r="AI35" s="754"/>
      <c r="AJ35" s="754"/>
      <c r="AK35" s="754"/>
      <c r="AL35" s="754"/>
      <c r="BJ35" s="518">
        <f>BK35</f>
        <v>25000</v>
      </c>
      <c r="BK35" s="757">
        <v>25000</v>
      </c>
      <c r="BL35" s="757">
        <f t="shared" ref="BL35:BY35" si="51">BK35</f>
        <v>25000</v>
      </c>
      <c r="BM35" s="757">
        <f t="shared" si="51"/>
        <v>25000</v>
      </c>
      <c r="BN35" s="757">
        <f t="shared" si="51"/>
        <v>25000</v>
      </c>
      <c r="BO35" s="757">
        <f t="shared" si="51"/>
        <v>25000</v>
      </c>
      <c r="BP35" s="757">
        <f t="shared" si="51"/>
        <v>25000</v>
      </c>
      <c r="BQ35" s="757">
        <f t="shared" si="51"/>
        <v>25000</v>
      </c>
      <c r="BR35" s="757">
        <f t="shared" si="51"/>
        <v>25000</v>
      </c>
      <c r="BS35" s="757">
        <f t="shared" si="51"/>
        <v>25000</v>
      </c>
      <c r="BT35" s="757">
        <f t="shared" si="51"/>
        <v>25000</v>
      </c>
      <c r="BU35" s="757">
        <f t="shared" si="51"/>
        <v>25000</v>
      </c>
      <c r="BV35" s="757">
        <f t="shared" si="51"/>
        <v>25000</v>
      </c>
      <c r="BW35" s="757">
        <f t="shared" si="51"/>
        <v>25000</v>
      </c>
      <c r="BX35" s="757">
        <f t="shared" si="51"/>
        <v>25000</v>
      </c>
      <c r="BY35" s="757">
        <f t="shared" si="51"/>
        <v>25000</v>
      </c>
      <c r="BZ35" s="757">
        <f>BY35</f>
        <v>25000</v>
      </c>
      <c r="CA35" s="757">
        <f>BZ35</f>
        <v>25000</v>
      </c>
      <c r="CB35" s="757">
        <f>CA35</f>
        <v>25000</v>
      </c>
      <c r="CC35" s="757">
        <f>CB35</f>
        <v>25000</v>
      </c>
      <c r="CD35" s="757"/>
      <c r="CE35" s="757"/>
      <c r="CF35" s="757"/>
      <c r="CG35" s="757"/>
      <c r="CH35" s="757"/>
      <c r="CI35" s="757"/>
      <c r="CJ35" s="757"/>
      <c r="CK35" s="757"/>
      <c r="CL35" s="757"/>
      <c r="CM35" s="757"/>
      <c r="CN35" s="757"/>
      <c r="CO35" s="757"/>
      <c r="CP35" s="518"/>
      <c r="DF35" s="518"/>
      <c r="DG35" s="518"/>
      <c r="DH35" s="518"/>
      <c r="DI35" s="518"/>
      <c r="DJ35" s="518"/>
      <c r="DK35" s="518"/>
      <c r="DL35" s="518"/>
      <c r="DM35" s="518"/>
    </row>
    <row r="36" spans="1:118">
      <c r="A36" s="522" t="s">
        <v>584</v>
      </c>
      <c r="W36" s="758"/>
      <c r="X36" s="758"/>
      <c r="Y36" s="758"/>
      <c r="Z36" s="758"/>
      <c r="AA36" s="758"/>
      <c r="AB36" s="758"/>
      <c r="AC36" s="758"/>
      <c r="AD36" s="758"/>
      <c r="AE36" s="758"/>
      <c r="AF36" s="758"/>
      <c r="AG36" s="758"/>
      <c r="AH36" s="758"/>
      <c r="AI36" s="758"/>
      <c r="AJ36" s="758"/>
      <c r="AK36" s="758"/>
      <c r="AL36" s="758"/>
      <c r="BJ36" s="523">
        <f t="shared" ref="BJ36:BY36" si="52">BJ35*BJ31/1000</f>
        <v>1875</v>
      </c>
      <c r="BK36" s="523">
        <f t="shared" si="52"/>
        <v>5382.5</v>
      </c>
      <c r="BL36" s="523">
        <f t="shared" si="52"/>
        <v>8757.3275000000012</v>
      </c>
      <c r="BM36" s="523">
        <f t="shared" si="52"/>
        <v>12260.2585</v>
      </c>
      <c r="BN36" s="523">
        <f t="shared" si="52"/>
        <v>16821.074661999995</v>
      </c>
      <c r="BO36" s="523">
        <f t="shared" si="52"/>
        <v>15980.020928899998</v>
      </c>
      <c r="BP36" s="523">
        <f t="shared" si="52"/>
        <v>15101.1197778105</v>
      </c>
      <c r="BQ36" s="523">
        <f t="shared" si="52"/>
        <v>9060.6718666862998</v>
      </c>
      <c r="BR36" s="523">
        <f t="shared" si="52"/>
        <v>2265.167966671575</v>
      </c>
      <c r="BS36" s="523">
        <f t="shared" si="52"/>
        <v>566.29199166789374</v>
      </c>
      <c r="BT36" s="523">
        <f t="shared" si="52"/>
        <v>0</v>
      </c>
      <c r="BU36" s="523">
        <f t="shared" si="52"/>
        <v>0</v>
      </c>
      <c r="BV36" s="523">
        <f t="shared" si="52"/>
        <v>0</v>
      </c>
      <c r="BW36" s="523">
        <f t="shared" si="52"/>
        <v>0</v>
      </c>
      <c r="BX36" s="523">
        <f t="shared" si="52"/>
        <v>0</v>
      </c>
      <c r="BY36" s="523">
        <f t="shared" si="52"/>
        <v>0</v>
      </c>
      <c r="BZ36" s="523">
        <f>BZ35*BZ31/1000</f>
        <v>0</v>
      </c>
      <c r="CA36" s="523">
        <f>CA35*CA31/1000</f>
        <v>0</v>
      </c>
      <c r="CB36" s="523">
        <f>CB35*CB31/1000</f>
        <v>0</v>
      </c>
      <c r="CC36" s="523">
        <f>CC35*CC31/1000</f>
        <v>0</v>
      </c>
      <c r="CD36" s="523"/>
      <c r="CE36" s="523"/>
      <c r="CF36" s="523"/>
      <c r="CG36" s="523"/>
      <c r="CH36" s="523"/>
      <c r="CI36" s="523"/>
      <c r="CJ36" s="523"/>
      <c r="CK36" s="523"/>
      <c r="CL36" s="523"/>
      <c r="CM36" s="523"/>
      <c r="CN36" s="523"/>
      <c r="CO36" s="523"/>
      <c r="CP36" s="523"/>
      <c r="DF36" s="523">
        <f>SUM(BJ36:BM36)</f>
        <v>28275.086000000003</v>
      </c>
      <c r="DG36" s="523">
        <f>SUM(BN36:BQ36)</f>
        <v>56962.887235396789</v>
      </c>
      <c r="DH36" s="523">
        <f>SUM(BR36:BU36)</f>
        <v>2831.4599583394688</v>
      </c>
      <c r="DI36" s="523">
        <f>SUM(BV36:BY36)</f>
        <v>0</v>
      </c>
      <c r="DJ36" s="518">
        <f>SUM(BZ36:CC36)</f>
        <v>0</v>
      </c>
      <c r="DK36" s="518">
        <f>SUM(CD36:CG36)</f>
        <v>0</v>
      </c>
      <c r="DL36" s="518"/>
      <c r="DM36" s="518"/>
    </row>
    <row r="37" spans="1:118">
      <c r="A37" s="519" t="s">
        <v>577</v>
      </c>
      <c r="W37" s="758"/>
      <c r="X37" s="758"/>
      <c r="Y37" s="758"/>
      <c r="Z37" s="758"/>
      <c r="AA37" s="758"/>
      <c r="AB37" s="758"/>
      <c r="AC37" s="758"/>
      <c r="AD37" s="758"/>
      <c r="AE37" s="758"/>
      <c r="AF37" s="758"/>
      <c r="AG37" s="758"/>
      <c r="AH37" s="758"/>
      <c r="AI37" s="758"/>
      <c r="AJ37" s="758"/>
      <c r="AK37" s="758"/>
      <c r="AL37" s="758"/>
      <c r="BJ37" s="523"/>
      <c r="BK37" s="759">
        <f t="shared" ref="BK37:BS37" si="53">BK36/BJ36-1</f>
        <v>1.8706666666666667</v>
      </c>
      <c r="BL37" s="759">
        <f t="shared" si="53"/>
        <v>0.62700000000000022</v>
      </c>
      <c r="BM37" s="759">
        <f t="shared" si="53"/>
        <v>0.39999999999999969</v>
      </c>
      <c r="BN37" s="759">
        <f t="shared" si="53"/>
        <v>0.37199999999999966</v>
      </c>
      <c r="BO37" s="759">
        <f t="shared" si="53"/>
        <v>-4.9999999999999933E-2</v>
      </c>
      <c r="BP37" s="759">
        <f t="shared" si="53"/>
        <v>-5.4999999999999827E-2</v>
      </c>
      <c r="BQ37" s="759">
        <f t="shared" si="53"/>
        <v>-0.4</v>
      </c>
      <c r="BR37" s="759">
        <f t="shared" si="53"/>
        <v>-0.75</v>
      </c>
      <c r="BS37" s="759">
        <f t="shared" si="53"/>
        <v>-0.75</v>
      </c>
      <c r="BT37" s="759"/>
      <c r="BU37" s="759"/>
      <c r="BV37" s="759"/>
      <c r="BW37" s="759"/>
      <c r="BX37" s="759"/>
      <c r="BY37" s="759"/>
      <c r="BZ37" s="759"/>
      <c r="CA37" s="759"/>
      <c r="CB37" s="759"/>
      <c r="CC37" s="759"/>
      <c r="CD37" s="759"/>
      <c r="CE37" s="759"/>
      <c r="CF37" s="759"/>
      <c r="CG37" s="759"/>
      <c r="CH37" s="759"/>
      <c r="CI37" s="759"/>
      <c r="CJ37" s="759"/>
      <c r="CK37" s="759"/>
      <c r="CL37" s="759"/>
      <c r="CM37" s="759"/>
      <c r="CN37" s="759"/>
      <c r="CO37" s="759"/>
      <c r="CP37" s="523"/>
      <c r="DF37" s="523"/>
      <c r="DG37" s="523"/>
      <c r="DH37" s="523"/>
      <c r="DI37" s="523"/>
      <c r="DJ37" s="523"/>
      <c r="DK37" s="523"/>
      <c r="DL37" s="523"/>
      <c r="DM37" s="523"/>
    </row>
    <row r="38" spans="1:118" s="526" customFormat="1">
      <c r="A38" s="519" t="s">
        <v>578</v>
      </c>
      <c r="W38" s="758"/>
      <c r="X38" s="758"/>
      <c r="Y38" s="758"/>
      <c r="Z38" s="758"/>
      <c r="AA38" s="758"/>
      <c r="AB38" s="758"/>
      <c r="AC38" s="758"/>
      <c r="AD38" s="758"/>
      <c r="AE38" s="758"/>
      <c r="AF38" s="758"/>
      <c r="AG38" s="758"/>
      <c r="AH38" s="758"/>
      <c r="AI38" s="758"/>
      <c r="AJ38" s="758"/>
      <c r="AK38" s="758"/>
      <c r="AL38" s="758"/>
      <c r="BJ38" s="523"/>
      <c r="BK38" s="523"/>
      <c r="BL38" s="523"/>
      <c r="BM38" s="523"/>
      <c r="BN38" s="759">
        <f t="shared" ref="BN38:BS38" si="54">BN36/BJ36-1</f>
        <v>7.9712398197333307</v>
      </c>
      <c r="BO38" s="759">
        <f t="shared" si="54"/>
        <v>1.9688845199999996</v>
      </c>
      <c r="BP38" s="759">
        <f t="shared" si="54"/>
        <v>0.72439819999999977</v>
      </c>
      <c r="BQ38" s="759">
        <f t="shared" si="54"/>
        <v>-0.26097219999999999</v>
      </c>
      <c r="BR38" s="759">
        <f t="shared" si="54"/>
        <v>-0.86533749999999998</v>
      </c>
      <c r="BS38" s="759">
        <f t="shared" si="54"/>
        <v>-0.96456249999999999</v>
      </c>
      <c r="BT38" s="759"/>
      <c r="BU38" s="759"/>
      <c r="BV38" s="759"/>
      <c r="BW38" s="759"/>
      <c r="BX38" s="759"/>
      <c r="BY38" s="759"/>
      <c r="BZ38" s="759"/>
      <c r="CA38" s="759"/>
      <c r="CB38" s="759"/>
      <c r="CC38" s="759"/>
      <c r="CD38" s="759"/>
      <c r="CE38" s="759"/>
      <c r="CF38" s="759"/>
      <c r="CG38" s="759"/>
      <c r="CH38" s="759"/>
      <c r="CI38" s="759"/>
      <c r="CJ38" s="759"/>
      <c r="CK38" s="759"/>
      <c r="CL38" s="759"/>
      <c r="CM38" s="759"/>
      <c r="CN38" s="759"/>
      <c r="CO38" s="759"/>
      <c r="CP38" s="523"/>
      <c r="DF38" s="523"/>
      <c r="DG38" s="759">
        <f>+DG36/DF36-1</f>
        <v>1.0145964272362171</v>
      </c>
      <c r="DH38" s="759">
        <f>+DH36/DG36-1</f>
        <v>-0.95029289953933382</v>
      </c>
      <c r="DI38" s="759"/>
      <c r="DJ38" s="759"/>
      <c r="DK38" s="759"/>
      <c r="DL38" s="759"/>
      <c r="DM38" s="759"/>
    </row>
    <row r="39" spans="1:118" s="526" customFormat="1">
      <c r="A39" s="514" t="s">
        <v>587</v>
      </c>
      <c r="B39" s="528"/>
      <c r="C39" s="528"/>
      <c r="D39" s="528"/>
      <c r="E39" s="528"/>
      <c r="F39" s="528"/>
      <c r="G39" s="528"/>
      <c r="H39" s="528"/>
      <c r="I39" s="528"/>
      <c r="J39" s="528"/>
      <c r="K39" s="528"/>
      <c r="L39" s="528"/>
      <c r="M39" s="528"/>
      <c r="N39" s="528"/>
      <c r="O39" s="528"/>
      <c r="P39" s="528"/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  <c r="AE39" s="528"/>
      <c r="AF39" s="528"/>
      <c r="AG39" s="528"/>
      <c r="AH39" s="528"/>
      <c r="AI39" s="528"/>
      <c r="AJ39" s="528"/>
      <c r="AK39" s="528"/>
      <c r="AL39" s="528"/>
      <c r="AM39" s="528"/>
      <c r="AN39" s="528"/>
      <c r="AO39" s="528"/>
      <c r="AP39" s="528"/>
      <c r="AQ39" s="528"/>
      <c r="AR39" s="528"/>
      <c r="AS39" s="528"/>
      <c r="AT39" s="528"/>
      <c r="AU39" s="528"/>
      <c r="AV39" s="528"/>
      <c r="AW39" s="528"/>
      <c r="AX39" s="528"/>
      <c r="AY39" s="528"/>
      <c r="AZ39" s="528"/>
      <c r="BA39" s="528"/>
      <c r="BB39" s="528"/>
      <c r="BC39" s="528"/>
      <c r="BD39" s="528"/>
      <c r="BE39" s="528"/>
      <c r="BF39" s="528"/>
      <c r="BG39" s="528"/>
      <c r="BH39" s="528"/>
      <c r="BI39" s="528"/>
      <c r="BJ39" s="528"/>
      <c r="BK39" s="528"/>
      <c r="BL39" s="528"/>
      <c r="BM39" s="528"/>
      <c r="BN39" s="528"/>
      <c r="BO39" s="528"/>
      <c r="BP39" s="528"/>
      <c r="BQ39" s="528"/>
      <c r="BR39" s="528"/>
      <c r="BS39" s="528"/>
      <c r="BT39" s="528"/>
      <c r="BU39" s="528"/>
      <c r="BV39" s="528"/>
      <c r="BW39" s="528"/>
      <c r="BX39" s="528"/>
      <c r="BY39" s="528"/>
      <c r="BZ39" s="528"/>
      <c r="CA39" s="528"/>
      <c r="CB39" s="528"/>
      <c r="CC39" s="528"/>
      <c r="CD39" s="528"/>
      <c r="CE39" s="528"/>
      <c r="CF39" s="528"/>
      <c r="CG39" s="528"/>
      <c r="CH39" s="528"/>
      <c r="CI39" s="528"/>
      <c r="CJ39" s="528"/>
      <c r="CK39" s="528"/>
      <c r="CL39" s="528"/>
      <c r="CM39" s="528"/>
      <c r="CN39" s="528"/>
      <c r="CO39" s="528"/>
      <c r="CP39" s="529"/>
      <c r="CQ39" s="528"/>
      <c r="CR39" s="528"/>
      <c r="CS39" s="528"/>
      <c r="CT39" s="528"/>
      <c r="CU39" s="528"/>
      <c r="CV39" s="528"/>
      <c r="CW39" s="528"/>
      <c r="CX39" s="528"/>
      <c r="CY39" s="528"/>
      <c r="CZ39" s="528"/>
      <c r="DA39" s="528"/>
      <c r="DB39" s="528"/>
      <c r="DC39" s="528"/>
      <c r="DD39" s="528"/>
      <c r="DE39" s="528"/>
      <c r="DF39" s="528"/>
      <c r="DG39" s="528"/>
      <c r="DH39" s="530"/>
      <c r="DI39" s="530"/>
      <c r="DJ39" s="530"/>
      <c r="DK39" s="530"/>
      <c r="DL39" s="530"/>
      <c r="DM39" s="530"/>
      <c r="DN39" s="527"/>
    </row>
    <row r="40" spans="1:118" s="526" customFormat="1">
      <c r="A40" s="517" t="s">
        <v>581</v>
      </c>
      <c r="W40" s="754"/>
      <c r="X40" s="754"/>
      <c r="Y40" s="754"/>
      <c r="Z40" s="754"/>
      <c r="AA40" s="754"/>
      <c r="AB40" s="754"/>
      <c r="AC40" s="754"/>
      <c r="AD40" s="754"/>
      <c r="AE40" s="754"/>
      <c r="AF40" s="754"/>
      <c r="AG40" s="754"/>
      <c r="AH40" s="754"/>
      <c r="AI40" s="754"/>
      <c r="AJ40" s="754"/>
      <c r="AK40" s="754"/>
      <c r="AL40" s="754"/>
      <c r="BJ40" s="518"/>
      <c r="BK40" s="518"/>
      <c r="BL40" s="518"/>
      <c r="BM40" s="518"/>
      <c r="BN40" s="518"/>
      <c r="BO40" s="518">
        <v>232</v>
      </c>
      <c r="BP40" s="518">
        <v>440</v>
      </c>
      <c r="BQ40" s="518">
        <f t="shared" ref="BQ40:BY40" si="55">BP40*(1+BQ41)</f>
        <v>453.2</v>
      </c>
      <c r="BR40" s="518">
        <f t="shared" si="55"/>
        <v>290.048</v>
      </c>
      <c r="BS40" s="518">
        <f t="shared" si="55"/>
        <v>188.53120000000001</v>
      </c>
      <c r="BT40" s="518">
        <f t="shared" si="55"/>
        <v>75.412480000000002</v>
      </c>
      <c r="BU40" s="518">
        <f t="shared" si="55"/>
        <v>52.788736</v>
      </c>
      <c r="BV40" s="518">
        <f t="shared" si="55"/>
        <v>26.394368</v>
      </c>
      <c r="BW40" s="518">
        <f t="shared" si="55"/>
        <v>0</v>
      </c>
      <c r="BX40" s="518">
        <f t="shared" si="55"/>
        <v>0</v>
      </c>
      <c r="BY40" s="518">
        <f t="shared" si="55"/>
        <v>0</v>
      </c>
      <c r="BZ40" s="518">
        <f>BY40*(1+BZ41)</f>
        <v>0</v>
      </c>
      <c r="CA40" s="518">
        <f>BZ40*(1+CA41)</f>
        <v>0</v>
      </c>
      <c r="CB40" s="518">
        <f>CA40*(1+CB41)</f>
        <v>0</v>
      </c>
      <c r="CC40" s="518">
        <f>CB40*(1+CC41)</f>
        <v>0</v>
      </c>
      <c r="CD40" s="518"/>
      <c r="CE40" s="518"/>
      <c r="CF40" s="518"/>
      <c r="CG40" s="518"/>
      <c r="CH40" s="518"/>
      <c r="CI40" s="518"/>
      <c r="CJ40" s="518"/>
      <c r="CK40" s="518"/>
      <c r="CL40" s="518"/>
      <c r="CM40" s="518"/>
      <c r="CN40" s="518"/>
      <c r="CO40" s="518"/>
      <c r="CP40" s="518"/>
      <c r="DF40" s="518"/>
      <c r="DG40" s="518">
        <f>SUM(BN40:BQ40)</f>
        <v>1125.2</v>
      </c>
      <c r="DH40" s="518">
        <f>SUM(BR40:BU40)</f>
        <v>606.78041599999995</v>
      </c>
      <c r="DI40" s="518">
        <f>SUM(BV40:BY40)</f>
        <v>26.394368</v>
      </c>
      <c r="DJ40" s="518">
        <f>SUM(BZ40:CC40)</f>
        <v>0</v>
      </c>
      <c r="DK40" s="518">
        <f>SUM(CD40:CG40)</f>
        <v>0</v>
      </c>
      <c r="DL40" s="518"/>
      <c r="DM40" s="518"/>
      <c r="DN40" s="527"/>
    </row>
    <row r="41" spans="1:118">
      <c r="A41" s="519" t="s">
        <v>577</v>
      </c>
      <c r="W41" s="755"/>
      <c r="X41" s="755"/>
      <c r="Y41" s="755"/>
      <c r="Z41" s="755"/>
      <c r="AA41" s="755"/>
      <c r="AB41" s="755"/>
      <c r="AC41" s="755"/>
      <c r="AD41" s="755"/>
      <c r="AE41" s="755"/>
      <c r="AF41" s="755"/>
      <c r="AG41" s="755"/>
      <c r="AH41" s="755"/>
      <c r="AI41" s="755"/>
      <c r="AJ41" s="755"/>
      <c r="AK41" s="755"/>
      <c r="AL41" s="755"/>
      <c r="BJ41" s="516"/>
      <c r="BK41" s="516"/>
      <c r="BL41" s="520"/>
      <c r="BM41" s="520"/>
      <c r="BN41" s="520"/>
      <c r="BO41" s="520"/>
      <c r="BP41" s="520">
        <f>BP40/BO40-1</f>
        <v>0.89655172413793105</v>
      </c>
      <c r="BQ41" s="520">
        <v>0.03</v>
      </c>
      <c r="BR41" s="520">
        <v>-0.36</v>
      </c>
      <c r="BS41" s="520">
        <v>-0.35</v>
      </c>
      <c r="BT41" s="520">
        <v>-0.6</v>
      </c>
      <c r="BU41" s="520">
        <v>-0.3</v>
      </c>
      <c r="BV41" s="520">
        <v>-0.5</v>
      </c>
      <c r="BW41" s="520">
        <v>-1</v>
      </c>
      <c r="BX41" s="520">
        <v>0</v>
      </c>
      <c r="BY41" s="520">
        <v>0</v>
      </c>
      <c r="BZ41" s="520">
        <v>0</v>
      </c>
      <c r="CA41" s="520">
        <v>0</v>
      </c>
      <c r="CB41" s="520">
        <v>0</v>
      </c>
      <c r="CC41" s="520">
        <v>0</v>
      </c>
      <c r="CD41" s="520"/>
      <c r="CE41" s="520"/>
      <c r="CF41" s="520"/>
      <c r="CG41" s="520"/>
      <c r="CH41" s="520"/>
      <c r="CI41" s="520"/>
      <c r="CJ41" s="520"/>
      <c r="CK41" s="520"/>
      <c r="CL41" s="520"/>
      <c r="CM41" s="520"/>
      <c r="CN41" s="520"/>
      <c r="CO41" s="520"/>
      <c r="CP41" s="516"/>
      <c r="DF41" s="516"/>
      <c r="DG41" s="521" t="s">
        <v>224</v>
      </c>
      <c r="DH41" s="521" t="s">
        <v>224</v>
      </c>
      <c r="DI41" s="521" t="s">
        <v>224</v>
      </c>
      <c r="DJ41" s="521" t="s">
        <v>224</v>
      </c>
      <c r="DK41" s="521" t="s">
        <v>224</v>
      </c>
      <c r="DL41" s="521"/>
      <c r="DM41" s="521"/>
    </row>
    <row r="42" spans="1:118">
      <c r="A42" s="519" t="s">
        <v>578</v>
      </c>
      <c r="W42" s="755"/>
      <c r="X42" s="755"/>
      <c r="Y42" s="755"/>
      <c r="Z42" s="755"/>
      <c r="AA42" s="754"/>
      <c r="AB42" s="755"/>
      <c r="AC42" s="755"/>
      <c r="AD42" s="755"/>
      <c r="AE42" s="755"/>
      <c r="AF42" s="755"/>
      <c r="AG42" s="755"/>
      <c r="AH42" s="755"/>
      <c r="AI42" s="755"/>
      <c r="AJ42" s="755"/>
      <c r="AK42" s="755"/>
      <c r="AL42" s="755"/>
      <c r="BJ42" s="516"/>
      <c r="BK42" s="516"/>
      <c r="BL42" s="516"/>
      <c r="BM42" s="516"/>
      <c r="BN42" s="516"/>
      <c r="BO42" s="516"/>
      <c r="BP42" s="516"/>
      <c r="BQ42" s="516"/>
      <c r="BR42" s="516"/>
      <c r="BS42" s="516"/>
      <c r="BT42" s="516"/>
      <c r="BU42" s="516"/>
      <c r="BV42" s="516"/>
      <c r="BW42" s="516"/>
      <c r="BX42" s="516"/>
      <c r="BY42" s="516"/>
      <c r="BZ42" s="516"/>
      <c r="CA42" s="516"/>
      <c r="CB42" s="516"/>
      <c r="CC42" s="516"/>
      <c r="CD42" s="516"/>
      <c r="CE42" s="516"/>
      <c r="CF42" s="516"/>
      <c r="CG42" s="516"/>
      <c r="CH42" s="516"/>
      <c r="CI42" s="516"/>
      <c r="CJ42" s="516"/>
      <c r="CK42" s="516"/>
      <c r="CL42" s="516"/>
      <c r="CM42" s="516"/>
      <c r="CN42" s="516"/>
      <c r="CO42" s="516"/>
      <c r="CP42" s="516"/>
      <c r="DF42" s="516"/>
      <c r="DG42" s="516"/>
      <c r="DH42" s="525">
        <f>DH40/DG40-1</f>
        <v>-0.46073549946676151</v>
      </c>
      <c r="DI42" s="525">
        <f>DI40/DH40-1</f>
        <v>-0.95650095602294449</v>
      </c>
      <c r="DJ42" s="525">
        <f>DJ40/DI40-1</f>
        <v>-1</v>
      </c>
      <c r="DK42" s="525" t="e">
        <f>DK40/DJ40-1</f>
        <v>#DIV/0!</v>
      </c>
      <c r="DL42" s="525"/>
      <c r="DM42" s="525"/>
    </row>
    <row r="43" spans="1:118">
      <c r="A43" s="519" t="s">
        <v>582</v>
      </c>
      <c r="W43" s="755"/>
      <c r="X43" s="755"/>
      <c r="Y43" s="755"/>
      <c r="Z43" s="755"/>
      <c r="AA43" s="755"/>
      <c r="AB43" s="755"/>
      <c r="AC43" s="755"/>
      <c r="AD43" s="755"/>
      <c r="AE43" s="755"/>
      <c r="AF43" s="755"/>
      <c r="AG43" s="755"/>
      <c r="AH43" s="755"/>
      <c r="AI43" s="755"/>
      <c r="AJ43" s="755"/>
      <c r="AK43" s="755"/>
      <c r="AL43" s="755"/>
      <c r="BJ43" s="516"/>
      <c r="BK43" s="516"/>
      <c r="BL43" s="516"/>
      <c r="BM43" s="516"/>
      <c r="BN43" s="516"/>
      <c r="BO43" s="520">
        <f t="shared" ref="BO43:CC43" si="56">BO40/BO97</f>
        <v>0.26117557004025882</v>
      </c>
      <c r="BP43" s="520">
        <f t="shared" si="56"/>
        <v>0.41625483016377179</v>
      </c>
      <c r="BQ43" s="520">
        <f t="shared" si="56"/>
        <v>0.40083957860394787</v>
      </c>
      <c r="BR43" s="520">
        <f t="shared" si="56"/>
        <v>0.2725490640215778</v>
      </c>
      <c r="BS43" s="520">
        <f t="shared" si="56"/>
        <v>0.19212139563890271</v>
      </c>
      <c r="BT43" s="520">
        <f t="shared" si="56"/>
        <v>6.4304951903421961E-2</v>
      </c>
      <c r="BU43" s="520">
        <f t="shared" si="56"/>
        <v>3.8210885819494049E-2</v>
      </c>
      <c r="BV43" s="520">
        <f t="shared" si="56"/>
        <v>1.6584173689986829E-2</v>
      </c>
      <c r="BW43" s="520">
        <f t="shared" si="56"/>
        <v>0</v>
      </c>
      <c r="BX43" s="520">
        <f t="shared" si="56"/>
        <v>0</v>
      </c>
      <c r="BY43" s="520">
        <f t="shared" si="56"/>
        <v>0</v>
      </c>
      <c r="BZ43" s="520">
        <f t="shared" si="56"/>
        <v>0</v>
      </c>
      <c r="CA43" s="520">
        <f t="shared" si="56"/>
        <v>0</v>
      </c>
      <c r="CB43" s="520">
        <f t="shared" si="56"/>
        <v>0</v>
      </c>
      <c r="CC43" s="520">
        <f t="shared" si="56"/>
        <v>0</v>
      </c>
      <c r="CD43" s="520"/>
      <c r="CE43" s="520"/>
      <c r="CF43" s="520"/>
      <c r="CG43" s="520"/>
      <c r="CH43" s="520"/>
      <c r="CI43" s="520"/>
      <c r="CJ43" s="520"/>
      <c r="CK43" s="520"/>
      <c r="CL43" s="520"/>
      <c r="CM43" s="520"/>
      <c r="CN43" s="520"/>
      <c r="CO43" s="520"/>
      <c r="CP43" s="516"/>
      <c r="DF43" s="516"/>
      <c r="DG43" s="520">
        <f>DG40/DG97</f>
        <v>0.28706196932140082</v>
      </c>
      <c r="DH43" s="520">
        <f>DH40/DH97</f>
        <v>0.13191566651178246</v>
      </c>
      <c r="DI43" s="520">
        <f>DI40/DI97</f>
        <v>3.3354792594270013E-3</v>
      </c>
      <c r="DJ43" s="520">
        <f>DJ40/DJ97</f>
        <v>0</v>
      </c>
      <c r="DK43" s="520">
        <f>DK40/DK97</f>
        <v>0</v>
      </c>
      <c r="DL43" s="520"/>
      <c r="DM43" s="520"/>
    </row>
    <row r="44" spans="1:118">
      <c r="A44" s="517" t="s">
        <v>586</v>
      </c>
      <c r="W44" s="754"/>
      <c r="X44" s="754"/>
      <c r="Y44" s="754"/>
      <c r="Z44" s="754"/>
      <c r="AA44" s="754"/>
      <c r="AB44" s="754"/>
      <c r="AC44" s="754"/>
      <c r="AD44" s="754"/>
      <c r="AE44" s="754"/>
      <c r="AF44" s="754"/>
      <c r="AG44" s="754"/>
      <c r="AH44" s="754"/>
      <c r="AI44" s="754"/>
      <c r="AJ44" s="754"/>
      <c r="AK44" s="754"/>
      <c r="AL44" s="754"/>
      <c r="BJ44" s="518"/>
      <c r="BK44" s="757"/>
      <c r="BL44" s="518"/>
      <c r="BM44" s="518"/>
      <c r="BN44" s="518"/>
      <c r="BO44" s="518">
        <v>27500</v>
      </c>
      <c r="BP44" s="518">
        <f t="shared" ref="BP44:BY44" si="57">BO44</f>
        <v>27500</v>
      </c>
      <c r="BQ44" s="518">
        <f t="shared" si="57"/>
        <v>27500</v>
      </c>
      <c r="BR44" s="518">
        <f t="shared" si="57"/>
        <v>27500</v>
      </c>
      <c r="BS44" s="518">
        <f t="shared" si="57"/>
        <v>27500</v>
      </c>
      <c r="BT44" s="518">
        <f t="shared" si="57"/>
        <v>27500</v>
      </c>
      <c r="BU44" s="518">
        <f t="shared" si="57"/>
        <v>27500</v>
      </c>
      <c r="BV44" s="518">
        <f t="shared" si="57"/>
        <v>27500</v>
      </c>
      <c r="BW44" s="518">
        <f t="shared" si="57"/>
        <v>27500</v>
      </c>
      <c r="BX44" s="518">
        <f t="shared" si="57"/>
        <v>27500</v>
      </c>
      <c r="BY44" s="518">
        <f t="shared" si="57"/>
        <v>27500</v>
      </c>
      <c r="BZ44" s="518">
        <f>BY44</f>
        <v>27500</v>
      </c>
      <c r="CA44" s="518">
        <f>BZ44</f>
        <v>27500</v>
      </c>
      <c r="CB44" s="518">
        <f>CA44</f>
        <v>27500</v>
      </c>
      <c r="CC44" s="518">
        <f>CB44</f>
        <v>27500</v>
      </c>
      <c r="CD44" s="518"/>
      <c r="CE44" s="518"/>
      <c r="CF44" s="518"/>
      <c r="CG44" s="518"/>
      <c r="CH44" s="518"/>
      <c r="CI44" s="518"/>
      <c r="CJ44" s="518"/>
      <c r="CK44" s="518"/>
      <c r="CL44" s="518"/>
      <c r="CM44" s="518"/>
      <c r="CN44" s="518"/>
      <c r="CO44" s="518"/>
      <c r="CP44" s="518"/>
      <c r="DF44" s="518"/>
      <c r="DG44" s="518">
        <f>DG45/DG40*1000</f>
        <v>27500</v>
      </c>
      <c r="DH44" s="518">
        <f>DH45/DH40*1000</f>
        <v>27500</v>
      </c>
      <c r="DI44" s="518">
        <f>DI45/DI40*1000</f>
        <v>27499.999999999996</v>
      </c>
      <c r="DJ44" s="518" t="e">
        <f>DJ45/DJ40*1000</f>
        <v>#DIV/0!</v>
      </c>
      <c r="DK44" s="518" t="e">
        <f>DK45/DK40*1000</f>
        <v>#DIV/0!</v>
      </c>
      <c r="DL44" s="518"/>
      <c r="DM44" s="518"/>
    </row>
    <row r="45" spans="1:118">
      <c r="A45" s="522" t="s">
        <v>588</v>
      </c>
      <c r="W45" s="758"/>
      <c r="X45" s="758"/>
      <c r="Y45" s="758"/>
      <c r="Z45" s="758"/>
      <c r="AA45" s="758"/>
      <c r="AB45" s="758"/>
      <c r="AC45" s="758"/>
      <c r="AD45" s="758"/>
      <c r="AE45" s="758"/>
      <c r="AF45" s="758"/>
      <c r="AG45" s="758"/>
      <c r="AH45" s="758"/>
      <c r="AI45" s="758"/>
      <c r="AJ45" s="758"/>
      <c r="AK45" s="758"/>
      <c r="AL45" s="758"/>
      <c r="BJ45" s="523"/>
      <c r="BK45" s="523"/>
      <c r="BL45" s="523"/>
      <c r="BM45" s="523"/>
      <c r="BN45" s="523"/>
      <c r="BO45" s="523">
        <f t="shared" ref="BO45:BY45" si="58">BO44*BO40/1000</f>
        <v>6380</v>
      </c>
      <c r="BP45" s="523">
        <f t="shared" si="58"/>
        <v>12100</v>
      </c>
      <c r="BQ45" s="523">
        <f t="shared" si="58"/>
        <v>12463</v>
      </c>
      <c r="BR45" s="523">
        <f t="shared" si="58"/>
        <v>7976.32</v>
      </c>
      <c r="BS45" s="523">
        <f t="shared" si="58"/>
        <v>5184.6080000000002</v>
      </c>
      <c r="BT45" s="523">
        <f t="shared" si="58"/>
        <v>2073.8431999999998</v>
      </c>
      <c r="BU45" s="523">
        <f t="shared" si="58"/>
        <v>1451.6902399999999</v>
      </c>
      <c r="BV45" s="523">
        <f t="shared" si="58"/>
        <v>725.84511999999995</v>
      </c>
      <c r="BW45" s="523">
        <f t="shared" si="58"/>
        <v>0</v>
      </c>
      <c r="BX45" s="523">
        <f t="shared" si="58"/>
        <v>0</v>
      </c>
      <c r="BY45" s="523">
        <f t="shared" si="58"/>
        <v>0</v>
      </c>
      <c r="BZ45" s="523">
        <f>BZ44*BZ40/1000</f>
        <v>0</v>
      </c>
      <c r="CA45" s="523">
        <f>CA44*CA40/1000</f>
        <v>0</v>
      </c>
      <c r="CB45" s="523">
        <f>CB44*CB40/1000</f>
        <v>0</v>
      </c>
      <c r="CC45" s="523">
        <f>CC44*CC40/1000</f>
        <v>0</v>
      </c>
      <c r="CD45" s="523"/>
      <c r="CE45" s="523"/>
      <c r="CF45" s="523"/>
      <c r="CG45" s="523"/>
      <c r="CH45" s="523"/>
      <c r="CI45" s="523"/>
      <c r="CJ45" s="523"/>
      <c r="CK45" s="523"/>
      <c r="CL45" s="523"/>
      <c r="CM45" s="523"/>
      <c r="CN45" s="523"/>
      <c r="CO45" s="523"/>
      <c r="CP45" s="523"/>
      <c r="DF45" s="523"/>
      <c r="DG45" s="523">
        <f>SUM(BN45:BQ45)</f>
        <v>30943</v>
      </c>
      <c r="DH45" s="523">
        <f>SUM(BR45:BU45)</f>
        <v>16686.461439999999</v>
      </c>
      <c r="DI45" s="523">
        <f>SUM(BV45:BY45)</f>
        <v>725.84511999999995</v>
      </c>
      <c r="DJ45" s="518">
        <f>SUM(BZ45:CC45)</f>
        <v>0</v>
      </c>
      <c r="DK45" s="518">
        <f>SUM(CD45:CG45)</f>
        <v>0</v>
      </c>
      <c r="DL45" s="518"/>
      <c r="DM45" s="518"/>
    </row>
    <row r="46" spans="1:118">
      <c r="A46" s="519" t="s">
        <v>577</v>
      </c>
      <c r="W46" s="758"/>
      <c r="X46" s="758"/>
      <c r="Y46" s="758"/>
      <c r="Z46" s="758"/>
      <c r="AA46" s="758"/>
      <c r="AB46" s="758"/>
      <c r="AC46" s="758"/>
      <c r="AD46" s="758"/>
      <c r="AE46" s="758"/>
      <c r="AF46" s="758"/>
      <c r="AG46" s="758"/>
      <c r="AH46" s="758"/>
      <c r="AI46" s="758"/>
      <c r="AJ46" s="758"/>
      <c r="AK46" s="758"/>
      <c r="AL46" s="758"/>
      <c r="BJ46" s="523"/>
      <c r="BK46" s="759"/>
      <c r="BL46" s="759"/>
      <c r="BM46" s="759"/>
      <c r="BN46" s="759"/>
      <c r="BO46" s="759"/>
      <c r="BP46" s="759">
        <f>BP45/BO45-1</f>
        <v>0.89655172413793105</v>
      </c>
      <c r="BQ46" s="759">
        <f>BQ45/BP45-1</f>
        <v>3.0000000000000027E-2</v>
      </c>
      <c r="BR46" s="759">
        <f>BR45/BQ45-1</f>
        <v>-0.36</v>
      </c>
      <c r="BS46" s="759">
        <f>BS45/BR45-1</f>
        <v>-0.35</v>
      </c>
      <c r="BT46" s="759"/>
      <c r="BU46" s="759"/>
      <c r="BV46" s="759"/>
      <c r="BW46" s="759"/>
      <c r="BX46" s="759"/>
      <c r="BY46" s="759"/>
      <c r="BZ46" s="759"/>
      <c r="CA46" s="759"/>
      <c r="CB46" s="759"/>
      <c r="CC46" s="759"/>
      <c r="CD46" s="759"/>
      <c r="CE46" s="759"/>
      <c r="CF46" s="759"/>
      <c r="CG46" s="759"/>
      <c r="CH46" s="759"/>
      <c r="CI46" s="759"/>
      <c r="CJ46" s="759"/>
      <c r="CK46" s="759"/>
      <c r="CL46" s="759"/>
      <c r="CM46" s="759"/>
      <c r="CN46" s="759"/>
      <c r="CO46" s="759"/>
      <c r="CP46" s="523"/>
      <c r="DF46" s="523"/>
      <c r="DG46" s="523"/>
      <c r="DH46" s="523"/>
      <c r="DI46" s="523"/>
      <c r="DJ46" s="523"/>
      <c r="DK46" s="523"/>
      <c r="DL46" s="523"/>
      <c r="DM46" s="523"/>
    </row>
    <row r="47" spans="1:118">
      <c r="A47" s="519" t="s">
        <v>578</v>
      </c>
      <c r="W47" s="758"/>
      <c r="X47" s="758"/>
      <c r="Y47" s="758"/>
      <c r="Z47" s="758"/>
      <c r="AA47" s="758"/>
      <c r="AB47" s="758"/>
      <c r="AC47" s="758"/>
      <c r="AD47" s="758"/>
      <c r="AE47" s="758"/>
      <c r="AF47" s="758"/>
      <c r="AG47" s="758"/>
      <c r="AH47" s="758"/>
      <c r="AI47" s="758"/>
      <c r="AJ47" s="758"/>
      <c r="AK47" s="758"/>
      <c r="AL47" s="758"/>
      <c r="BJ47" s="523"/>
      <c r="BK47" s="523"/>
      <c r="BL47" s="523"/>
      <c r="BM47" s="523"/>
      <c r="BN47" s="759"/>
      <c r="BO47" s="759"/>
      <c r="BP47" s="759"/>
      <c r="BQ47" s="759"/>
      <c r="BR47" s="759"/>
      <c r="BS47" s="759">
        <f>BS45/BO45-1</f>
        <v>-0.18736551724137929</v>
      </c>
      <c r="BT47" s="759"/>
      <c r="BU47" s="759"/>
      <c r="BV47" s="759"/>
      <c r="BW47" s="759"/>
      <c r="BX47" s="759"/>
      <c r="BY47" s="759"/>
      <c r="BZ47" s="759"/>
      <c r="CA47" s="759"/>
      <c r="CB47" s="759"/>
      <c r="CC47" s="759"/>
      <c r="CD47" s="759"/>
      <c r="CE47" s="759"/>
      <c r="CF47" s="759"/>
      <c r="CG47" s="759"/>
      <c r="CH47" s="759"/>
      <c r="CI47" s="759"/>
      <c r="CJ47" s="759"/>
      <c r="CK47" s="759"/>
      <c r="CL47" s="759"/>
      <c r="CM47" s="759"/>
      <c r="CN47" s="759"/>
      <c r="CO47" s="759"/>
      <c r="CP47" s="523"/>
      <c r="DF47" s="523"/>
      <c r="DG47" s="523"/>
      <c r="DH47" s="759">
        <f>+DH45/DG45-1</f>
        <v>-0.46073549946676151</v>
      </c>
      <c r="DI47" s="759">
        <f>+DI45/DH45-1</f>
        <v>-0.95650095602294449</v>
      </c>
      <c r="DJ47" s="759">
        <f>+DJ45/DI45-1</f>
        <v>-1</v>
      </c>
      <c r="DK47" s="759" t="e">
        <f>+DK45/DJ45-1</f>
        <v>#DIV/0!</v>
      </c>
      <c r="DL47" s="759"/>
      <c r="DM47" s="759"/>
    </row>
    <row r="48" spans="1:118">
      <c r="A48" s="514" t="s">
        <v>589</v>
      </c>
      <c r="B48" s="528"/>
      <c r="C48" s="528"/>
      <c r="D48" s="528"/>
      <c r="E48" s="528"/>
      <c r="F48" s="528"/>
      <c r="G48" s="528"/>
      <c r="H48" s="528"/>
      <c r="I48" s="528"/>
      <c r="J48" s="528"/>
      <c r="K48" s="528"/>
      <c r="L48" s="528"/>
      <c r="M48" s="528"/>
      <c r="N48" s="528"/>
      <c r="O48" s="528"/>
      <c r="P48" s="528"/>
      <c r="Q48" s="528"/>
      <c r="R48" s="528"/>
      <c r="S48" s="528"/>
      <c r="T48" s="528"/>
      <c r="U48" s="528"/>
      <c r="V48" s="528"/>
      <c r="W48" s="528"/>
      <c r="X48" s="528"/>
      <c r="Y48" s="528"/>
      <c r="Z48" s="528"/>
      <c r="AA48" s="528"/>
      <c r="AB48" s="528"/>
      <c r="AC48" s="528"/>
      <c r="AD48" s="528"/>
      <c r="AE48" s="528"/>
      <c r="AF48" s="528"/>
      <c r="AG48" s="528"/>
      <c r="AH48" s="528"/>
      <c r="AI48" s="528"/>
      <c r="AJ48" s="528"/>
      <c r="AK48" s="528"/>
      <c r="AL48" s="528"/>
      <c r="AM48" s="528"/>
      <c r="AN48" s="528"/>
      <c r="AO48" s="528"/>
      <c r="AP48" s="528"/>
      <c r="AQ48" s="528"/>
      <c r="AR48" s="528"/>
      <c r="AS48" s="528"/>
      <c r="AT48" s="528"/>
      <c r="AU48" s="528"/>
      <c r="AV48" s="528"/>
      <c r="AW48" s="528"/>
      <c r="AX48" s="528"/>
      <c r="AY48" s="528"/>
      <c r="AZ48" s="528"/>
      <c r="BA48" s="528"/>
      <c r="BB48" s="528"/>
      <c r="BC48" s="528"/>
      <c r="BD48" s="528"/>
      <c r="BE48" s="528"/>
      <c r="BF48" s="528"/>
      <c r="BG48" s="528"/>
      <c r="BH48" s="528"/>
      <c r="BI48" s="528"/>
      <c r="BJ48" s="528"/>
      <c r="BK48" s="528"/>
      <c r="BL48" s="528"/>
      <c r="BM48" s="528"/>
      <c r="BN48" s="528"/>
      <c r="BO48" s="528"/>
      <c r="BP48" s="528"/>
      <c r="BQ48" s="528"/>
      <c r="BR48" s="528"/>
      <c r="BS48" s="528"/>
      <c r="BT48" s="528"/>
      <c r="BU48" s="531"/>
      <c r="BV48" s="531"/>
      <c r="BW48" s="528"/>
      <c r="BX48" s="528"/>
      <c r="BY48" s="528"/>
      <c r="BZ48" s="528"/>
      <c r="CA48" s="528"/>
      <c r="CB48" s="528"/>
      <c r="CC48" s="528"/>
      <c r="CD48" s="528"/>
      <c r="CE48" s="528"/>
      <c r="CF48" s="528"/>
      <c r="CG48" s="528"/>
      <c r="CH48" s="528"/>
      <c r="CI48" s="528"/>
      <c r="CJ48" s="528"/>
      <c r="CK48" s="528"/>
      <c r="CL48" s="528"/>
      <c r="CM48" s="528"/>
      <c r="CN48" s="528"/>
      <c r="CO48" s="528"/>
      <c r="CP48" s="529"/>
      <c r="CQ48" s="528"/>
      <c r="CR48" s="528"/>
      <c r="CS48" s="528"/>
      <c r="CT48" s="528"/>
      <c r="CU48" s="528"/>
      <c r="CV48" s="528"/>
      <c r="CW48" s="528"/>
      <c r="CX48" s="528"/>
      <c r="CY48" s="528"/>
      <c r="CZ48" s="528"/>
      <c r="DA48" s="528"/>
      <c r="DB48" s="528"/>
      <c r="DC48" s="528"/>
      <c r="DD48" s="528"/>
      <c r="DE48" s="528"/>
      <c r="DF48" s="528"/>
      <c r="DG48" s="528"/>
      <c r="DH48" s="532">
        <f>SUM(DH54:DJ54)</f>
        <v>79997.141573999994</v>
      </c>
      <c r="DI48" s="528"/>
      <c r="DJ48" s="528"/>
      <c r="DK48" s="528"/>
      <c r="DL48" s="528"/>
      <c r="DM48" s="528"/>
    </row>
    <row r="49" spans="1:117">
      <c r="A49" s="517" t="s">
        <v>581</v>
      </c>
      <c r="W49" s="754"/>
      <c r="X49" s="754"/>
      <c r="Y49" s="754"/>
      <c r="Z49" s="754"/>
      <c r="AA49" s="754"/>
      <c r="AB49" s="754"/>
      <c r="AC49" s="754"/>
      <c r="AD49" s="754"/>
      <c r="AE49" s="754"/>
      <c r="AF49" s="754"/>
      <c r="AG49" s="754"/>
      <c r="AH49" s="754"/>
      <c r="AI49" s="754"/>
      <c r="AJ49" s="754"/>
      <c r="AK49" s="754"/>
      <c r="AL49" s="754"/>
      <c r="BJ49" s="518"/>
      <c r="BK49" s="518"/>
      <c r="BL49" s="518"/>
      <c r="BM49" s="518"/>
      <c r="BN49" s="518"/>
      <c r="BO49" s="518"/>
      <c r="BP49" s="518">
        <v>13</v>
      </c>
      <c r="BQ49" s="518">
        <v>315</v>
      </c>
      <c r="BR49" s="518">
        <f t="shared" ref="BR49:CG49" si="59">BQ49*(1+BR50)</f>
        <v>683.55</v>
      </c>
      <c r="BS49" s="518">
        <f t="shared" si="59"/>
        <v>410.12999999999994</v>
      </c>
      <c r="BT49" s="518">
        <f>BS49*(1+BT50)</f>
        <v>377.31959999999998</v>
      </c>
      <c r="BU49" s="518">
        <f t="shared" si="59"/>
        <v>320.72165999999999</v>
      </c>
      <c r="BV49" s="518">
        <f t="shared" si="59"/>
        <v>224.50516199999998</v>
      </c>
      <c r="BW49" s="518">
        <f t="shared" si="59"/>
        <v>179.60412959999999</v>
      </c>
      <c r="BX49" s="518">
        <f t="shared" si="59"/>
        <v>89.802064799999997</v>
      </c>
      <c r="BY49" s="518">
        <f t="shared" si="59"/>
        <v>0</v>
      </c>
      <c r="BZ49" s="518">
        <f t="shared" si="59"/>
        <v>0</v>
      </c>
      <c r="CA49" s="518">
        <f t="shared" si="59"/>
        <v>0</v>
      </c>
      <c r="CB49" s="518">
        <f t="shared" si="59"/>
        <v>0</v>
      </c>
      <c r="CC49" s="518">
        <f t="shared" si="59"/>
        <v>0</v>
      </c>
      <c r="CD49" s="518">
        <f t="shared" si="59"/>
        <v>0</v>
      </c>
      <c r="CE49" s="518">
        <f t="shared" si="59"/>
        <v>0</v>
      </c>
      <c r="CF49" s="518">
        <f t="shared" si="59"/>
        <v>0</v>
      </c>
      <c r="CG49" s="518">
        <f t="shared" si="59"/>
        <v>0</v>
      </c>
      <c r="CH49" s="518"/>
      <c r="CI49" s="518"/>
      <c r="CJ49" s="518"/>
      <c r="CK49" s="518"/>
      <c r="CL49" s="518"/>
      <c r="CM49" s="518"/>
      <c r="CN49" s="518"/>
      <c r="CO49" s="518"/>
      <c r="CP49" s="518"/>
      <c r="CQ49" s="518"/>
      <c r="CR49" s="518"/>
      <c r="CS49" s="518"/>
      <c r="CT49" s="518"/>
      <c r="CU49" s="518"/>
      <c r="CV49" s="518"/>
      <c r="CW49" s="518"/>
      <c r="CX49" s="518"/>
      <c r="CY49" s="518"/>
      <c r="CZ49" s="518"/>
      <c r="DA49" s="518"/>
      <c r="DB49" s="518"/>
      <c r="DC49" s="518"/>
      <c r="DD49" s="518"/>
      <c r="DE49" s="518"/>
      <c r="DF49" s="518"/>
      <c r="DG49" s="518">
        <f>SUM(BN49:BQ49)</f>
        <v>328</v>
      </c>
      <c r="DH49" s="518">
        <f>SUM(BR49:BU49)</f>
        <v>1791.7212599999998</v>
      </c>
      <c r="DI49" s="518">
        <f>SUM(BV49:BY49)</f>
        <v>493.91135639999999</v>
      </c>
      <c r="DJ49" s="518">
        <f>SUM(BZ49:CC49)</f>
        <v>0</v>
      </c>
      <c r="DK49" s="518">
        <f>SUM(CD49:CG49)</f>
        <v>0</v>
      </c>
      <c r="DL49" s="518"/>
      <c r="DM49" s="518"/>
    </row>
    <row r="50" spans="1:117">
      <c r="A50" s="519" t="s">
        <v>577</v>
      </c>
      <c r="W50" s="755"/>
      <c r="X50" s="755"/>
      <c r="Y50" s="755"/>
      <c r="Z50" s="755"/>
      <c r="AA50" s="755"/>
      <c r="AB50" s="755"/>
      <c r="AC50" s="755"/>
      <c r="AD50" s="755"/>
      <c r="AE50" s="755"/>
      <c r="AF50" s="755"/>
      <c r="AG50" s="755"/>
      <c r="AH50" s="755"/>
      <c r="AI50" s="755"/>
      <c r="AJ50" s="755"/>
      <c r="AK50" s="755"/>
      <c r="AL50" s="755"/>
      <c r="BJ50" s="516"/>
      <c r="BK50" s="516"/>
      <c r="BL50" s="520"/>
      <c r="BM50" s="520"/>
      <c r="BN50" s="520"/>
      <c r="BO50" s="520"/>
      <c r="BP50" s="520">
        <v>0</v>
      </c>
      <c r="BQ50" s="520">
        <f>BQ49/BP49-1</f>
        <v>23.23076923076923</v>
      </c>
      <c r="BR50" s="520">
        <v>1.17</v>
      </c>
      <c r="BS50" s="520">
        <v>-0.4</v>
      </c>
      <c r="BT50" s="520">
        <v>-0.08</v>
      </c>
      <c r="BU50" s="520">
        <v>-0.15</v>
      </c>
      <c r="BV50" s="520">
        <v>-0.3</v>
      </c>
      <c r="BW50" s="520">
        <v>-0.2</v>
      </c>
      <c r="BX50" s="520">
        <v>-0.5</v>
      </c>
      <c r="BY50" s="520">
        <v>-1</v>
      </c>
      <c r="BZ50" s="520">
        <v>0</v>
      </c>
      <c r="CA50" s="520">
        <v>0</v>
      </c>
      <c r="CB50" s="520">
        <v>0</v>
      </c>
      <c r="CC50" s="520">
        <v>0</v>
      </c>
      <c r="CD50" s="520">
        <v>0</v>
      </c>
      <c r="CE50" s="520">
        <v>0</v>
      </c>
      <c r="CF50" s="520">
        <v>0</v>
      </c>
      <c r="CG50" s="520">
        <v>0</v>
      </c>
      <c r="CH50" s="520"/>
      <c r="CI50" s="520"/>
      <c r="CJ50" s="520"/>
      <c r="CK50" s="520"/>
      <c r="CL50" s="520"/>
      <c r="CM50" s="520"/>
      <c r="CN50" s="520"/>
      <c r="CO50" s="520"/>
      <c r="CP50" s="516"/>
      <c r="CQ50" s="516"/>
      <c r="CR50" s="516"/>
      <c r="CS50" s="516"/>
      <c r="CT50" s="516"/>
      <c r="CU50" s="516"/>
      <c r="CV50" s="516"/>
      <c r="CW50" s="516"/>
      <c r="CX50" s="516"/>
      <c r="CY50" s="516"/>
      <c r="CZ50" s="516"/>
      <c r="DA50" s="516"/>
      <c r="DB50" s="516"/>
      <c r="DC50" s="516"/>
      <c r="DD50" s="516"/>
      <c r="DE50" s="516"/>
      <c r="DF50" s="516"/>
      <c r="DG50" s="521" t="s">
        <v>224</v>
      </c>
      <c r="DH50" s="516"/>
      <c r="DI50" s="516"/>
      <c r="DJ50" s="516"/>
      <c r="DK50" s="516"/>
      <c r="DL50" s="516"/>
      <c r="DM50" s="516"/>
    </row>
    <row r="51" spans="1:117">
      <c r="A51" s="519" t="s">
        <v>578</v>
      </c>
      <c r="W51" s="755"/>
      <c r="X51" s="755"/>
      <c r="Y51" s="755"/>
      <c r="Z51" s="755"/>
      <c r="AA51" s="755"/>
      <c r="AB51" s="755"/>
      <c r="AC51" s="755"/>
      <c r="AD51" s="755"/>
      <c r="AE51" s="755"/>
      <c r="AF51" s="755"/>
      <c r="AG51" s="755"/>
      <c r="AH51" s="755"/>
      <c r="AI51" s="755"/>
      <c r="AJ51" s="755"/>
      <c r="AK51" s="755"/>
      <c r="AL51" s="755"/>
      <c r="BJ51" s="516"/>
      <c r="BK51" s="516"/>
      <c r="BL51" s="516"/>
      <c r="BM51" s="516"/>
      <c r="BN51" s="516"/>
      <c r="BO51" s="516"/>
      <c r="BP51" s="516"/>
      <c r="BQ51" s="516"/>
      <c r="BR51" s="516"/>
      <c r="BS51" s="516"/>
      <c r="BT51" s="516"/>
      <c r="BU51" s="516"/>
      <c r="BV51" s="516"/>
      <c r="BW51" s="516"/>
      <c r="BX51" s="516"/>
      <c r="BY51" s="516"/>
      <c r="BZ51" s="516"/>
      <c r="CA51" s="516"/>
      <c r="CB51" s="516"/>
      <c r="CC51" s="516"/>
      <c r="CD51" s="516"/>
      <c r="CE51" s="516"/>
      <c r="CF51" s="516"/>
      <c r="CG51" s="516"/>
      <c r="CH51" s="516"/>
      <c r="CI51" s="516"/>
      <c r="CJ51" s="516"/>
      <c r="CK51" s="516"/>
      <c r="CL51" s="516"/>
      <c r="CM51" s="516"/>
      <c r="CN51" s="516"/>
      <c r="CO51" s="516"/>
      <c r="CP51" s="516"/>
      <c r="CQ51" s="516"/>
      <c r="CR51" s="516"/>
      <c r="CS51" s="516"/>
      <c r="CT51" s="516"/>
      <c r="CU51" s="516"/>
      <c r="CV51" s="516"/>
      <c r="CW51" s="516"/>
      <c r="CX51" s="516"/>
      <c r="CY51" s="516"/>
      <c r="CZ51" s="516"/>
      <c r="DA51" s="516"/>
      <c r="DB51" s="516"/>
      <c r="DC51" s="516"/>
      <c r="DD51" s="516"/>
      <c r="DE51" s="516"/>
      <c r="DF51" s="516"/>
      <c r="DG51" s="516"/>
      <c r="DH51" s="525">
        <f>DH49/DG49-1</f>
        <v>4.4625648170731704</v>
      </c>
      <c r="DI51" s="525">
        <f>DI49/DH49-1</f>
        <v>-0.72433694491072786</v>
      </c>
      <c r="DJ51" s="525">
        <f>DJ49/DI49-1</f>
        <v>-1</v>
      </c>
      <c r="DK51" s="525" t="e">
        <f>DK49/DJ49-1</f>
        <v>#DIV/0!</v>
      </c>
      <c r="DL51" s="525"/>
      <c r="DM51" s="525"/>
    </row>
    <row r="52" spans="1:117">
      <c r="A52" s="519" t="s">
        <v>582</v>
      </c>
      <c r="W52" s="755"/>
      <c r="X52" s="755"/>
      <c r="Y52" s="755"/>
      <c r="Z52" s="755"/>
      <c r="AA52" s="755"/>
      <c r="AB52" s="755"/>
      <c r="AC52" s="755"/>
      <c r="AD52" s="755"/>
      <c r="AE52" s="755"/>
      <c r="AF52" s="755"/>
      <c r="AG52" s="755"/>
      <c r="AH52" s="755"/>
      <c r="AI52" s="755"/>
      <c r="AJ52" s="755"/>
      <c r="AK52" s="755"/>
      <c r="AL52" s="755"/>
      <c r="BJ52" s="516"/>
      <c r="BK52" s="516"/>
      <c r="BL52" s="516"/>
      <c r="BM52" s="516"/>
      <c r="BN52" s="516"/>
      <c r="BO52" s="516"/>
      <c r="BP52" s="520">
        <f t="shared" ref="BP52:CG52" si="60">BP49/BP97</f>
        <v>1.2298438163929622E-2</v>
      </c>
      <c r="BQ52" s="520">
        <f t="shared" si="60"/>
        <v>0.27860650322207325</v>
      </c>
      <c r="BR52" s="520">
        <f t="shared" si="60"/>
        <v>0.64231062690295915</v>
      </c>
      <c r="BS52" s="520">
        <f t="shared" si="60"/>
        <v>0.41794009688254863</v>
      </c>
      <c r="BT52" s="520">
        <f t="shared" si="60"/>
        <v>0.32174407644753777</v>
      </c>
      <c r="BU52" s="520">
        <f t="shared" si="60"/>
        <v>0.23215291099409144</v>
      </c>
      <c r="BV52" s="520">
        <f t="shared" si="60"/>
        <v>0.14106163106108965</v>
      </c>
      <c r="BW52" s="520">
        <f t="shared" si="60"/>
        <v>9.8945361803757459E-2</v>
      </c>
      <c r="BX52" s="520">
        <f t="shared" si="60"/>
        <v>4.1379423320354047E-2</v>
      </c>
      <c r="BY52" s="520">
        <f t="shared" si="60"/>
        <v>0</v>
      </c>
      <c r="BZ52" s="520">
        <f t="shared" si="60"/>
        <v>0</v>
      </c>
      <c r="CA52" s="520">
        <f t="shared" si="60"/>
        <v>0</v>
      </c>
      <c r="CB52" s="520">
        <f t="shared" si="60"/>
        <v>0</v>
      </c>
      <c r="CC52" s="520">
        <f t="shared" si="60"/>
        <v>0</v>
      </c>
      <c r="CD52" s="520">
        <f t="shared" si="60"/>
        <v>0</v>
      </c>
      <c r="CE52" s="520">
        <f t="shared" si="60"/>
        <v>0</v>
      </c>
      <c r="CF52" s="520">
        <f t="shared" si="60"/>
        <v>0</v>
      </c>
      <c r="CG52" s="520">
        <f t="shared" si="60"/>
        <v>0</v>
      </c>
      <c r="CH52" s="520"/>
      <c r="CI52" s="520"/>
      <c r="CJ52" s="520"/>
      <c r="CK52" s="520"/>
      <c r="CL52" s="520"/>
      <c r="CM52" s="520"/>
      <c r="CN52" s="520"/>
      <c r="CO52" s="520"/>
      <c r="CP52" s="516"/>
      <c r="CQ52" s="516"/>
      <c r="CR52" s="516"/>
      <c r="CS52" s="516"/>
      <c r="CT52" s="516"/>
      <c r="CU52" s="516"/>
      <c r="CV52" s="516"/>
      <c r="CW52" s="516"/>
      <c r="CX52" s="516"/>
      <c r="CY52" s="516"/>
      <c r="CZ52" s="516"/>
      <c r="DA52" s="516"/>
      <c r="DB52" s="516"/>
      <c r="DC52" s="516"/>
      <c r="DD52" s="516"/>
      <c r="DE52" s="516"/>
      <c r="DF52" s="516"/>
      <c r="DG52" s="520">
        <f>DG49/DG97</f>
        <v>8.3679635564716914E-2</v>
      </c>
      <c r="DH52" s="520">
        <f>DH49/DH97</f>
        <v>0.38952493848488129</v>
      </c>
      <c r="DI52" s="520">
        <f>DI49/DI97</f>
        <v>6.2416008038823197E-2</v>
      </c>
      <c r="DJ52" s="520">
        <f>DJ49/DJ97</f>
        <v>0</v>
      </c>
      <c r="DK52" s="520">
        <f>DK49/DK97</f>
        <v>0</v>
      </c>
      <c r="DL52" s="520"/>
      <c r="DM52" s="520"/>
    </row>
    <row r="53" spans="1:117">
      <c r="A53" s="517" t="s">
        <v>586</v>
      </c>
      <c r="W53" s="754"/>
      <c r="X53" s="754"/>
      <c r="Y53" s="754"/>
      <c r="Z53" s="754"/>
      <c r="AA53" s="754"/>
      <c r="AB53" s="754"/>
      <c r="AC53" s="754"/>
      <c r="AD53" s="754"/>
      <c r="AE53" s="754"/>
      <c r="AF53" s="754"/>
      <c r="AG53" s="754"/>
      <c r="AH53" s="754"/>
      <c r="AI53" s="754"/>
      <c r="AJ53" s="754"/>
      <c r="AK53" s="754"/>
      <c r="AL53" s="754"/>
      <c r="BJ53" s="518"/>
      <c r="BK53" s="757"/>
      <c r="BL53" s="518"/>
      <c r="BM53" s="518"/>
      <c r="BN53" s="518"/>
      <c r="BO53" s="518"/>
      <c r="BP53" s="518">
        <v>35000</v>
      </c>
      <c r="BQ53" s="518">
        <f t="shared" ref="BQ53:CG53" si="61">BP53</f>
        <v>35000</v>
      </c>
      <c r="BR53" s="518">
        <f t="shared" si="61"/>
        <v>35000</v>
      </c>
      <c r="BS53" s="518">
        <f t="shared" si="61"/>
        <v>35000</v>
      </c>
      <c r="BT53" s="518">
        <f t="shared" si="61"/>
        <v>35000</v>
      </c>
      <c r="BU53" s="518">
        <f t="shared" si="61"/>
        <v>35000</v>
      </c>
      <c r="BV53" s="518">
        <f t="shared" si="61"/>
        <v>35000</v>
      </c>
      <c r="BW53" s="518">
        <f t="shared" si="61"/>
        <v>35000</v>
      </c>
      <c r="BX53" s="518">
        <f t="shared" si="61"/>
        <v>35000</v>
      </c>
      <c r="BY53" s="518">
        <f t="shared" si="61"/>
        <v>35000</v>
      </c>
      <c r="BZ53" s="518">
        <f t="shared" si="61"/>
        <v>35000</v>
      </c>
      <c r="CA53" s="518">
        <f t="shared" si="61"/>
        <v>35000</v>
      </c>
      <c r="CB53" s="518">
        <f t="shared" si="61"/>
        <v>35000</v>
      </c>
      <c r="CC53" s="518">
        <f t="shared" si="61"/>
        <v>35000</v>
      </c>
      <c r="CD53" s="518">
        <f t="shared" si="61"/>
        <v>35000</v>
      </c>
      <c r="CE53" s="518">
        <f t="shared" si="61"/>
        <v>35000</v>
      </c>
      <c r="CF53" s="518">
        <f t="shared" si="61"/>
        <v>35000</v>
      </c>
      <c r="CG53" s="518">
        <f t="shared" si="61"/>
        <v>35000</v>
      </c>
      <c r="CH53" s="518"/>
      <c r="CI53" s="518"/>
      <c r="CJ53" s="518"/>
      <c r="CK53" s="518"/>
      <c r="CL53" s="518"/>
      <c r="CM53" s="518"/>
      <c r="CN53" s="518"/>
      <c r="CO53" s="518"/>
      <c r="CP53" s="518"/>
      <c r="CQ53" s="518"/>
      <c r="CR53" s="518"/>
      <c r="CS53" s="518"/>
      <c r="CT53" s="518"/>
      <c r="CU53" s="518"/>
      <c r="CV53" s="518"/>
      <c r="CW53" s="518"/>
      <c r="CX53" s="518"/>
      <c r="CY53" s="518"/>
      <c r="CZ53" s="518"/>
      <c r="DA53" s="518"/>
      <c r="DB53" s="518"/>
      <c r="DC53" s="518"/>
      <c r="DD53" s="518"/>
      <c r="DE53" s="518"/>
      <c r="DF53" s="518"/>
      <c r="DG53" s="518"/>
      <c r="DH53" s="518"/>
      <c r="DI53" s="518"/>
      <c r="DJ53" s="518"/>
      <c r="DK53" s="518"/>
      <c r="DL53" s="518"/>
      <c r="DM53" s="518"/>
    </row>
    <row r="54" spans="1:117">
      <c r="A54" s="522" t="s">
        <v>588</v>
      </c>
      <c r="W54" s="758"/>
      <c r="X54" s="758"/>
      <c r="Y54" s="758"/>
      <c r="Z54" s="758"/>
      <c r="AA54" s="758"/>
      <c r="AB54" s="758"/>
      <c r="AC54" s="758"/>
      <c r="AD54" s="758"/>
      <c r="AE54" s="758"/>
      <c r="AF54" s="758"/>
      <c r="AG54" s="758"/>
      <c r="AH54" s="758"/>
      <c r="AI54" s="758"/>
      <c r="AJ54" s="758"/>
      <c r="AK54" s="758"/>
      <c r="AL54" s="758"/>
      <c r="BJ54" s="523"/>
      <c r="BK54" s="523"/>
      <c r="BL54" s="523"/>
      <c r="BM54" s="523"/>
      <c r="BN54" s="523"/>
      <c r="BO54" s="523"/>
      <c r="BP54" s="523">
        <f t="shared" ref="BP54:CG54" si="62">BP53*BP49/1000</f>
        <v>455</v>
      </c>
      <c r="BQ54" s="523">
        <f t="shared" si="62"/>
        <v>11025</v>
      </c>
      <c r="BR54" s="523">
        <f t="shared" si="62"/>
        <v>23924.25</v>
      </c>
      <c r="BS54" s="523">
        <f t="shared" si="62"/>
        <v>14354.549999999997</v>
      </c>
      <c r="BT54" s="523">
        <f t="shared" si="62"/>
        <v>13206.186</v>
      </c>
      <c r="BU54" s="523">
        <f t="shared" si="62"/>
        <v>11225.258099999999</v>
      </c>
      <c r="BV54" s="523">
        <f t="shared" si="62"/>
        <v>7857.6806699999988</v>
      </c>
      <c r="BW54" s="523">
        <f t="shared" si="62"/>
        <v>6286.1445359999998</v>
      </c>
      <c r="BX54" s="523">
        <f t="shared" si="62"/>
        <v>3143.0722679999999</v>
      </c>
      <c r="BY54" s="523">
        <f t="shared" si="62"/>
        <v>0</v>
      </c>
      <c r="BZ54" s="523">
        <f t="shared" si="62"/>
        <v>0</v>
      </c>
      <c r="CA54" s="523">
        <f t="shared" si="62"/>
        <v>0</v>
      </c>
      <c r="CB54" s="523">
        <f t="shared" si="62"/>
        <v>0</v>
      </c>
      <c r="CC54" s="523">
        <f t="shared" si="62"/>
        <v>0</v>
      </c>
      <c r="CD54" s="523">
        <f t="shared" si="62"/>
        <v>0</v>
      </c>
      <c r="CE54" s="523">
        <f t="shared" si="62"/>
        <v>0</v>
      </c>
      <c r="CF54" s="523">
        <f t="shared" si="62"/>
        <v>0</v>
      </c>
      <c r="CG54" s="523">
        <f t="shared" si="62"/>
        <v>0</v>
      </c>
      <c r="CH54" s="523"/>
      <c r="CI54" s="523"/>
      <c r="CJ54" s="523"/>
      <c r="CK54" s="523"/>
      <c r="CL54" s="523"/>
      <c r="CM54" s="523"/>
      <c r="CN54" s="523"/>
      <c r="CO54" s="523"/>
      <c r="CP54" s="523"/>
      <c r="CQ54" s="523"/>
      <c r="CR54" s="523"/>
      <c r="CS54" s="523"/>
      <c r="CT54" s="523"/>
      <c r="CU54" s="523"/>
      <c r="CV54" s="523"/>
      <c r="CW54" s="523"/>
      <c r="CX54" s="523"/>
      <c r="CY54" s="523"/>
      <c r="CZ54" s="523"/>
      <c r="DA54" s="523"/>
      <c r="DB54" s="523"/>
      <c r="DC54" s="523"/>
      <c r="DD54" s="523"/>
      <c r="DE54" s="523"/>
      <c r="DF54" s="523"/>
      <c r="DG54" s="523">
        <f>SUM(BN54:BQ54)</f>
        <v>11480</v>
      </c>
      <c r="DH54" s="523">
        <f>SUM(BR54:BU54)</f>
        <v>62710.244099999996</v>
      </c>
      <c r="DI54" s="523">
        <f>SUM(BV54:BY54)</f>
        <v>17286.897473999998</v>
      </c>
      <c r="DJ54" s="518">
        <f>SUM(BZ54:CC54)</f>
        <v>0</v>
      </c>
      <c r="DK54" s="518">
        <f>SUM(CD54:CG54)</f>
        <v>0</v>
      </c>
      <c r="DL54" s="518"/>
      <c r="DM54" s="518"/>
    </row>
    <row r="55" spans="1:117">
      <c r="A55" s="519" t="s">
        <v>577</v>
      </c>
      <c r="W55" s="758"/>
      <c r="X55" s="758"/>
      <c r="Y55" s="758"/>
      <c r="Z55" s="758"/>
      <c r="AA55" s="758"/>
      <c r="AB55" s="758"/>
      <c r="AC55" s="758"/>
      <c r="AD55" s="758"/>
      <c r="AE55" s="758"/>
      <c r="AF55" s="758"/>
      <c r="AG55" s="758"/>
      <c r="AH55" s="758"/>
      <c r="AI55" s="758"/>
      <c r="AJ55" s="758"/>
      <c r="AK55" s="758"/>
      <c r="AL55" s="758"/>
      <c r="BJ55" s="523"/>
      <c r="BK55" s="759"/>
      <c r="BL55" s="759"/>
      <c r="BM55" s="759"/>
      <c r="BN55" s="759"/>
      <c r="BO55" s="759"/>
      <c r="BP55" s="759"/>
      <c r="BQ55" s="759">
        <f t="shared" ref="BQ55:CG55" si="63">BQ54/BP54-1</f>
        <v>23.23076923076923</v>
      </c>
      <c r="BR55" s="759">
        <f t="shared" si="63"/>
        <v>1.17</v>
      </c>
      <c r="BS55" s="759">
        <f t="shared" si="63"/>
        <v>-0.40000000000000013</v>
      </c>
      <c r="BT55" s="759">
        <f t="shared" si="63"/>
        <v>-7.9999999999999849E-2</v>
      </c>
      <c r="BU55" s="759">
        <f t="shared" si="63"/>
        <v>-0.15000000000000002</v>
      </c>
      <c r="BV55" s="759">
        <f t="shared" si="63"/>
        <v>-0.30000000000000004</v>
      </c>
      <c r="BW55" s="759">
        <f t="shared" si="63"/>
        <v>-0.19999999999999996</v>
      </c>
      <c r="BX55" s="759">
        <f t="shared" si="63"/>
        <v>-0.5</v>
      </c>
      <c r="BY55" s="759">
        <f t="shared" si="63"/>
        <v>-1</v>
      </c>
      <c r="BZ55" s="759" t="e">
        <f t="shared" si="63"/>
        <v>#DIV/0!</v>
      </c>
      <c r="CA55" s="759" t="e">
        <f t="shared" si="63"/>
        <v>#DIV/0!</v>
      </c>
      <c r="CB55" s="759" t="e">
        <f t="shared" si="63"/>
        <v>#DIV/0!</v>
      </c>
      <c r="CC55" s="759" t="e">
        <f t="shared" si="63"/>
        <v>#DIV/0!</v>
      </c>
      <c r="CD55" s="759" t="e">
        <f t="shared" si="63"/>
        <v>#DIV/0!</v>
      </c>
      <c r="CE55" s="759" t="e">
        <f t="shared" si="63"/>
        <v>#DIV/0!</v>
      </c>
      <c r="CF55" s="759" t="e">
        <f t="shared" si="63"/>
        <v>#DIV/0!</v>
      </c>
      <c r="CG55" s="759" t="e">
        <f t="shared" si="63"/>
        <v>#DIV/0!</v>
      </c>
      <c r="CH55" s="759"/>
      <c r="CI55" s="759"/>
      <c r="CJ55" s="759"/>
      <c r="CK55" s="759"/>
      <c r="CL55" s="759"/>
      <c r="CM55" s="759"/>
      <c r="CN55" s="759"/>
      <c r="CO55" s="759"/>
      <c r="CP55" s="523"/>
      <c r="CQ55" s="523"/>
      <c r="CR55" s="523"/>
      <c r="CS55" s="523"/>
      <c r="CT55" s="523"/>
      <c r="CU55" s="523"/>
      <c r="CV55" s="523"/>
      <c r="CW55" s="523"/>
      <c r="CX55" s="523"/>
      <c r="CY55" s="523"/>
      <c r="CZ55" s="523"/>
      <c r="DA55" s="523"/>
      <c r="DB55" s="523"/>
      <c r="DC55" s="523"/>
      <c r="DD55" s="523"/>
      <c r="DE55" s="523"/>
      <c r="DF55" s="523"/>
      <c r="DG55" s="523"/>
      <c r="DH55" s="523"/>
      <c r="DI55" s="523"/>
      <c r="DJ55" s="523"/>
      <c r="DK55" s="523"/>
      <c r="DL55" s="523"/>
      <c r="DM55" s="523"/>
    </row>
    <row r="56" spans="1:117">
      <c r="A56" s="519" t="s">
        <v>578</v>
      </c>
      <c r="W56" s="758"/>
      <c r="X56" s="758"/>
      <c r="Y56" s="758"/>
      <c r="Z56" s="758"/>
      <c r="AA56" s="758"/>
      <c r="AB56" s="758"/>
      <c r="AC56" s="758"/>
      <c r="AD56" s="758"/>
      <c r="AE56" s="758"/>
      <c r="AF56" s="758"/>
      <c r="AG56" s="758"/>
      <c r="AH56" s="758"/>
      <c r="AI56" s="758"/>
      <c r="AJ56" s="758"/>
      <c r="AK56" s="758"/>
      <c r="AL56" s="758"/>
      <c r="BJ56" s="523"/>
      <c r="BK56" s="523"/>
      <c r="BL56" s="523"/>
      <c r="BM56" s="523"/>
      <c r="BN56" s="759"/>
      <c r="BO56" s="759"/>
      <c r="BP56" s="759"/>
      <c r="BQ56" s="759"/>
      <c r="BR56" s="759"/>
      <c r="BS56" s="759"/>
      <c r="BT56" s="759">
        <f t="shared" ref="BT56:CG56" si="64">BT54/BP54-1</f>
        <v>28.024584615384615</v>
      </c>
      <c r="BU56" s="759">
        <f t="shared" si="64"/>
        <v>1.8163999999999847E-2</v>
      </c>
      <c r="BV56" s="759">
        <f t="shared" si="64"/>
        <v>-0.67156000000000005</v>
      </c>
      <c r="BW56" s="759">
        <f t="shared" si="64"/>
        <v>-0.56207999999999991</v>
      </c>
      <c r="BX56" s="759">
        <f t="shared" si="64"/>
        <v>-0.76200000000000001</v>
      </c>
      <c r="BY56" s="759">
        <f t="shared" si="64"/>
        <v>-1</v>
      </c>
      <c r="BZ56" s="759">
        <f t="shared" si="64"/>
        <v>-1</v>
      </c>
      <c r="CA56" s="759">
        <f t="shared" si="64"/>
        <v>-1</v>
      </c>
      <c r="CB56" s="759">
        <f t="shared" si="64"/>
        <v>-1</v>
      </c>
      <c r="CC56" s="759" t="e">
        <f t="shared" si="64"/>
        <v>#DIV/0!</v>
      </c>
      <c r="CD56" s="759" t="e">
        <f t="shared" si="64"/>
        <v>#DIV/0!</v>
      </c>
      <c r="CE56" s="759" t="e">
        <f t="shared" si="64"/>
        <v>#DIV/0!</v>
      </c>
      <c r="CF56" s="759" t="e">
        <f t="shared" si="64"/>
        <v>#DIV/0!</v>
      </c>
      <c r="CG56" s="759" t="e">
        <f t="shared" si="64"/>
        <v>#DIV/0!</v>
      </c>
      <c r="CH56" s="759"/>
      <c r="CI56" s="759"/>
      <c r="CJ56" s="759"/>
      <c r="CK56" s="759"/>
      <c r="CL56" s="759"/>
      <c r="CM56" s="759"/>
      <c r="CN56" s="759"/>
      <c r="CO56" s="759"/>
      <c r="CP56" s="523"/>
      <c r="CQ56" s="523"/>
      <c r="CR56" s="523"/>
      <c r="CS56" s="523"/>
      <c r="CT56" s="523"/>
      <c r="CU56" s="523"/>
      <c r="CV56" s="523"/>
      <c r="CW56" s="523"/>
      <c r="CX56" s="523"/>
      <c r="CY56" s="523"/>
      <c r="CZ56" s="523"/>
      <c r="DA56" s="523"/>
      <c r="DB56" s="523"/>
      <c r="DC56" s="523"/>
      <c r="DD56" s="523"/>
      <c r="DE56" s="523"/>
      <c r="DF56" s="523"/>
      <c r="DG56" s="523"/>
      <c r="DH56" s="759">
        <f>+DH54/DG54-1</f>
        <v>4.4625648170731704</v>
      </c>
      <c r="DI56" s="759">
        <f>+DI54/DH54-1</f>
        <v>-0.72433694491072798</v>
      </c>
      <c r="DJ56" s="759">
        <f>+DJ54/DI54-1</f>
        <v>-1</v>
      </c>
      <c r="DK56" s="759" t="e">
        <f>+DK54/DJ54-1</f>
        <v>#DIV/0!</v>
      </c>
      <c r="DL56" s="759"/>
      <c r="DM56" s="759"/>
    </row>
    <row r="57" spans="1:117">
      <c r="A57" s="514" t="s">
        <v>590</v>
      </c>
      <c r="B57" s="515"/>
      <c r="C57" s="515"/>
      <c r="D57" s="515"/>
      <c r="E57" s="515"/>
      <c r="F57" s="515"/>
      <c r="G57" s="515"/>
      <c r="H57" s="515"/>
      <c r="I57" s="515"/>
      <c r="J57" s="515"/>
      <c r="K57" s="515"/>
      <c r="L57" s="515"/>
      <c r="M57" s="515"/>
      <c r="N57" s="515"/>
      <c r="O57" s="515"/>
      <c r="P57" s="515"/>
      <c r="Q57" s="515"/>
      <c r="R57" s="515"/>
      <c r="S57" s="515"/>
      <c r="T57" s="515"/>
      <c r="U57" s="515"/>
      <c r="V57" s="515"/>
      <c r="W57" s="515"/>
      <c r="X57" s="515"/>
      <c r="Y57" s="515"/>
      <c r="Z57" s="515"/>
      <c r="AA57" s="515"/>
      <c r="AB57" s="515"/>
      <c r="AC57" s="515"/>
      <c r="AD57" s="515"/>
      <c r="AE57" s="515"/>
      <c r="AF57" s="515"/>
      <c r="AG57" s="515"/>
      <c r="AH57" s="515"/>
      <c r="AI57" s="515"/>
      <c r="AJ57" s="515"/>
      <c r="AK57" s="515"/>
      <c r="AL57" s="515"/>
      <c r="AM57" s="515"/>
      <c r="AN57" s="515"/>
      <c r="AO57" s="515"/>
      <c r="AP57" s="515"/>
      <c r="AQ57" s="515"/>
      <c r="AR57" s="515"/>
      <c r="AS57" s="515"/>
      <c r="AT57" s="515"/>
      <c r="AU57" s="515"/>
      <c r="AV57" s="515"/>
      <c r="AW57" s="515"/>
      <c r="AX57" s="515"/>
      <c r="AY57" s="515"/>
      <c r="AZ57" s="515"/>
      <c r="BA57" s="515"/>
      <c r="BB57" s="515"/>
      <c r="BC57" s="515"/>
      <c r="BD57" s="515"/>
      <c r="BE57" s="515"/>
      <c r="BF57" s="515"/>
      <c r="BG57" s="515"/>
      <c r="BH57" s="515"/>
      <c r="BI57" s="515"/>
      <c r="BJ57" s="515"/>
      <c r="BK57" s="515"/>
      <c r="BL57" s="515"/>
      <c r="BM57" s="515"/>
      <c r="BN57" s="515"/>
      <c r="BO57" s="515"/>
      <c r="BP57" s="515"/>
      <c r="BQ57" s="515"/>
      <c r="BR57" s="515"/>
      <c r="BS57" s="515"/>
      <c r="BT57" s="515"/>
      <c r="BU57" s="515"/>
      <c r="BV57" s="515"/>
      <c r="BW57" s="515"/>
      <c r="BX57" s="515"/>
      <c r="BY57" s="515"/>
      <c r="BZ57" s="515"/>
      <c r="CA57" s="515"/>
      <c r="CB57" s="515"/>
      <c r="CC57" s="515"/>
      <c r="CD57" s="515"/>
      <c r="CE57" s="515"/>
      <c r="CF57" s="515"/>
      <c r="CG57" s="515"/>
      <c r="CH57" s="515"/>
      <c r="CI57" s="515"/>
      <c r="CJ57" s="515"/>
      <c r="CK57" s="515"/>
      <c r="CL57" s="515"/>
      <c r="CM57" s="515"/>
      <c r="CN57" s="515"/>
      <c r="CO57" s="515"/>
      <c r="CP57" s="516"/>
      <c r="CQ57" s="515"/>
      <c r="CR57" s="515"/>
      <c r="CS57" s="515"/>
      <c r="CT57" s="515"/>
      <c r="CU57" s="515"/>
      <c r="CV57" s="515"/>
      <c r="CW57" s="515"/>
      <c r="CX57" s="515"/>
      <c r="CY57" s="515"/>
      <c r="CZ57" s="515"/>
      <c r="DA57" s="515"/>
      <c r="DB57" s="515"/>
      <c r="DC57" s="515"/>
      <c r="DD57" s="515"/>
      <c r="DE57" s="515"/>
      <c r="DF57" s="515"/>
      <c r="DG57" s="515"/>
      <c r="DH57" s="532">
        <f>SUM(DH63:DJ63)</f>
        <v>408694.72714963194</v>
      </c>
      <c r="DI57" s="515"/>
      <c r="DJ57" s="515"/>
      <c r="DK57" s="515"/>
      <c r="DL57" s="515"/>
      <c r="DM57" s="515"/>
    </row>
    <row r="58" spans="1:117">
      <c r="A58" s="517" t="s">
        <v>581</v>
      </c>
      <c r="B58" s="518"/>
      <c r="C58" s="518"/>
      <c r="D58" s="518"/>
      <c r="E58" s="518"/>
      <c r="F58" s="518"/>
      <c r="G58" s="518"/>
      <c r="H58" s="518"/>
      <c r="I58" s="518"/>
      <c r="J58" s="518"/>
      <c r="K58" s="518"/>
      <c r="L58" s="518"/>
      <c r="M58" s="518"/>
      <c r="N58" s="518"/>
      <c r="O58" s="518"/>
      <c r="P58" s="518"/>
      <c r="Q58" s="518"/>
      <c r="R58" s="518"/>
      <c r="S58" s="518"/>
      <c r="T58" s="518"/>
      <c r="U58" s="518"/>
      <c r="V58" s="518"/>
      <c r="W58" s="518"/>
      <c r="X58" s="518"/>
      <c r="Y58" s="518"/>
      <c r="Z58" s="518"/>
      <c r="AA58" s="518"/>
      <c r="AB58" s="518"/>
      <c r="AC58" s="518"/>
      <c r="AD58" s="518"/>
      <c r="AE58" s="518"/>
      <c r="AF58" s="518"/>
      <c r="AG58" s="518"/>
      <c r="AH58" s="518"/>
      <c r="AI58" s="518"/>
      <c r="AJ58" s="518"/>
      <c r="AK58" s="518"/>
      <c r="AL58" s="518"/>
      <c r="AM58" s="518"/>
      <c r="AN58" s="518"/>
      <c r="AO58" s="518"/>
      <c r="AP58" s="518"/>
      <c r="AQ58" s="518"/>
      <c r="AR58" s="518"/>
      <c r="AS58" s="518"/>
      <c r="AT58" s="518"/>
      <c r="AU58" s="518"/>
      <c r="AV58" s="518"/>
      <c r="AW58" s="518"/>
      <c r="AX58" s="518"/>
      <c r="AY58" s="518"/>
      <c r="AZ58" s="518"/>
      <c r="BA58" s="518"/>
      <c r="BB58" s="518"/>
      <c r="BC58" s="518"/>
      <c r="BD58" s="518"/>
      <c r="BE58" s="518"/>
      <c r="BF58" s="518"/>
      <c r="BG58" s="518"/>
      <c r="BH58" s="518"/>
      <c r="BI58" s="518"/>
      <c r="BJ58" s="518"/>
      <c r="BK58" s="518"/>
      <c r="BL58" s="518"/>
      <c r="BM58" s="518"/>
      <c r="BN58" s="518"/>
      <c r="BO58" s="518"/>
      <c r="BP58" s="750"/>
      <c r="BS58" s="518">
        <v>360</v>
      </c>
      <c r="BT58" s="518">
        <f>BS58*(1+BT59)</f>
        <v>720</v>
      </c>
      <c r="BU58" s="518">
        <f t="shared" ref="BU58:CC58" si="65">BT58*(1+BU59)</f>
        <v>1007.9999999999999</v>
      </c>
      <c r="BV58" s="518">
        <f t="shared" si="65"/>
        <v>1340.6399999999999</v>
      </c>
      <c r="BW58" s="518">
        <f t="shared" si="65"/>
        <v>1635.5807999999997</v>
      </c>
      <c r="BX58" s="518">
        <f t="shared" si="65"/>
        <v>1995.4085759999996</v>
      </c>
      <c r="BY58" s="518">
        <f t="shared" si="65"/>
        <v>1616.2809465599998</v>
      </c>
      <c r="BZ58" s="518">
        <f t="shared" si="65"/>
        <v>1212.2107099199998</v>
      </c>
      <c r="CA58" s="518">
        <f t="shared" si="65"/>
        <v>727.32642595199979</v>
      </c>
      <c r="CB58" s="518">
        <f t="shared" si="65"/>
        <v>0</v>
      </c>
      <c r="CC58" s="518">
        <f t="shared" si="65"/>
        <v>0</v>
      </c>
      <c r="CD58" s="518">
        <f>CC58*(1+CD59)</f>
        <v>0</v>
      </c>
      <c r="CE58" s="518">
        <f>CD58*(1+CE59)</f>
        <v>0</v>
      </c>
      <c r="CF58" s="518">
        <f>CE58*(1+CF59)</f>
        <v>0</v>
      </c>
      <c r="CG58" s="518">
        <f>CF58*(1+CG59)</f>
        <v>0</v>
      </c>
      <c r="CH58" s="518"/>
      <c r="CI58" s="518"/>
      <c r="CJ58" s="518"/>
      <c r="CK58" s="518"/>
      <c r="CL58" s="518"/>
      <c r="CM58" s="518"/>
      <c r="CN58" s="518"/>
      <c r="CO58" s="518"/>
      <c r="CP58" s="518"/>
      <c r="DF58" s="518"/>
      <c r="DG58" s="518">
        <f>SUM(BN58:BQ58)</f>
        <v>0</v>
      </c>
      <c r="DH58" s="518">
        <f>SUM(BR58:BU58)</f>
        <v>2088</v>
      </c>
      <c r="DI58" s="518">
        <f>SUM(BV58:BY58)</f>
        <v>6587.9103225599993</v>
      </c>
      <c r="DJ58" s="518">
        <f>SUM(BZ58:CC58)</f>
        <v>1939.5371358719995</v>
      </c>
      <c r="DK58" s="518">
        <f>SUM(CD58:CG58)</f>
        <v>0</v>
      </c>
      <c r="DL58" s="518"/>
      <c r="DM58" s="518"/>
    </row>
    <row r="59" spans="1:117">
      <c r="A59" s="519" t="s">
        <v>577</v>
      </c>
      <c r="B59" s="516"/>
      <c r="C59" s="516"/>
      <c r="D59" s="516"/>
      <c r="E59" s="516"/>
      <c r="F59" s="516"/>
      <c r="G59" s="516"/>
      <c r="H59" s="516"/>
      <c r="I59" s="516"/>
      <c r="J59" s="516"/>
      <c r="K59" s="516"/>
      <c r="L59" s="516"/>
      <c r="M59" s="516"/>
      <c r="N59" s="516"/>
      <c r="O59" s="516"/>
      <c r="P59" s="516"/>
      <c r="Q59" s="516"/>
      <c r="R59" s="516"/>
      <c r="S59" s="516"/>
      <c r="T59" s="516"/>
      <c r="U59" s="516"/>
      <c r="V59" s="516"/>
      <c r="W59" s="516"/>
      <c r="X59" s="516"/>
      <c r="Y59" s="516"/>
      <c r="Z59" s="516"/>
      <c r="AA59" s="516"/>
      <c r="AB59" s="516"/>
      <c r="AC59" s="516"/>
      <c r="AD59" s="516"/>
      <c r="AE59" s="516"/>
      <c r="AF59" s="516"/>
      <c r="AG59" s="516"/>
      <c r="AH59" s="516"/>
      <c r="AI59" s="516"/>
      <c r="AJ59" s="516"/>
      <c r="AK59" s="516"/>
      <c r="AL59" s="516"/>
      <c r="AM59" s="516"/>
      <c r="AN59" s="516"/>
      <c r="AO59" s="516"/>
      <c r="AP59" s="516"/>
      <c r="AQ59" s="516"/>
      <c r="AR59" s="516"/>
      <c r="AS59" s="516"/>
      <c r="AT59" s="516"/>
      <c r="AU59" s="516"/>
      <c r="AV59" s="516"/>
      <c r="AW59" s="516"/>
      <c r="AX59" s="516"/>
      <c r="AY59" s="516"/>
      <c r="AZ59" s="516"/>
      <c r="BA59" s="516"/>
      <c r="BB59" s="516"/>
      <c r="BC59" s="516"/>
      <c r="BD59" s="516"/>
      <c r="BE59" s="516"/>
      <c r="BF59" s="516"/>
      <c r="BG59" s="516"/>
      <c r="BH59" s="516"/>
      <c r="BI59" s="516"/>
      <c r="BJ59" s="516"/>
      <c r="BK59" s="516"/>
      <c r="BL59" s="520"/>
      <c r="BM59" s="520"/>
      <c r="BN59" s="520"/>
      <c r="BO59" s="520"/>
      <c r="BT59" s="520">
        <v>1</v>
      </c>
      <c r="BU59" s="520">
        <v>0.4</v>
      </c>
      <c r="BV59" s="520">
        <v>0.33</v>
      </c>
      <c r="BW59" s="520">
        <v>0.22</v>
      </c>
      <c r="BX59" s="520">
        <v>0.22</v>
      </c>
      <c r="BY59" s="520">
        <v>-0.19</v>
      </c>
      <c r="BZ59" s="520">
        <v>-0.25</v>
      </c>
      <c r="CA59" s="520">
        <v>-0.4</v>
      </c>
      <c r="CB59" s="520">
        <v>-1</v>
      </c>
      <c r="CC59" s="520">
        <v>-1</v>
      </c>
      <c r="CD59" s="520">
        <v>-1</v>
      </c>
      <c r="CE59" s="520">
        <v>-1</v>
      </c>
      <c r="CF59" s="520">
        <v>-1</v>
      </c>
      <c r="CG59" s="520">
        <v>-1</v>
      </c>
      <c r="CH59" s="520"/>
      <c r="CI59" s="520"/>
      <c r="CJ59" s="520"/>
      <c r="CK59" s="520"/>
      <c r="CL59" s="520"/>
      <c r="CM59" s="520"/>
      <c r="CN59" s="520"/>
      <c r="CO59" s="520"/>
      <c r="CP59" s="516"/>
      <c r="DF59" s="516"/>
      <c r="DG59" s="521" t="s">
        <v>224</v>
      </c>
      <c r="DH59" s="516"/>
      <c r="DI59" s="516"/>
      <c r="DJ59" s="516"/>
      <c r="DK59" s="516"/>
      <c r="DL59" s="516"/>
      <c r="DM59" s="516"/>
    </row>
    <row r="60" spans="1:117">
      <c r="A60" s="519" t="s">
        <v>578</v>
      </c>
      <c r="B60" s="516"/>
      <c r="C60" s="516"/>
      <c r="D60" s="516"/>
      <c r="E60" s="516"/>
      <c r="F60" s="516"/>
      <c r="G60" s="516"/>
      <c r="H60" s="516"/>
      <c r="I60" s="516"/>
      <c r="J60" s="516"/>
      <c r="K60" s="516"/>
      <c r="L60" s="516"/>
      <c r="M60" s="516"/>
      <c r="N60" s="516"/>
      <c r="O60" s="516"/>
      <c r="P60" s="516"/>
      <c r="Q60" s="516"/>
      <c r="R60" s="516"/>
      <c r="S60" s="516"/>
      <c r="T60" s="516"/>
      <c r="U60" s="516"/>
      <c r="V60" s="516"/>
      <c r="W60" s="516"/>
      <c r="X60" s="516"/>
      <c r="Y60" s="516"/>
      <c r="Z60" s="516"/>
      <c r="AA60" s="516"/>
      <c r="AB60" s="516"/>
      <c r="AC60" s="516"/>
      <c r="AD60" s="516"/>
      <c r="AE60" s="516"/>
      <c r="AF60" s="516"/>
      <c r="AG60" s="516"/>
      <c r="AH60" s="516"/>
      <c r="AI60" s="516"/>
      <c r="AJ60" s="516"/>
      <c r="AK60" s="516"/>
      <c r="AL60" s="516"/>
      <c r="AM60" s="516"/>
      <c r="AN60" s="516"/>
      <c r="AO60" s="516"/>
      <c r="AP60" s="516"/>
      <c r="AQ60" s="516"/>
      <c r="AR60" s="516"/>
      <c r="AS60" s="516"/>
      <c r="AT60" s="516"/>
      <c r="AU60" s="516"/>
      <c r="AV60" s="516"/>
      <c r="AW60" s="516"/>
      <c r="AX60" s="516"/>
      <c r="AY60" s="516"/>
      <c r="AZ60" s="516"/>
      <c r="BA60" s="516"/>
      <c r="BB60" s="516"/>
      <c r="BC60" s="516"/>
      <c r="BD60" s="516"/>
      <c r="BE60" s="516"/>
      <c r="BF60" s="516"/>
      <c r="BG60" s="516"/>
      <c r="BH60" s="516"/>
      <c r="BI60" s="516"/>
      <c r="BJ60" s="516"/>
      <c r="BK60" s="516"/>
      <c r="BL60" s="516"/>
      <c r="BM60" s="516"/>
      <c r="BN60" s="516"/>
      <c r="BO60" s="516"/>
      <c r="BS60" s="516"/>
      <c r="BT60" s="516"/>
      <c r="BU60" s="516"/>
      <c r="BV60" s="516"/>
      <c r="BW60" s="516"/>
      <c r="BX60" s="525">
        <f>BX58/BT58-1</f>
        <v>1.7714007999999994</v>
      </c>
      <c r="BY60" s="525">
        <f>BY58/BU58-1</f>
        <v>0.60345332000000007</v>
      </c>
      <c r="BZ60" s="525">
        <f>BZ58/BV58-1</f>
        <v>-9.5797000000000132E-2</v>
      </c>
      <c r="CA60" s="525">
        <f>CA58/BW58-1</f>
        <v>-0.55530999999999997</v>
      </c>
      <c r="CB60" s="525"/>
      <c r="CC60" s="525"/>
      <c r="CD60" s="525">
        <f>CD58/BZ58-1</f>
        <v>-1</v>
      </c>
      <c r="CE60" s="525">
        <f>CE58/CA58-1</f>
        <v>-1</v>
      </c>
      <c r="CF60" s="525"/>
      <c r="CG60" s="525"/>
      <c r="CH60" s="525"/>
      <c r="CI60" s="525"/>
      <c r="CJ60" s="525"/>
      <c r="CK60" s="525"/>
      <c r="CL60" s="525"/>
      <c r="CM60" s="525"/>
      <c r="CN60" s="525"/>
      <c r="CO60" s="525"/>
      <c r="CP60" s="516"/>
      <c r="DF60" s="516"/>
      <c r="DG60" s="516"/>
      <c r="DH60" s="516"/>
      <c r="DI60" s="525">
        <f>DI58/DH58-1</f>
        <v>2.1551294648275858</v>
      </c>
      <c r="DJ60" s="525">
        <f>DJ58/DI58-1</f>
        <v>-0.70559144844000943</v>
      </c>
      <c r="DK60" s="525">
        <f>DK58/DJ58-1</f>
        <v>-1</v>
      </c>
      <c r="DL60" s="525"/>
      <c r="DM60" s="525"/>
    </row>
    <row r="61" spans="1:117">
      <c r="A61" s="519" t="s">
        <v>582</v>
      </c>
      <c r="B61" s="516"/>
      <c r="C61" s="516"/>
      <c r="D61" s="516"/>
      <c r="E61" s="516"/>
      <c r="F61" s="516"/>
      <c r="G61" s="516"/>
      <c r="H61" s="516"/>
      <c r="I61" s="516"/>
      <c r="J61" s="516"/>
      <c r="K61" s="516"/>
      <c r="L61" s="516"/>
      <c r="M61" s="516"/>
      <c r="N61" s="516"/>
      <c r="O61" s="516"/>
      <c r="P61" s="516"/>
      <c r="Q61" s="516"/>
      <c r="R61" s="516"/>
      <c r="S61" s="516"/>
      <c r="T61" s="516"/>
      <c r="U61" s="516"/>
      <c r="V61" s="516"/>
      <c r="W61" s="516"/>
      <c r="X61" s="516"/>
      <c r="Y61" s="516"/>
      <c r="Z61" s="516"/>
      <c r="AA61" s="516"/>
      <c r="AB61" s="516"/>
      <c r="AC61" s="516"/>
      <c r="AD61" s="516"/>
      <c r="AE61" s="516"/>
      <c r="AF61" s="516"/>
      <c r="AG61" s="516"/>
      <c r="AH61" s="516"/>
      <c r="AI61" s="516"/>
      <c r="AJ61" s="516"/>
      <c r="AK61" s="516"/>
      <c r="AL61" s="516"/>
      <c r="AM61" s="516"/>
      <c r="AN61" s="516"/>
      <c r="AO61" s="516"/>
      <c r="AP61" s="516"/>
      <c r="AQ61" s="516"/>
      <c r="AR61" s="516"/>
      <c r="AS61" s="516"/>
      <c r="AT61" s="516"/>
      <c r="AU61" s="516"/>
      <c r="AV61" s="516"/>
      <c r="AW61" s="516"/>
      <c r="AX61" s="516"/>
      <c r="AY61" s="516"/>
      <c r="AZ61" s="516"/>
      <c r="BA61" s="516"/>
      <c r="BB61" s="516"/>
      <c r="BC61" s="516"/>
      <c r="BD61" s="516"/>
      <c r="BE61" s="516"/>
      <c r="BF61" s="516"/>
      <c r="BG61" s="516"/>
      <c r="BH61" s="516"/>
      <c r="BI61" s="516"/>
      <c r="BJ61" s="516"/>
      <c r="BK61" s="516"/>
      <c r="BL61" s="516"/>
      <c r="BM61" s="516"/>
      <c r="BN61" s="516"/>
      <c r="BO61" s="516"/>
      <c r="BS61" s="520">
        <f t="shared" ref="BS61:CG61" si="66">BS58/BS97</f>
        <v>0.36685547235685639</v>
      </c>
      <c r="BT61" s="520">
        <f t="shared" si="66"/>
        <v>0.61395097164904022</v>
      </c>
      <c r="BU61" s="520">
        <f t="shared" si="66"/>
        <v>0.72963620318641453</v>
      </c>
      <c r="BV61" s="520">
        <f t="shared" si="66"/>
        <v>0.84235419524892352</v>
      </c>
      <c r="BW61" s="520">
        <f t="shared" si="66"/>
        <v>0.90105463819624254</v>
      </c>
      <c r="BX61" s="520">
        <f t="shared" si="66"/>
        <v>0.91945387165940584</v>
      </c>
      <c r="BY61" s="520">
        <f t="shared" si="66"/>
        <v>0.69181788643178954</v>
      </c>
      <c r="BZ61" s="520">
        <f t="shared" si="66"/>
        <v>0.48749516966369033</v>
      </c>
      <c r="CA61" s="520">
        <f t="shared" si="66"/>
        <v>0.27854976577204482</v>
      </c>
      <c r="CB61" s="520">
        <f t="shared" si="66"/>
        <v>0</v>
      </c>
      <c r="CC61" s="520">
        <f t="shared" si="66"/>
        <v>0</v>
      </c>
      <c r="CD61" s="520">
        <f t="shared" si="66"/>
        <v>0</v>
      </c>
      <c r="CE61" s="520">
        <f t="shared" si="66"/>
        <v>0</v>
      </c>
      <c r="CF61" s="520">
        <f t="shared" si="66"/>
        <v>0</v>
      </c>
      <c r="CG61" s="520">
        <f t="shared" si="66"/>
        <v>0</v>
      </c>
      <c r="CH61" s="520"/>
      <c r="CI61" s="520"/>
      <c r="CJ61" s="520"/>
      <c r="CK61" s="520"/>
      <c r="CL61" s="520"/>
      <c r="CM61" s="520"/>
      <c r="CN61" s="520"/>
      <c r="CO61" s="520"/>
      <c r="CP61" s="516"/>
      <c r="DF61" s="516"/>
      <c r="DG61" s="520">
        <f>DG58/DG97</f>
        <v>0</v>
      </c>
      <c r="DH61" s="520">
        <f>DH58/DH97</f>
        <v>0.45393671979782846</v>
      </c>
      <c r="DI61" s="520">
        <f>DI58/DI97</f>
        <v>0.83251996198067424</v>
      </c>
      <c r="DJ61" s="520">
        <f>DJ58/DJ97</f>
        <v>0.18078344333912583</v>
      </c>
      <c r="DK61" s="520">
        <f>DK58/DK97</f>
        <v>0</v>
      </c>
      <c r="DL61" s="520"/>
      <c r="DM61" s="520"/>
    </row>
    <row r="62" spans="1:117">
      <c r="A62" s="517" t="s">
        <v>586</v>
      </c>
      <c r="B62" s="518"/>
      <c r="C62" s="518"/>
      <c r="D62" s="518"/>
      <c r="E62" s="518"/>
      <c r="F62" s="518"/>
      <c r="G62" s="518"/>
      <c r="H62" s="518"/>
      <c r="I62" s="518"/>
      <c r="J62" s="518"/>
      <c r="K62" s="518"/>
      <c r="L62" s="518"/>
      <c r="M62" s="518"/>
      <c r="N62" s="518"/>
      <c r="O62" s="518"/>
      <c r="P62" s="518"/>
      <c r="Q62" s="518"/>
      <c r="R62" s="518"/>
      <c r="S62" s="518"/>
      <c r="T62" s="518"/>
      <c r="U62" s="518"/>
      <c r="V62" s="518"/>
      <c r="W62" s="518"/>
      <c r="X62" s="518"/>
      <c r="Y62" s="518"/>
      <c r="Z62" s="518"/>
      <c r="AA62" s="518"/>
      <c r="AB62" s="518"/>
      <c r="AC62" s="518"/>
      <c r="AD62" s="518"/>
      <c r="AE62" s="518"/>
      <c r="AF62" s="518"/>
      <c r="AG62" s="518"/>
      <c r="AH62" s="518"/>
      <c r="AI62" s="518"/>
      <c r="AJ62" s="518"/>
      <c r="AK62" s="518"/>
      <c r="AL62" s="518"/>
      <c r="AM62" s="518"/>
      <c r="AN62" s="518"/>
      <c r="AO62" s="518"/>
      <c r="AP62" s="518"/>
      <c r="AQ62" s="518"/>
      <c r="AR62" s="518"/>
      <c r="AS62" s="518"/>
      <c r="AT62" s="518"/>
      <c r="AU62" s="518"/>
      <c r="AV62" s="518"/>
      <c r="AW62" s="518"/>
      <c r="AX62" s="518"/>
      <c r="AY62" s="518"/>
      <c r="AZ62" s="518"/>
      <c r="BA62" s="518"/>
      <c r="BB62" s="518"/>
      <c r="BC62" s="518"/>
      <c r="BD62" s="518"/>
      <c r="BE62" s="518"/>
      <c r="BF62" s="518"/>
      <c r="BG62" s="518"/>
      <c r="BH62" s="518"/>
      <c r="BI62" s="518"/>
      <c r="BJ62" s="518"/>
      <c r="BK62" s="757"/>
      <c r="BL62" s="518"/>
      <c r="BM62" s="518"/>
      <c r="BN62" s="518"/>
      <c r="BO62" s="518"/>
      <c r="BS62" s="518">
        <f>BS53*1.1</f>
        <v>38500</v>
      </c>
      <c r="BT62" s="518">
        <f>BT53*1.1</f>
        <v>38500</v>
      </c>
      <c r="BU62" s="518">
        <f>35000*1.1</f>
        <v>38500</v>
      </c>
      <c r="BV62" s="518">
        <f t="shared" ref="BV62:CC62" si="67">BU62</f>
        <v>38500</v>
      </c>
      <c r="BW62" s="518">
        <f t="shared" si="67"/>
        <v>38500</v>
      </c>
      <c r="BX62" s="518">
        <f t="shared" si="67"/>
        <v>38500</v>
      </c>
      <c r="BY62" s="518">
        <f t="shared" si="67"/>
        <v>38500</v>
      </c>
      <c r="BZ62" s="518">
        <f t="shared" si="67"/>
        <v>38500</v>
      </c>
      <c r="CA62" s="518">
        <f t="shared" si="67"/>
        <v>38500</v>
      </c>
      <c r="CB62" s="518">
        <f t="shared" si="67"/>
        <v>38500</v>
      </c>
      <c r="CC62" s="518">
        <f t="shared" si="67"/>
        <v>38500</v>
      </c>
      <c r="CD62" s="518">
        <f>CC62</f>
        <v>38500</v>
      </c>
      <c r="CE62" s="518">
        <f>CD62</f>
        <v>38500</v>
      </c>
      <c r="CF62" s="518">
        <f>CE62</f>
        <v>38500</v>
      </c>
      <c r="CG62" s="518">
        <f>CF62</f>
        <v>38500</v>
      </c>
      <c r="CH62" s="518"/>
      <c r="CI62" s="518"/>
      <c r="CJ62" s="518"/>
      <c r="CK62" s="518"/>
      <c r="CL62" s="518"/>
      <c r="CM62" s="518"/>
      <c r="CN62" s="518"/>
      <c r="CO62" s="518"/>
      <c r="CP62" s="518"/>
      <c r="DF62" s="518"/>
      <c r="DG62" s="518"/>
      <c r="DH62" s="518"/>
      <c r="DI62" s="518"/>
      <c r="DJ62" s="518"/>
      <c r="DK62" s="518"/>
      <c r="DL62" s="518"/>
      <c r="DM62" s="518"/>
    </row>
    <row r="63" spans="1:117">
      <c r="A63" s="522" t="s">
        <v>588</v>
      </c>
      <c r="B63" s="523"/>
      <c r="C63" s="523"/>
      <c r="D63" s="523"/>
      <c r="E63" s="523"/>
      <c r="F63" s="523"/>
      <c r="G63" s="523"/>
      <c r="H63" s="523"/>
      <c r="I63" s="523"/>
      <c r="J63" s="523"/>
      <c r="K63" s="523"/>
      <c r="L63" s="523"/>
      <c r="M63" s="523"/>
      <c r="N63" s="523"/>
      <c r="O63" s="523"/>
      <c r="P63" s="523"/>
      <c r="Q63" s="523"/>
      <c r="R63" s="523"/>
      <c r="S63" s="523"/>
      <c r="T63" s="523"/>
      <c r="U63" s="523"/>
      <c r="V63" s="523"/>
      <c r="W63" s="523"/>
      <c r="X63" s="523"/>
      <c r="Y63" s="523"/>
      <c r="Z63" s="523"/>
      <c r="AA63" s="523"/>
      <c r="AB63" s="523"/>
      <c r="AC63" s="523"/>
      <c r="AD63" s="523"/>
      <c r="AE63" s="523"/>
      <c r="AF63" s="523"/>
      <c r="AG63" s="523"/>
      <c r="AH63" s="523"/>
      <c r="AI63" s="523"/>
      <c r="AJ63" s="523"/>
      <c r="AK63" s="523"/>
      <c r="AL63" s="523"/>
      <c r="AM63" s="523"/>
      <c r="AN63" s="523"/>
      <c r="AO63" s="523"/>
      <c r="AP63" s="523"/>
      <c r="AQ63" s="523"/>
      <c r="AR63" s="523"/>
      <c r="AS63" s="523"/>
      <c r="AT63" s="523"/>
      <c r="AU63" s="523"/>
      <c r="AV63" s="523"/>
      <c r="AW63" s="523"/>
      <c r="AX63" s="523"/>
      <c r="AY63" s="523"/>
      <c r="AZ63" s="523"/>
      <c r="BA63" s="523"/>
      <c r="BB63" s="523"/>
      <c r="BC63" s="523"/>
      <c r="BD63" s="523"/>
      <c r="BE63" s="523"/>
      <c r="BF63" s="523"/>
      <c r="BG63" s="523"/>
      <c r="BH63" s="523"/>
      <c r="BI63" s="523"/>
      <c r="BJ63" s="523"/>
      <c r="BK63" s="523"/>
      <c r="BL63" s="523"/>
      <c r="BM63" s="523"/>
      <c r="BN63" s="523"/>
      <c r="BO63" s="523"/>
      <c r="BP63" s="482"/>
      <c r="BQ63" s="482"/>
      <c r="BR63" s="482"/>
      <c r="BS63" s="523">
        <f>BS62*BS58/1000</f>
        <v>13860</v>
      </c>
      <c r="BT63" s="523">
        <f t="shared" ref="BT63:CC63" si="68">BT62*BT58/1000</f>
        <v>27720</v>
      </c>
      <c r="BU63" s="523">
        <f t="shared" si="68"/>
        <v>38807.999999999993</v>
      </c>
      <c r="BV63" s="523">
        <f t="shared" si="68"/>
        <v>51614.639999999992</v>
      </c>
      <c r="BW63" s="523">
        <f t="shared" si="68"/>
        <v>62969.860799999988</v>
      </c>
      <c r="BX63" s="523">
        <f t="shared" si="68"/>
        <v>76823.230175999983</v>
      </c>
      <c r="BY63" s="523">
        <f t="shared" si="68"/>
        <v>62226.816442559997</v>
      </c>
      <c r="BZ63" s="523">
        <f t="shared" si="68"/>
        <v>46670.112331919991</v>
      </c>
      <c r="CA63" s="523">
        <f t="shared" si="68"/>
        <v>28002.067399151991</v>
      </c>
      <c r="CB63" s="523">
        <f t="shared" si="68"/>
        <v>0</v>
      </c>
      <c r="CC63" s="523">
        <f t="shared" si="68"/>
        <v>0</v>
      </c>
      <c r="CD63" s="523">
        <f>CD62*CD58/1000</f>
        <v>0</v>
      </c>
      <c r="CE63" s="523">
        <f>CE62*CE58/1000</f>
        <v>0</v>
      </c>
      <c r="CF63" s="523">
        <f>CF62*CF58/1000</f>
        <v>0</v>
      </c>
      <c r="CG63" s="523">
        <f>CG62*CG58/1000</f>
        <v>0</v>
      </c>
      <c r="CH63" s="523"/>
      <c r="CI63" s="523"/>
      <c r="CJ63" s="523"/>
      <c r="CK63" s="523"/>
      <c r="CL63" s="523"/>
      <c r="CM63" s="523"/>
      <c r="CN63" s="523"/>
      <c r="CO63" s="523"/>
      <c r="CP63" s="523"/>
      <c r="DF63" s="523"/>
      <c r="DG63" s="523">
        <f>SUM(BN63:BQ63)</f>
        <v>0</v>
      </c>
      <c r="DH63" s="523">
        <f>SUM(BR63:BU63)</f>
        <v>80388</v>
      </c>
      <c r="DI63" s="523">
        <f>SUM(BV63:BY63)</f>
        <v>253634.54741855996</v>
      </c>
      <c r="DJ63" s="518">
        <f>SUM(BZ63:CC63)</f>
        <v>74672.179731071985</v>
      </c>
      <c r="DK63" s="518">
        <f>SUM(CD63:CG63)</f>
        <v>0</v>
      </c>
      <c r="DL63" s="518"/>
      <c r="DM63" s="518"/>
    </row>
    <row r="64" spans="1:117">
      <c r="A64" s="519" t="s">
        <v>577</v>
      </c>
      <c r="B64" s="523"/>
      <c r="C64" s="523"/>
      <c r="D64" s="523"/>
      <c r="E64" s="523"/>
      <c r="F64" s="523"/>
      <c r="G64" s="523"/>
      <c r="H64" s="523"/>
      <c r="I64" s="523"/>
      <c r="J64" s="523"/>
      <c r="K64" s="523"/>
      <c r="L64" s="523"/>
      <c r="M64" s="523"/>
      <c r="N64" s="523"/>
      <c r="O64" s="523"/>
      <c r="P64" s="523"/>
      <c r="Q64" s="523"/>
      <c r="R64" s="523"/>
      <c r="S64" s="523"/>
      <c r="T64" s="523"/>
      <c r="U64" s="523"/>
      <c r="V64" s="523"/>
      <c r="W64" s="523"/>
      <c r="X64" s="523"/>
      <c r="Y64" s="523"/>
      <c r="Z64" s="523"/>
      <c r="AA64" s="523"/>
      <c r="AB64" s="523"/>
      <c r="AC64" s="523"/>
      <c r="AD64" s="523"/>
      <c r="AE64" s="523"/>
      <c r="AF64" s="523"/>
      <c r="AG64" s="523"/>
      <c r="AH64" s="523"/>
      <c r="AI64" s="523"/>
      <c r="AJ64" s="523"/>
      <c r="AK64" s="523"/>
      <c r="AL64" s="523"/>
      <c r="AM64" s="523"/>
      <c r="AN64" s="523"/>
      <c r="AO64" s="523"/>
      <c r="AP64" s="523"/>
      <c r="AQ64" s="523"/>
      <c r="AR64" s="523"/>
      <c r="AS64" s="523"/>
      <c r="AT64" s="523"/>
      <c r="AU64" s="523"/>
      <c r="AV64" s="523"/>
      <c r="AW64" s="523"/>
      <c r="AX64" s="523"/>
      <c r="AY64" s="523"/>
      <c r="AZ64" s="523"/>
      <c r="BA64" s="523"/>
      <c r="BB64" s="523"/>
      <c r="BC64" s="523"/>
      <c r="BD64" s="523"/>
      <c r="BE64" s="523"/>
      <c r="BF64" s="523"/>
      <c r="BG64" s="523"/>
      <c r="BH64" s="523"/>
      <c r="BI64" s="523"/>
      <c r="BJ64" s="523"/>
      <c r="BK64" s="759"/>
      <c r="BL64" s="759"/>
      <c r="BM64" s="759"/>
      <c r="BN64" s="759"/>
      <c r="BO64" s="759"/>
      <c r="BP64" s="759"/>
      <c r="BQ64" s="759"/>
      <c r="BR64" s="759"/>
      <c r="BS64" s="759"/>
      <c r="BT64" s="759"/>
      <c r="BU64" s="759">
        <f t="shared" ref="BU64:CC64" si="69">BU63/BT63-1</f>
        <v>0.39999999999999969</v>
      </c>
      <c r="BV64" s="759">
        <f t="shared" si="69"/>
        <v>0.33000000000000007</v>
      </c>
      <c r="BW64" s="759">
        <f t="shared" si="69"/>
        <v>0.21999999999999997</v>
      </c>
      <c r="BX64" s="759">
        <f t="shared" si="69"/>
        <v>0.21999999999999997</v>
      </c>
      <c r="BY64" s="759">
        <f t="shared" si="69"/>
        <v>-0.18999999999999984</v>
      </c>
      <c r="BZ64" s="759">
        <f t="shared" si="69"/>
        <v>-0.25000000000000011</v>
      </c>
      <c r="CA64" s="759">
        <f t="shared" si="69"/>
        <v>-0.40000000000000013</v>
      </c>
      <c r="CB64" s="759">
        <f t="shared" si="69"/>
        <v>-1</v>
      </c>
      <c r="CC64" s="759" t="e">
        <f t="shared" si="69"/>
        <v>#DIV/0!</v>
      </c>
      <c r="CD64" s="759" t="e">
        <f>CD63/CC63-1</f>
        <v>#DIV/0!</v>
      </c>
      <c r="CE64" s="759" t="e">
        <f>CE63/CD63-1</f>
        <v>#DIV/0!</v>
      </c>
      <c r="CF64" s="759" t="e">
        <f>CF63/CE63-1</f>
        <v>#DIV/0!</v>
      </c>
      <c r="CG64" s="759" t="e">
        <f>CG63/CF63-1</f>
        <v>#DIV/0!</v>
      </c>
      <c r="CH64" s="759"/>
      <c r="CI64" s="759"/>
      <c r="CJ64" s="759"/>
      <c r="CK64" s="759"/>
      <c r="CL64" s="759"/>
      <c r="CM64" s="759"/>
      <c r="CN64" s="759"/>
      <c r="CO64" s="759"/>
      <c r="CP64" s="523"/>
      <c r="DF64" s="523"/>
      <c r="DG64" s="523"/>
      <c r="DH64" s="523"/>
      <c r="DI64" s="523"/>
      <c r="DJ64" s="523"/>
      <c r="DK64" s="523"/>
      <c r="DL64" s="523"/>
      <c r="DM64" s="523"/>
    </row>
    <row r="65" spans="1:117">
      <c r="A65" s="519" t="s">
        <v>578</v>
      </c>
      <c r="B65" s="523"/>
      <c r="C65" s="523"/>
      <c r="D65" s="523"/>
      <c r="E65" s="523"/>
      <c r="F65" s="523"/>
      <c r="G65" s="523"/>
      <c r="H65" s="523"/>
      <c r="I65" s="523"/>
      <c r="J65" s="523"/>
      <c r="K65" s="523"/>
      <c r="L65" s="523"/>
      <c r="M65" s="523"/>
      <c r="N65" s="523"/>
      <c r="O65" s="523"/>
      <c r="P65" s="523"/>
      <c r="Q65" s="523"/>
      <c r="R65" s="523"/>
      <c r="S65" s="523"/>
      <c r="T65" s="523"/>
      <c r="U65" s="523"/>
      <c r="V65" s="523"/>
      <c r="W65" s="523"/>
      <c r="X65" s="523"/>
      <c r="Y65" s="523"/>
      <c r="Z65" s="523"/>
      <c r="AA65" s="523"/>
      <c r="AB65" s="523"/>
      <c r="AC65" s="523"/>
      <c r="AD65" s="523"/>
      <c r="AE65" s="523"/>
      <c r="AF65" s="523"/>
      <c r="AG65" s="523"/>
      <c r="AH65" s="523"/>
      <c r="AI65" s="523"/>
      <c r="AJ65" s="523"/>
      <c r="AK65" s="523"/>
      <c r="AL65" s="523"/>
      <c r="AM65" s="523"/>
      <c r="AN65" s="523"/>
      <c r="AO65" s="523"/>
      <c r="AP65" s="523"/>
      <c r="AQ65" s="523"/>
      <c r="AR65" s="523"/>
      <c r="AS65" s="523"/>
      <c r="AT65" s="523"/>
      <c r="AU65" s="523"/>
      <c r="AV65" s="523"/>
      <c r="AW65" s="523"/>
      <c r="AX65" s="523"/>
      <c r="AY65" s="523"/>
      <c r="AZ65" s="523"/>
      <c r="BA65" s="523"/>
      <c r="BB65" s="523"/>
      <c r="BC65" s="523"/>
      <c r="BD65" s="523"/>
      <c r="BE65" s="523"/>
      <c r="BF65" s="523"/>
      <c r="BG65" s="523"/>
      <c r="BH65" s="523"/>
      <c r="BI65" s="523"/>
      <c r="BJ65" s="523"/>
      <c r="BK65" s="523"/>
      <c r="BL65" s="523"/>
      <c r="BM65" s="523"/>
      <c r="BN65" s="759"/>
      <c r="BO65" s="759"/>
      <c r="BP65" s="759"/>
      <c r="BQ65" s="759"/>
      <c r="BR65" s="759"/>
      <c r="BS65" s="759"/>
      <c r="BT65" s="759"/>
      <c r="BU65" s="759"/>
      <c r="BV65" s="759"/>
      <c r="BW65" s="759"/>
      <c r="BX65" s="759">
        <f>BX63/BT63-1</f>
        <v>1.7714007999999994</v>
      </c>
      <c r="BY65" s="759">
        <f>BY63/BU63-1</f>
        <v>0.60345332000000029</v>
      </c>
      <c r="BZ65" s="759">
        <f t="shared" ref="BZ65:CG65" si="70">BZ63/BV63-1</f>
        <v>-9.5797000000000021E-2</v>
      </c>
      <c r="CA65" s="759">
        <f t="shared" si="70"/>
        <v>-0.55531000000000008</v>
      </c>
      <c r="CB65" s="759">
        <f t="shared" si="70"/>
        <v>-1</v>
      </c>
      <c r="CC65" s="759">
        <f t="shared" si="70"/>
        <v>-1</v>
      </c>
      <c r="CD65" s="759">
        <f t="shared" si="70"/>
        <v>-1</v>
      </c>
      <c r="CE65" s="759">
        <f t="shared" si="70"/>
        <v>-1</v>
      </c>
      <c r="CF65" s="759" t="e">
        <f t="shared" si="70"/>
        <v>#DIV/0!</v>
      </c>
      <c r="CG65" s="759" t="e">
        <f t="shared" si="70"/>
        <v>#DIV/0!</v>
      </c>
      <c r="CH65" s="759"/>
      <c r="CI65" s="759"/>
      <c r="CJ65" s="759"/>
      <c r="CK65" s="759"/>
      <c r="CL65" s="759"/>
      <c r="CM65" s="759"/>
      <c r="CN65" s="759"/>
      <c r="CO65" s="759"/>
      <c r="CP65" s="523"/>
      <c r="DF65" s="523"/>
      <c r="DG65" s="523"/>
      <c r="DH65" s="759"/>
      <c r="DI65" s="759">
        <f>+DI63/DH63-1</f>
        <v>2.1551294648275858</v>
      </c>
      <c r="DJ65" s="759">
        <f>+DJ63/DI63-1</f>
        <v>-0.70559144844000943</v>
      </c>
      <c r="DK65" s="759">
        <f>+DK63/DJ63-1</f>
        <v>-1</v>
      </c>
      <c r="DL65" s="759"/>
      <c r="DM65" s="759"/>
    </row>
    <row r="66" spans="1:117">
      <c r="A66" s="514" t="s">
        <v>591</v>
      </c>
      <c r="B66" s="515"/>
      <c r="C66" s="515"/>
      <c r="D66" s="515"/>
      <c r="E66" s="515"/>
      <c r="F66" s="515"/>
      <c r="G66" s="515"/>
      <c r="H66" s="515"/>
      <c r="I66" s="515"/>
      <c r="J66" s="515"/>
      <c r="K66" s="515"/>
      <c r="L66" s="515"/>
      <c r="M66" s="515"/>
      <c r="N66" s="515"/>
      <c r="O66" s="515"/>
      <c r="P66" s="515"/>
      <c r="Q66" s="515"/>
      <c r="R66" s="515"/>
      <c r="S66" s="515"/>
      <c r="T66" s="515"/>
      <c r="U66" s="515"/>
      <c r="V66" s="515"/>
      <c r="W66" s="515"/>
      <c r="X66" s="515"/>
      <c r="Y66" s="515"/>
      <c r="Z66" s="515"/>
      <c r="AA66" s="515"/>
      <c r="AB66" s="515"/>
      <c r="AC66" s="515"/>
      <c r="AD66" s="515"/>
      <c r="AE66" s="515"/>
      <c r="AF66" s="515"/>
      <c r="AG66" s="515"/>
      <c r="AH66" s="515"/>
      <c r="AI66" s="515"/>
      <c r="AJ66" s="515"/>
      <c r="AK66" s="515"/>
      <c r="AL66" s="515"/>
      <c r="AM66" s="515"/>
      <c r="AN66" s="515"/>
      <c r="AO66" s="515"/>
      <c r="AP66" s="515"/>
      <c r="AQ66" s="515"/>
      <c r="AR66" s="515"/>
      <c r="AS66" s="515"/>
      <c r="AT66" s="515"/>
      <c r="AU66" s="515"/>
      <c r="AV66" s="515"/>
      <c r="AW66" s="515"/>
      <c r="AX66" s="515"/>
      <c r="AY66" s="515"/>
      <c r="AZ66" s="515"/>
      <c r="BA66" s="515"/>
      <c r="BB66" s="515"/>
      <c r="BC66" s="515"/>
      <c r="BD66" s="515"/>
      <c r="BE66" s="515"/>
      <c r="BF66" s="515"/>
      <c r="BG66" s="515"/>
      <c r="BH66" s="515"/>
      <c r="BI66" s="515"/>
      <c r="BJ66" s="515"/>
      <c r="BK66" s="515"/>
      <c r="BL66" s="515"/>
      <c r="BM66" s="515"/>
      <c r="BN66" s="515"/>
      <c r="BO66" s="515"/>
      <c r="BP66" s="515"/>
      <c r="BQ66" s="515"/>
      <c r="BR66" s="515"/>
      <c r="BS66" s="515"/>
      <c r="BT66" s="515"/>
      <c r="BU66" s="515"/>
      <c r="BV66" s="515"/>
      <c r="BW66" s="515"/>
      <c r="BX66" s="515"/>
      <c r="BY66" s="515"/>
      <c r="BZ66" s="515"/>
      <c r="CA66" s="515"/>
      <c r="CB66" s="515"/>
      <c r="CC66" s="515"/>
      <c r="CD66" s="515"/>
      <c r="CE66" s="515"/>
      <c r="CF66" s="515"/>
      <c r="CG66" s="515"/>
      <c r="CH66" s="515"/>
      <c r="CI66" s="515"/>
      <c r="CJ66" s="515"/>
      <c r="CK66" s="515"/>
      <c r="CL66" s="515"/>
      <c r="CM66" s="515"/>
      <c r="CN66" s="515"/>
      <c r="CO66" s="515"/>
      <c r="CP66" s="516"/>
      <c r="CQ66" s="515"/>
      <c r="CR66" s="515"/>
      <c r="CS66" s="515"/>
      <c r="CT66" s="515"/>
      <c r="CU66" s="515"/>
      <c r="CV66" s="515"/>
      <c r="CW66" s="515"/>
      <c r="CX66" s="515"/>
      <c r="CY66" s="515"/>
      <c r="CZ66" s="515"/>
      <c r="DA66" s="515"/>
      <c r="DB66" s="515"/>
      <c r="DC66" s="515"/>
      <c r="DD66" s="515"/>
      <c r="DE66" s="515"/>
      <c r="DF66" s="515"/>
      <c r="DG66" s="515"/>
      <c r="DH66" s="532">
        <f>SUM(DH72:DJ72)</f>
        <v>312470.05462399998</v>
      </c>
      <c r="DI66" s="533"/>
      <c r="DJ66" s="533"/>
      <c r="DK66" s="533"/>
      <c r="DL66" s="533"/>
      <c r="DM66" s="533"/>
    </row>
    <row r="67" spans="1:117">
      <c r="A67" s="517" t="s">
        <v>581</v>
      </c>
      <c r="B67" s="518"/>
      <c r="C67" s="518"/>
      <c r="D67" s="518"/>
      <c r="E67" s="518"/>
      <c r="F67" s="518"/>
      <c r="G67" s="518"/>
      <c r="H67" s="518"/>
      <c r="I67" s="518"/>
      <c r="J67" s="518"/>
      <c r="K67" s="518"/>
      <c r="L67" s="518"/>
      <c r="M67" s="518"/>
      <c r="N67" s="518"/>
      <c r="O67" s="518"/>
      <c r="P67" s="518"/>
      <c r="Q67" s="518"/>
      <c r="R67" s="518"/>
      <c r="S67" s="518"/>
      <c r="T67" s="518"/>
      <c r="U67" s="518"/>
      <c r="V67" s="518"/>
      <c r="W67" s="518"/>
      <c r="X67" s="518"/>
      <c r="Y67" s="518"/>
      <c r="Z67" s="518"/>
      <c r="AA67" s="518"/>
      <c r="AB67" s="518"/>
      <c r="AC67" s="518"/>
      <c r="AD67" s="518"/>
      <c r="AE67" s="518"/>
      <c r="AF67" s="518"/>
      <c r="AG67" s="518"/>
      <c r="AH67" s="518"/>
      <c r="AI67" s="518"/>
      <c r="AJ67" s="518"/>
      <c r="AK67" s="518"/>
      <c r="AL67" s="518"/>
      <c r="AM67" s="518"/>
      <c r="AN67" s="518"/>
      <c r="AO67" s="518"/>
      <c r="AP67" s="518"/>
      <c r="AQ67" s="518"/>
      <c r="AR67" s="518"/>
      <c r="AS67" s="518"/>
      <c r="AT67" s="518"/>
      <c r="AU67" s="518"/>
      <c r="AV67" s="518"/>
      <c r="AW67" s="518"/>
      <c r="AX67" s="518"/>
      <c r="AY67" s="518"/>
      <c r="AZ67" s="518"/>
      <c r="BA67" s="518"/>
      <c r="BB67" s="518"/>
      <c r="BC67" s="518"/>
      <c r="BD67" s="518"/>
      <c r="BE67" s="518"/>
      <c r="BF67" s="518"/>
      <c r="BG67" s="518"/>
      <c r="BH67" s="518"/>
      <c r="BI67" s="518"/>
      <c r="BJ67" s="518"/>
      <c r="BK67" s="518"/>
      <c r="BL67" s="518"/>
      <c r="BM67" s="518"/>
      <c r="BN67" s="518"/>
      <c r="BO67" s="518"/>
      <c r="BX67" s="483">
        <v>85</v>
      </c>
      <c r="BY67" s="518">
        <v>720</v>
      </c>
      <c r="BZ67" s="518">
        <f t="shared" ref="BZ67:CG67" si="71">BY67*(1+BZ68)</f>
        <v>1274.4000000000001</v>
      </c>
      <c r="CA67" s="518">
        <f t="shared" si="71"/>
        <v>1503.7919999999999</v>
      </c>
      <c r="CB67" s="518">
        <f t="shared" si="71"/>
        <v>1804.5503999999999</v>
      </c>
      <c r="CC67" s="518">
        <f t="shared" si="71"/>
        <v>1479.7313280000001</v>
      </c>
      <c r="CD67" s="518">
        <f t="shared" si="71"/>
        <v>1065.40655616</v>
      </c>
      <c r="CE67" s="518">
        <f t="shared" si="71"/>
        <v>479.43295027199997</v>
      </c>
      <c r="CF67" s="518">
        <f t="shared" si="71"/>
        <v>143.82988508160003</v>
      </c>
      <c r="CG67" s="518">
        <f t="shared" si="71"/>
        <v>0</v>
      </c>
      <c r="CH67" s="518"/>
      <c r="CI67" s="518"/>
      <c r="CJ67" s="518"/>
      <c r="CK67" s="518"/>
      <c r="CL67" s="518"/>
      <c r="CM67" s="518"/>
      <c r="CN67" s="518"/>
      <c r="CO67" s="518"/>
      <c r="CP67" s="518"/>
      <c r="CQ67" s="518"/>
      <c r="CR67" s="518"/>
      <c r="CS67" s="518"/>
      <c r="CT67" s="518"/>
      <c r="CU67" s="518"/>
      <c r="CV67" s="518"/>
      <c r="CW67" s="518"/>
      <c r="CX67" s="518"/>
      <c r="CY67" s="518"/>
      <c r="CZ67" s="518"/>
      <c r="DA67" s="518"/>
      <c r="DB67" s="518"/>
      <c r="DC67" s="518"/>
      <c r="DD67" s="518"/>
      <c r="DE67" s="518"/>
      <c r="DF67" s="518"/>
      <c r="DG67" s="518">
        <f>SUM(BN67:BQ67)</f>
        <v>0</v>
      </c>
      <c r="DH67" s="518">
        <f>SUM(BR67:BU67)</f>
        <v>0</v>
      </c>
      <c r="DI67" s="518">
        <f>SUM(BV67:BZ67)</f>
        <v>2079.4</v>
      </c>
      <c r="DJ67" s="518">
        <f>SUM(CA67:CD67)</f>
        <v>5853.4802841599994</v>
      </c>
      <c r="DK67" s="518">
        <f>SUM(CD67:CG67)</f>
        <v>1688.6693915136</v>
      </c>
      <c r="DL67" s="518"/>
      <c r="DM67" s="518"/>
    </row>
    <row r="68" spans="1:117">
      <c r="A68" s="519" t="s">
        <v>577</v>
      </c>
      <c r="B68" s="516"/>
      <c r="C68" s="516"/>
      <c r="D68" s="516"/>
      <c r="E68" s="516"/>
      <c r="F68" s="516"/>
      <c r="G68" s="516"/>
      <c r="H68" s="516"/>
      <c r="I68" s="516"/>
      <c r="J68" s="516"/>
      <c r="K68" s="516"/>
      <c r="L68" s="516"/>
      <c r="M68" s="516"/>
      <c r="N68" s="516"/>
      <c r="O68" s="516"/>
      <c r="P68" s="516"/>
      <c r="Q68" s="516"/>
      <c r="R68" s="516"/>
      <c r="S68" s="516"/>
      <c r="T68" s="516"/>
      <c r="U68" s="516"/>
      <c r="V68" s="516"/>
      <c r="W68" s="516"/>
      <c r="X68" s="516"/>
      <c r="Y68" s="516"/>
      <c r="Z68" s="516"/>
      <c r="AA68" s="516"/>
      <c r="AB68" s="516"/>
      <c r="AC68" s="516"/>
      <c r="AD68" s="516"/>
      <c r="AE68" s="516"/>
      <c r="AF68" s="516"/>
      <c r="AG68" s="516"/>
      <c r="AH68" s="516"/>
      <c r="AI68" s="516"/>
      <c r="AJ68" s="516"/>
      <c r="AK68" s="516"/>
      <c r="AL68" s="516"/>
      <c r="AM68" s="516"/>
      <c r="AN68" s="516"/>
      <c r="AO68" s="516"/>
      <c r="AP68" s="516"/>
      <c r="AQ68" s="516"/>
      <c r="AR68" s="516"/>
      <c r="AS68" s="516"/>
      <c r="AT68" s="516"/>
      <c r="AU68" s="516"/>
      <c r="AV68" s="516"/>
      <c r="AW68" s="516"/>
      <c r="AX68" s="516"/>
      <c r="AY68" s="516"/>
      <c r="AZ68" s="516"/>
      <c r="BA68" s="516"/>
      <c r="BB68" s="516"/>
      <c r="BC68" s="516"/>
      <c r="BD68" s="516"/>
      <c r="BE68" s="516"/>
      <c r="BF68" s="516"/>
      <c r="BG68" s="516"/>
      <c r="BH68" s="516"/>
      <c r="BI68" s="516"/>
      <c r="BJ68" s="516"/>
      <c r="BK68" s="516"/>
      <c r="BL68" s="520"/>
      <c r="BM68" s="520"/>
      <c r="BN68" s="520"/>
      <c r="BO68" s="520"/>
      <c r="BZ68" s="520">
        <v>0.77</v>
      </c>
      <c r="CA68" s="520">
        <v>0.18</v>
      </c>
      <c r="CB68" s="520">
        <v>0.2</v>
      </c>
      <c r="CC68" s="520">
        <v>-0.18</v>
      </c>
      <c r="CD68" s="520">
        <v>-0.28000000000000003</v>
      </c>
      <c r="CE68" s="520">
        <v>-0.55000000000000004</v>
      </c>
      <c r="CF68" s="520">
        <v>-0.7</v>
      </c>
      <c r="CG68" s="520">
        <v>-1</v>
      </c>
      <c r="CH68" s="520"/>
      <c r="CI68" s="520"/>
      <c r="CJ68" s="520"/>
      <c r="CK68" s="520"/>
      <c r="CL68" s="520"/>
      <c r="CM68" s="520"/>
      <c r="CN68" s="520"/>
      <c r="CO68" s="520"/>
      <c r="CP68" s="516"/>
      <c r="CQ68" s="516"/>
      <c r="CR68" s="516"/>
      <c r="CS68" s="516"/>
      <c r="CT68" s="516"/>
      <c r="CU68" s="516"/>
      <c r="CV68" s="516"/>
      <c r="CW68" s="516"/>
      <c r="CX68" s="516"/>
      <c r="CY68" s="516"/>
      <c r="CZ68" s="516"/>
      <c r="DA68" s="516"/>
      <c r="DB68" s="516"/>
      <c r="DC68" s="516"/>
      <c r="DD68" s="516"/>
      <c r="DE68" s="516"/>
      <c r="DF68" s="516"/>
      <c r="DG68" s="521" t="s">
        <v>224</v>
      </c>
      <c r="DH68" s="516"/>
      <c r="DI68" s="516"/>
      <c r="DJ68" s="516"/>
      <c r="DK68" s="516"/>
      <c r="DL68" s="516"/>
      <c r="DM68" s="516"/>
    </row>
    <row r="69" spans="1:117">
      <c r="A69" s="519" t="s">
        <v>578</v>
      </c>
      <c r="B69" s="516"/>
      <c r="C69" s="516"/>
      <c r="D69" s="516"/>
      <c r="E69" s="516"/>
      <c r="F69" s="516"/>
      <c r="G69" s="516"/>
      <c r="H69" s="516"/>
      <c r="I69" s="516"/>
      <c r="J69" s="516"/>
      <c r="K69" s="516"/>
      <c r="L69" s="516"/>
      <c r="M69" s="516"/>
      <c r="N69" s="516"/>
      <c r="O69" s="516"/>
      <c r="P69" s="516"/>
      <c r="Q69" s="516"/>
      <c r="R69" s="516"/>
      <c r="S69" s="516"/>
      <c r="T69" s="516"/>
      <c r="U69" s="516"/>
      <c r="V69" s="516"/>
      <c r="W69" s="516"/>
      <c r="X69" s="516"/>
      <c r="Y69" s="516"/>
      <c r="Z69" s="516"/>
      <c r="AA69" s="516"/>
      <c r="AB69" s="516"/>
      <c r="AC69" s="516"/>
      <c r="AD69" s="516"/>
      <c r="AE69" s="516"/>
      <c r="AF69" s="516"/>
      <c r="AG69" s="516"/>
      <c r="AH69" s="516"/>
      <c r="AI69" s="516"/>
      <c r="AJ69" s="516"/>
      <c r="AK69" s="516"/>
      <c r="AL69" s="516"/>
      <c r="AM69" s="516"/>
      <c r="AN69" s="516"/>
      <c r="AO69" s="516"/>
      <c r="AP69" s="516"/>
      <c r="AQ69" s="516"/>
      <c r="AR69" s="516"/>
      <c r="AS69" s="516"/>
      <c r="AT69" s="516"/>
      <c r="AU69" s="516"/>
      <c r="AV69" s="516"/>
      <c r="AW69" s="516"/>
      <c r="AX69" s="516"/>
      <c r="AY69" s="516"/>
      <c r="AZ69" s="516"/>
      <c r="BA69" s="516"/>
      <c r="BB69" s="516"/>
      <c r="BC69" s="516"/>
      <c r="BD69" s="516"/>
      <c r="BE69" s="516"/>
      <c r="BF69" s="516"/>
      <c r="BG69" s="516"/>
      <c r="BH69" s="516"/>
      <c r="BI69" s="516"/>
      <c r="BJ69" s="516"/>
      <c r="BK69" s="516"/>
      <c r="BL69" s="516"/>
      <c r="BM69" s="516"/>
      <c r="BN69" s="516"/>
      <c r="BO69" s="516"/>
      <c r="BX69" s="516"/>
      <c r="BY69" s="516"/>
      <c r="CB69" s="516"/>
      <c r="CC69" s="516"/>
      <c r="CF69" s="516"/>
      <c r="CG69" s="516"/>
      <c r="CJ69" s="516"/>
      <c r="CK69" s="516"/>
      <c r="CN69" s="516"/>
      <c r="CO69" s="516"/>
      <c r="CP69" s="516"/>
      <c r="CQ69" s="516"/>
      <c r="CR69" s="516"/>
      <c r="CS69" s="516"/>
      <c r="CT69" s="516"/>
      <c r="CU69" s="516"/>
      <c r="CV69" s="516"/>
      <c r="CW69" s="516"/>
      <c r="CX69" s="516"/>
      <c r="CY69" s="516"/>
      <c r="CZ69" s="516"/>
      <c r="DA69" s="516"/>
      <c r="DB69" s="516"/>
      <c r="DC69" s="516"/>
      <c r="DD69" s="516"/>
      <c r="DE69" s="516"/>
      <c r="DF69" s="516"/>
      <c r="DG69" s="516"/>
      <c r="DH69" s="516"/>
      <c r="DI69" s="516"/>
      <c r="DJ69" s="516"/>
      <c r="DK69" s="516"/>
      <c r="DL69" s="516"/>
      <c r="DM69" s="516"/>
    </row>
    <row r="70" spans="1:117">
      <c r="A70" s="519" t="s">
        <v>582</v>
      </c>
      <c r="B70" s="516"/>
      <c r="C70" s="516"/>
      <c r="D70" s="516"/>
      <c r="E70" s="516"/>
      <c r="F70" s="516"/>
      <c r="G70" s="516"/>
      <c r="H70" s="516"/>
      <c r="I70" s="516"/>
      <c r="J70" s="516"/>
      <c r="K70" s="516"/>
      <c r="L70" s="516"/>
      <c r="M70" s="516"/>
      <c r="N70" s="516"/>
      <c r="O70" s="516"/>
      <c r="P70" s="516"/>
      <c r="Q70" s="516"/>
      <c r="R70" s="516"/>
      <c r="S70" s="516"/>
      <c r="T70" s="516"/>
      <c r="U70" s="516"/>
      <c r="V70" s="516"/>
      <c r="W70" s="516"/>
      <c r="X70" s="516"/>
      <c r="Y70" s="516"/>
      <c r="Z70" s="516"/>
      <c r="AA70" s="516"/>
      <c r="AB70" s="516"/>
      <c r="AC70" s="516"/>
      <c r="AD70" s="516"/>
      <c r="AE70" s="516"/>
      <c r="AF70" s="516"/>
      <c r="AG70" s="516"/>
      <c r="AH70" s="516"/>
      <c r="AI70" s="516"/>
      <c r="AJ70" s="516"/>
      <c r="AK70" s="516"/>
      <c r="AL70" s="516"/>
      <c r="AM70" s="516"/>
      <c r="AN70" s="516"/>
      <c r="AO70" s="516"/>
      <c r="AP70" s="516"/>
      <c r="AQ70" s="516"/>
      <c r="AR70" s="516"/>
      <c r="AS70" s="516"/>
      <c r="AT70" s="516"/>
      <c r="AU70" s="516"/>
      <c r="AV70" s="516"/>
      <c r="AW70" s="516"/>
      <c r="AX70" s="516"/>
      <c r="AY70" s="516"/>
      <c r="AZ70" s="516"/>
      <c r="BA70" s="516"/>
      <c r="BB70" s="516"/>
      <c r="BC70" s="516"/>
      <c r="BD70" s="516"/>
      <c r="BE70" s="516"/>
      <c r="BF70" s="516"/>
      <c r="BG70" s="516"/>
      <c r="BH70" s="516"/>
      <c r="BI70" s="516"/>
      <c r="BJ70" s="516"/>
      <c r="BK70" s="516"/>
      <c r="BL70" s="516"/>
      <c r="BM70" s="516"/>
      <c r="BN70" s="516"/>
      <c r="BO70" s="516"/>
      <c r="BX70" s="520">
        <f t="shared" ref="BX70:CG70" si="72">BX67/BX97</f>
        <v>3.9166705020240181E-2</v>
      </c>
      <c r="BY70" s="520">
        <f t="shared" si="72"/>
        <v>0.3081821135682104</v>
      </c>
      <c r="BZ70" s="520">
        <f t="shared" si="72"/>
        <v>0.51250483033630967</v>
      </c>
      <c r="CA70" s="520">
        <f t="shared" si="72"/>
        <v>0.57591872703043923</v>
      </c>
      <c r="CB70" s="520">
        <f t="shared" si="72"/>
        <v>0.65511613074859687</v>
      </c>
      <c r="CC70" s="520">
        <f t="shared" si="72"/>
        <v>0.51446881674463152</v>
      </c>
      <c r="CD70" s="520">
        <f t="shared" si="72"/>
        <v>0.36278835079443522</v>
      </c>
      <c r="CE70" s="520">
        <f t="shared" si="72"/>
        <v>0.16151903373114293</v>
      </c>
      <c r="CF70" s="520">
        <f t="shared" si="72"/>
        <v>4.6303805622980011E-2</v>
      </c>
      <c r="CG70" s="520">
        <f t="shared" si="72"/>
        <v>0</v>
      </c>
      <c r="CH70" s="520"/>
      <c r="CI70" s="520"/>
      <c r="CJ70" s="520"/>
      <c r="CK70" s="520"/>
      <c r="CL70" s="520"/>
      <c r="CM70" s="520"/>
      <c r="CN70" s="520"/>
      <c r="CO70" s="520"/>
      <c r="CP70" s="516"/>
      <c r="CQ70" s="516"/>
      <c r="CR70" s="516"/>
      <c r="CS70" s="516"/>
      <c r="CT70" s="516"/>
      <c r="CU70" s="516"/>
      <c r="CV70" s="516"/>
      <c r="CW70" s="516"/>
      <c r="CX70" s="516"/>
      <c r="CY70" s="516"/>
      <c r="CZ70" s="516"/>
      <c r="DA70" s="516"/>
      <c r="DB70" s="516"/>
      <c r="DC70" s="516"/>
      <c r="DD70" s="516"/>
      <c r="DE70" s="516"/>
      <c r="DF70" s="516"/>
      <c r="DG70" s="520">
        <f>DG67/DG97</f>
        <v>0</v>
      </c>
      <c r="DH70" s="520">
        <f>DH67/DH97</f>
        <v>0</v>
      </c>
      <c r="DI70" s="520">
        <f>DI67/DI97</f>
        <v>0.26277558803652762</v>
      </c>
      <c r="DJ70" s="520">
        <f>DJ67/DJ97</f>
        <v>0.54560044338226399</v>
      </c>
      <c r="DK70" s="520">
        <f>DK67/DK97</f>
        <v>0.13896515935228279</v>
      </c>
      <c r="DL70" s="520"/>
      <c r="DM70" s="520"/>
    </row>
    <row r="71" spans="1:117">
      <c r="A71" s="517" t="s">
        <v>586</v>
      </c>
      <c r="B71" s="518"/>
      <c r="C71" s="518"/>
      <c r="D71" s="518"/>
      <c r="E71" s="518"/>
      <c r="F71" s="518"/>
      <c r="G71" s="518"/>
      <c r="H71" s="518"/>
      <c r="I71" s="518"/>
      <c r="J71" s="518"/>
      <c r="K71" s="518"/>
      <c r="L71" s="518"/>
      <c r="M71" s="518"/>
      <c r="N71" s="518"/>
      <c r="O71" s="518"/>
      <c r="P71" s="518"/>
      <c r="Q71" s="518"/>
      <c r="R71" s="518"/>
      <c r="S71" s="518"/>
      <c r="T71" s="518"/>
      <c r="U71" s="518"/>
      <c r="V71" s="518"/>
      <c r="W71" s="518"/>
      <c r="X71" s="518"/>
      <c r="Y71" s="518"/>
      <c r="Z71" s="518"/>
      <c r="AA71" s="518"/>
      <c r="AB71" s="518"/>
      <c r="AC71" s="518"/>
      <c r="AD71" s="518"/>
      <c r="AE71" s="518"/>
      <c r="AF71" s="518"/>
      <c r="AG71" s="518"/>
      <c r="AH71" s="518"/>
      <c r="AI71" s="518"/>
      <c r="AJ71" s="518"/>
      <c r="AK71" s="518"/>
      <c r="AL71" s="518"/>
      <c r="AM71" s="518"/>
      <c r="AN71" s="518"/>
      <c r="AO71" s="518"/>
      <c r="AP71" s="518"/>
      <c r="AQ71" s="518"/>
      <c r="AR71" s="518"/>
      <c r="AS71" s="518"/>
      <c r="AT71" s="518"/>
      <c r="AU71" s="518"/>
      <c r="AV71" s="518"/>
      <c r="AW71" s="518"/>
      <c r="AX71" s="518"/>
      <c r="AY71" s="518"/>
      <c r="AZ71" s="518"/>
      <c r="BA71" s="518"/>
      <c r="BB71" s="518"/>
      <c r="BC71" s="518"/>
      <c r="BD71" s="518"/>
      <c r="BE71" s="518"/>
      <c r="BF71" s="518"/>
      <c r="BG71" s="518"/>
      <c r="BH71" s="518"/>
      <c r="BI71" s="518"/>
      <c r="BJ71" s="518"/>
      <c r="BK71" s="757"/>
      <c r="BL71" s="518"/>
      <c r="BM71" s="518"/>
      <c r="BN71" s="518"/>
      <c r="BO71" s="518"/>
      <c r="BX71" s="518">
        <f>35000*1.3</f>
        <v>45500</v>
      </c>
      <c r="BY71" s="518">
        <f t="shared" ref="BY71:CG71" si="73">BX71</f>
        <v>45500</v>
      </c>
      <c r="BZ71" s="518">
        <f t="shared" si="73"/>
        <v>45500</v>
      </c>
      <c r="CA71" s="518">
        <f t="shared" si="73"/>
        <v>45500</v>
      </c>
      <c r="CB71" s="518">
        <f t="shared" si="73"/>
        <v>45500</v>
      </c>
      <c r="CC71" s="518">
        <f t="shared" si="73"/>
        <v>45500</v>
      </c>
      <c r="CD71" s="518">
        <f t="shared" si="73"/>
        <v>45500</v>
      </c>
      <c r="CE71" s="518">
        <f t="shared" si="73"/>
        <v>45500</v>
      </c>
      <c r="CF71" s="518">
        <f t="shared" si="73"/>
        <v>45500</v>
      </c>
      <c r="CG71" s="518">
        <f t="shared" si="73"/>
        <v>45500</v>
      </c>
      <c r="CH71" s="518"/>
      <c r="CI71" s="518"/>
      <c r="CJ71" s="518"/>
      <c r="CK71" s="518"/>
      <c r="CL71" s="518"/>
      <c r="CM71" s="518"/>
      <c r="CN71" s="518"/>
      <c r="CO71" s="518"/>
      <c r="CP71" s="518"/>
      <c r="CQ71" s="518"/>
      <c r="CR71" s="518"/>
      <c r="CS71" s="518"/>
      <c r="CT71" s="518"/>
      <c r="CU71" s="518"/>
      <c r="CV71" s="518"/>
      <c r="CW71" s="518"/>
      <c r="CX71" s="518"/>
      <c r="CY71" s="518"/>
      <c r="CZ71" s="518"/>
      <c r="DA71" s="518"/>
      <c r="DB71" s="518"/>
      <c r="DC71" s="518"/>
      <c r="DD71" s="518"/>
      <c r="DE71" s="518"/>
      <c r="DF71" s="518"/>
      <c r="DG71" s="518"/>
      <c r="DH71" s="518"/>
      <c r="DI71" s="518"/>
      <c r="DJ71" s="518"/>
      <c r="DK71" s="518"/>
      <c r="DL71" s="518"/>
      <c r="DM71" s="518"/>
    </row>
    <row r="72" spans="1:117">
      <c r="A72" s="522" t="s">
        <v>588</v>
      </c>
      <c r="B72" s="523"/>
      <c r="C72" s="523"/>
      <c r="D72" s="523"/>
      <c r="E72" s="523"/>
      <c r="F72" s="523"/>
      <c r="G72" s="523"/>
      <c r="H72" s="523"/>
      <c r="I72" s="523"/>
      <c r="J72" s="523"/>
      <c r="K72" s="523"/>
      <c r="L72" s="523"/>
      <c r="M72" s="523"/>
      <c r="N72" s="523"/>
      <c r="O72" s="523"/>
      <c r="P72" s="523"/>
      <c r="Q72" s="523"/>
      <c r="R72" s="523"/>
      <c r="S72" s="523"/>
      <c r="T72" s="523"/>
      <c r="U72" s="523"/>
      <c r="V72" s="523"/>
      <c r="W72" s="523"/>
      <c r="X72" s="523"/>
      <c r="Y72" s="523"/>
      <c r="Z72" s="523"/>
      <c r="AA72" s="523"/>
      <c r="AB72" s="523"/>
      <c r="AC72" s="523"/>
      <c r="AD72" s="523"/>
      <c r="AE72" s="523"/>
      <c r="AF72" s="523"/>
      <c r="AG72" s="523"/>
      <c r="AH72" s="523"/>
      <c r="AI72" s="523"/>
      <c r="AJ72" s="523"/>
      <c r="AK72" s="523"/>
      <c r="AL72" s="523"/>
      <c r="AM72" s="523"/>
      <c r="AN72" s="523"/>
      <c r="AO72" s="523"/>
      <c r="AP72" s="523"/>
      <c r="AQ72" s="523"/>
      <c r="AR72" s="523"/>
      <c r="AS72" s="523"/>
      <c r="AT72" s="523"/>
      <c r="AU72" s="523"/>
      <c r="AV72" s="523"/>
      <c r="AW72" s="523"/>
      <c r="AX72" s="523"/>
      <c r="AY72" s="523"/>
      <c r="AZ72" s="523"/>
      <c r="BA72" s="523"/>
      <c r="BB72" s="523"/>
      <c r="BC72" s="523"/>
      <c r="BD72" s="523"/>
      <c r="BE72" s="523"/>
      <c r="BF72" s="523"/>
      <c r="BG72" s="523"/>
      <c r="BH72" s="523"/>
      <c r="BI72" s="523"/>
      <c r="BJ72" s="523"/>
      <c r="BK72" s="523"/>
      <c r="BL72" s="523"/>
      <c r="BM72" s="523"/>
      <c r="BN72" s="523"/>
      <c r="BO72" s="523"/>
      <c r="BP72" s="482"/>
      <c r="BQ72" s="482"/>
      <c r="BR72" s="482"/>
      <c r="BS72" s="482"/>
      <c r="BT72" s="482"/>
      <c r="BU72" s="482"/>
      <c r="BV72" s="482"/>
      <c r="BW72" s="482"/>
      <c r="BX72" s="523">
        <f>BX71*BX67/1000</f>
        <v>3867.5</v>
      </c>
      <c r="BY72" s="523">
        <f t="shared" ref="BY72:CG72" si="74">BY71*BY67/1000</f>
        <v>32760</v>
      </c>
      <c r="BZ72" s="523">
        <f t="shared" si="74"/>
        <v>57985.200000000004</v>
      </c>
      <c r="CA72" s="523">
        <f t="shared" si="74"/>
        <v>68422.535999999993</v>
      </c>
      <c r="CB72" s="523">
        <f t="shared" si="74"/>
        <v>82107.043199999986</v>
      </c>
      <c r="CC72" s="523">
        <f t="shared" si="74"/>
        <v>67327.775424000007</v>
      </c>
      <c r="CD72" s="523">
        <f t="shared" si="74"/>
        <v>48475.998305280002</v>
      </c>
      <c r="CE72" s="523">
        <f t="shared" si="74"/>
        <v>21814.199237375997</v>
      </c>
      <c r="CF72" s="523">
        <f t="shared" si="74"/>
        <v>6544.2597712128018</v>
      </c>
      <c r="CG72" s="523">
        <f t="shared" si="74"/>
        <v>0</v>
      </c>
      <c r="CH72" s="523"/>
      <c r="CI72" s="523"/>
      <c r="CJ72" s="523"/>
      <c r="CK72" s="523"/>
      <c r="CL72" s="523"/>
      <c r="CM72" s="523"/>
      <c r="CN72" s="523"/>
      <c r="CO72" s="523"/>
      <c r="CP72" s="523"/>
      <c r="CQ72" s="523"/>
      <c r="CR72" s="523"/>
      <c r="CS72" s="523"/>
      <c r="CT72" s="523"/>
      <c r="CU72" s="523"/>
      <c r="CV72" s="523"/>
      <c r="CW72" s="523"/>
      <c r="CX72" s="523"/>
      <c r="CY72" s="523"/>
      <c r="CZ72" s="523"/>
      <c r="DA72" s="523"/>
      <c r="DB72" s="523"/>
      <c r="DC72" s="523"/>
      <c r="DD72" s="523"/>
      <c r="DE72" s="523"/>
      <c r="DF72" s="523"/>
      <c r="DG72" s="523">
        <f>SUM(BN72:BQ72)</f>
        <v>0</v>
      </c>
      <c r="DH72" s="523">
        <f>SUM(BR72:BU72)</f>
        <v>0</v>
      </c>
      <c r="DI72" s="523">
        <f>SUM(BV72:BY72)</f>
        <v>36627.5</v>
      </c>
      <c r="DJ72" s="518">
        <f>SUM(BZ72:CC72)</f>
        <v>275842.55462399998</v>
      </c>
      <c r="DK72" s="518">
        <f>SUM(CD72:CG72)</f>
        <v>76834.457313868799</v>
      </c>
      <c r="DL72" s="518"/>
      <c r="DM72" s="518"/>
    </row>
    <row r="73" spans="1:117">
      <c r="A73" s="519" t="s">
        <v>577</v>
      </c>
      <c r="B73" s="523"/>
      <c r="C73" s="523"/>
      <c r="D73" s="523"/>
      <c r="E73" s="523"/>
      <c r="F73" s="523"/>
      <c r="G73" s="523"/>
      <c r="H73" s="523"/>
      <c r="I73" s="523"/>
      <c r="J73" s="523"/>
      <c r="K73" s="523"/>
      <c r="L73" s="523"/>
      <c r="M73" s="523"/>
      <c r="N73" s="523"/>
      <c r="O73" s="523"/>
      <c r="P73" s="523"/>
      <c r="Q73" s="523"/>
      <c r="R73" s="523"/>
      <c r="S73" s="523"/>
      <c r="T73" s="523"/>
      <c r="U73" s="523"/>
      <c r="V73" s="523"/>
      <c r="W73" s="523"/>
      <c r="X73" s="523"/>
      <c r="Y73" s="523"/>
      <c r="Z73" s="523"/>
      <c r="AA73" s="523"/>
      <c r="AB73" s="523"/>
      <c r="AC73" s="523"/>
      <c r="AD73" s="523"/>
      <c r="AE73" s="523"/>
      <c r="AF73" s="523"/>
      <c r="AG73" s="523"/>
      <c r="AH73" s="523"/>
      <c r="AI73" s="523"/>
      <c r="AJ73" s="523"/>
      <c r="AK73" s="523"/>
      <c r="AL73" s="523"/>
      <c r="AM73" s="523"/>
      <c r="AN73" s="523"/>
      <c r="AO73" s="523"/>
      <c r="AP73" s="523"/>
      <c r="AQ73" s="523"/>
      <c r="AR73" s="523"/>
      <c r="AS73" s="523"/>
      <c r="AT73" s="523"/>
      <c r="AU73" s="523"/>
      <c r="AV73" s="523"/>
      <c r="AW73" s="523"/>
      <c r="AX73" s="523"/>
      <c r="AY73" s="523"/>
      <c r="AZ73" s="523"/>
      <c r="BA73" s="523"/>
      <c r="BB73" s="523"/>
      <c r="BC73" s="523"/>
      <c r="BD73" s="523"/>
      <c r="BE73" s="523"/>
      <c r="BF73" s="523"/>
      <c r="BG73" s="523"/>
      <c r="BH73" s="523"/>
      <c r="BI73" s="523"/>
      <c r="BJ73" s="523"/>
      <c r="BK73" s="759"/>
      <c r="BL73" s="759"/>
      <c r="BM73" s="759"/>
      <c r="BN73" s="759"/>
      <c r="BO73" s="759"/>
      <c r="BP73" s="759"/>
      <c r="BQ73" s="759"/>
      <c r="BR73" s="759"/>
      <c r="BS73" s="759"/>
      <c r="BT73" s="759"/>
      <c r="BU73" s="759"/>
      <c r="BV73" s="759"/>
      <c r="BW73" s="759"/>
      <c r="BX73" s="759"/>
      <c r="BY73" s="759">
        <f t="shared" ref="BY73:CG73" si="75">BY72/BX72-1</f>
        <v>7.4705882352941178</v>
      </c>
      <c r="BZ73" s="759">
        <f t="shared" si="75"/>
        <v>0.77000000000000024</v>
      </c>
      <c r="CA73" s="759">
        <f t="shared" si="75"/>
        <v>0.17999999999999972</v>
      </c>
      <c r="CB73" s="759">
        <f t="shared" si="75"/>
        <v>0.19999999999999996</v>
      </c>
      <c r="CC73" s="759">
        <f t="shared" si="75"/>
        <v>-0.17999999999999983</v>
      </c>
      <c r="CD73" s="759">
        <f t="shared" si="75"/>
        <v>-0.28000000000000003</v>
      </c>
      <c r="CE73" s="759">
        <f t="shared" si="75"/>
        <v>-0.55000000000000004</v>
      </c>
      <c r="CF73" s="759">
        <f t="shared" si="75"/>
        <v>-0.7</v>
      </c>
      <c r="CG73" s="759">
        <f t="shared" si="75"/>
        <v>-1</v>
      </c>
      <c r="CH73" s="759"/>
      <c r="CI73" s="759"/>
      <c r="CJ73" s="759"/>
      <c r="CK73" s="759"/>
      <c r="CL73" s="759"/>
      <c r="CM73" s="759"/>
      <c r="CN73" s="759"/>
      <c r="CO73" s="759"/>
      <c r="CP73" s="518"/>
      <c r="CQ73" s="518"/>
      <c r="CR73" s="518"/>
      <c r="CS73" s="518"/>
      <c r="CT73" s="518"/>
      <c r="CU73" s="518"/>
      <c r="CV73" s="518"/>
      <c r="CW73" s="518"/>
      <c r="CX73" s="518"/>
      <c r="CY73" s="518"/>
      <c r="CZ73" s="518"/>
      <c r="DA73" s="518"/>
      <c r="DB73" s="518"/>
      <c r="DC73" s="518"/>
      <c r="DD73" s="518"/>
      <c r="DE73" s="518"/>
      <c r="DF73" s="518"/>
      <c r="DG73" s="518"/>
      <c r="DH73" s="518"/>
      <c r="DI73" s="518"/>
      <c r="DJ73" s="518"/>
      <c r="DK73" s="518"/>
      <c r="DL73" s="518"/>
      <c r="DM73" s="518"/>
    </row>
    <row r="74" spans="1:117">
      <c r="A74" s="519" t="s">
        <v>578</v>
      </c>
      <c r="B74" s="523"/>
      <c r="C74" s="523"/>
      <c r="D74" s="523"/>
      <c r="E74" s="523"/>
      <c r="F74" s="523"/>
      <c r="G74" s="523"/>
      <c r="H74" s="523"/>
      <c r="I74" s="523"/>
      <c r="J74" s="523"/>
      <c r="K74" s="523"/>
      <c r="L74" s="523"/>
      <c r="M74" s="523"/>
      <c r="N74" s="523"/>
      <c r="O74" s="523"/>
      <c r="P74" s="523"/>
      <c r="Q74" s="523"/>
      <c r="R74" s="523"/>
      <c r="S74" s="523"/>
      <c r="T74" s="523"/>
      <c r="U74" s="523"/>
      <c r="V74" s="523"/>
      <c r="W74" s="523"/>
      <c r="X74" s="523"/>
      <c r="Y74" s="523"/>
      <c r="Z74" s="523"/>
      <c r="AA74" s="523"/>
      <c r="AB74" s="523"/>
      <c r="AC74" s="523"/>
      <c r="AD74" s="523"/>
      <c r="AE74" s="523"/>
      <c r="AF74" s="523"/>
      <c r="AG74" s="523"/>
      <c r="AH74" s="523"/>
      <c r="AI74" s="523"/>
      <c r="AJ74" s="523"/>
      <c r="AK74" s="523"/>
      <c r="AL74" s="523"/>
      <c r="AM74" s="523"/>
      <c r="AN74" s="523"/>
      <c r="AO74" s="523"/>
      <c r="AP74" s="523"/>
      <c r="AQ74" s="523"/>
      <c r="AR74" s="523"/>
      <c r="AS74" s="523"/>
      <c r="AT74" s="523"/>
      <c r="AU74" s="523"/>
      <c r="AV74" s="523"/>
      <c r="AW74" s="523"/>
      <c r="AX74" s="523"/>
      <c r="AY74" s="523"/>
      <c r="AZ74" s="523"/>
      <c r="BA74" s="523"/>
      <c r="BB74" s="523"/>
      <c r="BC74" s="523"/>
      <c r="BD74" s="523"/>
      <c r="BE74" s="523"/>
      <c r="BF74" s="523"/>
      <c r="BG74" s="523"/>
      <c r="BH74" s="523"/>
      <c r="BI74" s="523"/>
      <c r="BJ74" s="523"/>
      <c r="BK74" s="523"/>
      <c r="BL74" s="523"/>
      <c r="BM74" s="523"/>
      <c r="BN74" s="759"/>
      <c r="BO74" s="759"/>
      <c r="BP74" s="759"/>
      <c r="BQ74" s="759"/>
      <c r="BR74" s="759"/>
      <c r="BS74" s="759"/>
      <c r="BT74" s="759"/>
      <c r="BU74" s="759"/>
      <c r="BV74" s="759"/>
      <c r="BW74" s="759"/>
      <c r="BX74" s="759"/>
      <c r="BY74" s="759"/>
      <c r="BZ74" s="759"/>
      <c r="CA74" s="759"/>
      <c r="CB74" s="759"/>
      <c r="CC74" s="759"/>
      <c r="CD74" s="759"/>
      <c r="CE74" s="759"/>
      <c r="CF74" s="759"/>
      <c r="CG74" s="759"/>
      <c r="CH74" s="759"/>
      <c r="CI74" s="759"/>
      <c r="CJ74" s="759"/>
      <c r="CK74" s="759"/>
      <c r="CL74" s="759"/>
      <c r="CM74" s="759"/>
      <c r="CN74" s="759"/>
      <c r="CO74" s="759"/>
      <c r="CP74" s="518"/>
      <c r="CQ74" s="518"/>
      <c r="CR74" s="518"/>
      <c r="CS74" s="518"/>
      <c r="CT74" s="518"/>
      <c r="CU74" s="518"/>
      <c r="CV74" s="518"/>
      <c r="CW74" s="518"/>
      <c r="CX74" s="518"/>
      <c r="CY74" s="518"/>
      <c r="CZ74" s="518"/>
      <c r="DA74" s="518"/>
      <c r="DB74" s="518"/>
      <c r="DC74" s="518"/>
      <c r="DD74" s="518"/>
      <c r="DE74" s="518"/>
      <c r="DF74" s="518"/>
      <c r="DG74" s="518"/>
      <c r="DH74" s="518"/>
      <c r="DI74" s="518"/>
      <c r="DJ74" s="518"/>
      <c r="DK74" s="518"/>
      <c r="DL74" s="518"/>
      <c r="DM74" s="518"/>
    </row>
    <row r="75" spans="1:117">
      <c r="A75" s="514" t="s">
        <v>592</v>
      </c>
      <c r="B75" s="515"/>
      <c r="C75" s="515"/>
      <c r="D75" s="515"/>
      <c r="E75" s="515"/>
      <c r="F75" s="515"/>
      <c r="G75" s="515"/>
      <c r="H75" s="515"/>
      <c r="I75" s="515"/>
      <c r="J75" s="515"/>
      <c r="K75" s="515"/>
      <c r="L75" s="515"/>
      <c r="M75" s="515"/>
      <c r="N75" s="515"/>
      <c r="O75" s="515"/>
      <c r="P75" s="515"/>
      <c r="Q75" s="515"/>
      <c r="R75" s="515"/>
      <c r="S75" s="515"/>
      <c r="T75" s="515"/>
      <c r="U75" s="515"/>
      <c r="V75" s="515"/>
      <c r="W75" s="515"/>
      <c r="X75" s="515"/>
      <c r="Y75" s="515"/>
      <c r="Z75" s="515"/>
      <c r="AA75" s="515"/>
      <c r="AB75" s="515"/>
      <c r="AC75" s="515"/>
      <c r="AD75" s="515"/>
      <c r="AE75" s="515"/>
      <c r="AF75" s="515"/>
      <c r="AG75" s="515"/>
      <c r="AH75" s="515"/>
      <c r="AI75" s="515"/>
      <c r="AJ75" s="515"/>
      <c r="AK75" s="515"/>
      <c r="AL75" s="515"/>
      <c r="AM75" s="515"/>
      <c r="AN75" s="515"/>
      <c r="AO75" s="515"/>
      <c r="AP75" s="515"/>
      <c r="AQ75" s="515"/>
      <c r="AR75" s="515"/>
      <c r="AS75" s="515"/>
      <c r="AT75" s="515"/>
      <c r="AU75" s="515"/>
      <c r="AV75" s="515"/>
      <c r="AW75" s="515"/>
      <c r="AX75" s="515"/>
      <c r="AY75" s="515"/>
      <c r="AZ75" s="515"/>
      <c r="BA75" s="515"/>
      <c r="BB75" s="515"/>
      <c r="BC75" s="515"/>
      <c r="BD75" s="515"/>
      <c r="BE75" s="515"/>
      <c r="BF75" s="515"/>
      <c r="BG75" s="515"/>
      <c r="BH75" s="515"/>
      <c r="BI75" s="515"/>
      <c r="BJ75" s="515"/>
      <c r="BK75" s="515"/>
      <c r="BL75" s="515"/>
      <c r="BM75" s="515"/>
      <c r="BN75" s="515"/>
      <c r="BO75" s="515"/>
      <c r="BP75" s="515"/>
      <c r="BQ75" s="515"/>
      <c r="BR75" s="515"/>
      <c r="BS75" s="515"/>
      <c r="BT75" s="515"/>
      <c r="BU75" s="515"/>
      <c r="BV75" s="515"/>
      <c r="BW75" s="515"/>
      <c r="BX75" s="515"/>
      <c r="BY75" s="515"/>
      <c r="BZ75" s="515"/>
      <c r="CA75" s="515"/>
      <c r="CB75" s="515"/>
      <c r="CC75" s="515"/>
      <c r="CD75" s="515"/>
      <c r="CE75" s="515"/>
      <c r="CF75" s="515"/>
      <c r="CG75" s="515"/>
      <c r="CH75" s="515"/>
      <c r="CI75" s="515"/>
      <c r="CJ75" s="515"/>
      <c r="CK75" s="515"/>
      <c r="CL75" s="515"/>
      <c r="CM75" s="515"/>
      <c r="CN75" s="515"/>
      <c r="CO75" s="515"/>
      <c r="CP75" s="516"/>
      <c r="CQ75" s="515"/>
      <c r="CR75" s="515"/>
      <c r="CS75" s="515"/>
      <c r="CT75" s="515"/>
      <c r="CU75" s="515"/>
      <c r="CV75" s="515"/>
      <c r="CW75" s="515"/>
      <c r="CX75" s="515"/>
      <c r="CY75" s="515"/>
      <c r="CZ75" s="515"/>
      <c r="DA75" s="515"/>
      <c r="DB75" s="515"/>
      <c r="DC75" s="515"/>
      <c r="DD75" s="515"/>
      <c r="DE75" s="515"/>
      <c r="DF75" s="515"/>
      <c r="DG75" s="515"/>
      <c r="DH75" s="532"/>
      <c r="DI75" s="533"/>
      <c r="DJ75" s="533"/>
      <c r="DK75" s="533"/>
      <c r="DL75" s="533"/>
      <c r="DM75" s="533"/>
    </row>
    <row r="76" spans="1:117">
      <c r="A76" s="517" t="s">
        <v>581</v>
      </c>
      <c r="B76" s="518"/>
      <c r="C76" s="518"/>
      <c r="D76" s="518"/>
      <c r="E76" s="518"/>
      <c r="F76" s="518"/>
      <c r="G76" s="518"/>
      <c r="H76" s="518"/>
      <c r="I76" s="518"/>
      <c r="J76" s="518"/>
      <c r="K76" s="518"/>
      <c r="L76" s="518"/>
      <c r="M76" s="518"/>
      <c r="N76" s="518"/>
      <c r="O76" s="518"/>
      <c r="P76" s="518"/>
      <c r="Q76" s="518"/>
      <c r="R76" s="518"/>
      <c r="S76" s="518"/>
      <c r="T76" s="518"/>
      <c r="U76" s="518"/>
      <c r="V76" s="518"/>
      <c r="W76" s="518"/>
      <c r="X76" s="518"/>
      <c r="Y76" s="518"/>
      <c r="Z76" s="518"/>
      <c r="AA76" s="518"/>
      <c r="AB76" s="518"/>
      <c r="AC76" s="518"/>
      <c r="AD76" s="518"/>
      <c r="AE76" s="518"/>
      <c r="AF76" s="518"/>
      <c r="AG76" s="518"/>
      <c r="AH76" s="518"/>
      <c r="AI76" s="518"/>
      <c r="AJ76" s="518"/>
      <c r="AK76" s="518"/>
      <c r="AL76" s="518"/>
      <c r="AM76" s="518"/>
      <c r="AN76" s="518"/>
      <c r="AO76" s="518"/>
      <c r="AP76" s="518"/>
      <c r="AQ76" s="518"/>
      <c r="AR76" s="518"/>
      <c r="AS76" s="518"/>
      <c r="AT76" s="518"/>
      <c r="AU76" s="518"/>
      <c r="AV76" s="518"/>
      <c r="AW76" s="518"/>
      <c r="AX76" s="518"/>
      <c r="AY76" s="518"/>
      <c r="AZ76" s="518"/>
      <c r="BA76" s="518"/>
      <c r="BB76" s="518"/>
      <c r="BC76" s="518"/>
      <c r="BD76" s="518"/>
      <c r="BE76" s="518"/>
      <c r="BF76" s="518"/>
      <c r="BG76" s="518"/>
      <c r="BH76" s="518"/>
      <c r="BI76" s="518"/>
      <c r="BJ76" s="518"/>
      <c r="BK76" s="518"/>
      <c r="BL76" s="518"/>
      <c r="BM76" s="518"/>
      <c r="BN76" s="518"/>
      <c r="BO76" s="518"/>
      <c r="BX76" s="518"/>
      <c r="BY76" s="518"/>
      <c r="BZ76" s="518"/>
      <c r="CA76" s="518">
        <v>380</v>
      </c>
      <c r="CB76" s="518">
        <f t="shared" ref="CB76:CG76" si="76">CA76*(1+CB77)</f>
        <v>950</v>
      </c>
      <c r="CC76" s="518">
        <f t="shared" si="76"/>
        <v>1396.5</v>
      </c>
      <c r="CD76" s="518">
        <f t="shared" si="76"/>
        <v>1871.3100000000002</v>
      </c>
      <c r="CE76" s="518">
        <f t="shared" si="76"/>
        <v>2488.8423000000003</v>
      </c>
      <c r="CF76" s="518">
        <f t="shared" si="76"/>
        <v>2812.391799</v>
      </c>
      <c r="CG76" s="518">
        <f t="shared" si="76"/>
        <v>2390.5330291499999</v>
      </c>
      <c r="CH76" s="518"/>
      <c r="CI76" s="518"/>
      <c r="CJ76" s="518"/>
      <c r="CK76" s="518"/>
      <c r="CL76" s="518"/>
      <c r="CM76" s="518"/>
      <c r="CN76" s="518"/>
      <c r="CO76" s="518"/>
      <c r="CP76" s="518"/>
      <c r="CQ76" s="518"/>
      <c r="CR76" s="518"/>
      <c r="CS76" s="518"/>
      <c r="CT76" s="518"/>
      <c r="CU76" s="518"/>
      <c r="CV76" s="518"/>
      <c r="CW76" s="518"/>
      <c r="CX76" s="518"/>
      <c r="CY76" s="518"/>
      <c r="CZ76" s="518"/>
      <c r="DA76" s="518"/>
      <c r="DB76" s="518"/>
      <c r="DC76" s="518"/>
      <c r="DD76" s="518"/>
      <c r="DE76" s="518"/>
      <c r="DF76" s="518"/>
      <c r="DG76" s="518">
        <f>SUM(BN76:BQ76)</f>
        <v>0</v>
      </c>
      <c r="DH76" s="518">
        <f>SUM(BR76:BU76)</f>
        <v>0</v>
      </c>
      <c r="DI76" s="518">
        <f>SUM(BV76:BY76)</f>
        <v>0</v>
      </c>
      <c r="DJ76" s="518">
        <f>SUM(BZ76:CB76)</f>
        <v>1330</v>
      </c>
      <c r="DK76" s="518">
        <f>SUM(CD76:CG76)</f>
        <v>9563.0771281500001</v>
      </c>
      <c r="DL76" s="518"/>
      <c r="DM76" s="518"/>
    </row>
    <row r="77" spans="1:117">
      <c r="A77" s="519" t="s">
        <v>577</v>
      </c>
      <c r="B77" s="516"/>
      <c r="C77" s="516"/>
      <c r="D77" s="516"/>
      <c r="E77" s="516"/>
      <c r="F77" s="516"/>
      <c r="G77" s="516"/>
      <c r="H77" s="516"/>
      <c r="I77" s="516"/>
      <c r="J77" s="516"/>
      <c r="K77" s="516"/>
      <c r="L77" s="516"/>
      <c r="M77" s="516"/>
      <c r="N77" s="516"/>
      <c r="O77" s="516"/>
      <c r="P77" s="516"/>
      <c r="Q77" s="516"/>
      <c r="R77" s="516"/>
      <c r="S77" s="516"/>
      <c r="T77" s="516"/>
      <c r="U77" s="516"/>
      <c r="V77" s="516"/>
      <c r="W77" s="516"/>
      <c r="X77" s="516"/>
      <c r="Y77" s="516"/>
      <c r="Z77" s="516"/>
      <c r="AA77" s="516"/>
      <c r="AB77" s="516"/>
      <c r="AC77" s="516"/>
      <c r="AD77" s="516"/>
      <c r="AE77" s="516"/>
      <c r="AF77" s="516"/>
      <c r="AG77" s="516"/>
      <c r="AH77" s="516"/>
      <c r="AI77" s="516"/>
      <c r="AJ77" s="516"/>
      <c r="AK77" s="516"/>
      <c r="AL77" s="516"/>
      <c r="AM77" s="516"/>
      <c r="AN77" s="516"/>
      <c r="AO77" s="516"/>
      <c r="AP77" s="516"/>
      <c r="AQ77" s="516"/>
      <c r="AR77" s="516"/>
      <c r="AS77" s="516"/>
      <c r="AT77" s="516"/>
      <c r="AU77" s="516"/>
      <c r="AV77" s="516"/>
      <c r="AW77" s="516"/>
      <c r="AX77" s="516"/>
      <c r="AY77" s="516"/>
      <c r="AZ77" s="516"/>
      <c r="BA77" s="516"/>
      <c r="BB77" s="516"/>
      <c r="BC77" s="516"/>
      <c r="BD77" s="516"/>
      <c r="BE77" s="516"/>
      <c r="BF77" s="516"/>
      <c r="BG77" s="516"/>
      <c r="BH77" s="516"/>
      <c r="BI77" s="516"/>
      <c r="BJ77" s="516"/>
      <c r="BK77" s="516"/>
      <c r="BL77" s="520"/>
      <c r="BM77" s="520"/>
      <c r="BN77" s="520"/>
      <c r="BO77" s="520"/>
      <c r="BY77" s="520"/>
      <c r="BZ77" s="520"/>
      <c r="CA77" s="520"/>
      <c r="CB77" s="520">
        <v>1.5</v>
      </c>
      <c r="CC77" s="520">
        <v>0.47</v>
      </c>
      <c r="CD77" s="520">
        <v>0.34</v>
      </c>
      <c r="CE77" s="520">
        <v>0.33</v>
      </c>
      <c r="CF77" s="520">
        <v>0.13</v>
      </c>
      <c r="CG77" s="520">
        <v>-0.15</v>
      </c>
      <c r="CH77" s="520"/>
      <c r="CI77" s="520"/>
      <c r="CJ77" s="520"/>
      <c r="CK77" s="520"/>
      <c r="CL77" s="520"/>
      <c r="CM77" s="520"/>
      <c r="CN77" s="520"/>
      <c r="CO77" s="520"/>
      <c r="CP77" s="516"/>
      <c r="CQ77" s="516"/>
      <c r="CR77" s="516"/>
      <c r="CS77" s="516"/>
      <c r="CT77" s="516"/>
      <c r="CU77" s="516"/>
      <c r="CV77" s="516"/>
      <c r="CW77" s="516"/>
      <c r="CX77" s="516"/>
      <c r="CY77" s="516"/>
      <c r="CZ77" s="516"/>
      <c r="DA77" s="516"/>
      <c r="DB77" s="516"/>
      <c r="DC77" s="516"/>
      <c r="DD77" s="516"/>
      <c r="DE77" s="516"/>
      <c r="DF77" s="516"/>
      <c r="DG77" s="521" t="s">
        <v>224</v>
      </c>
      <c r="DH77" s="516"/>
      <c r="DI77" s="516"/>
      <c r="DJ77" s="516"/>
      <c r="DK77" s="516"/>
      <c r="DL77" s="516"/>
      <c r="DM77" s="516"/>
    </row>
    <row r="78" spans="1:117">
      <c r="A78" s="519" t="s">
        <v>578</v>
      </c>
      <c r="B78" s="516"/>
      <c r="C78" s="516"/>
      <c r="D78" s="516"/>
      <c r="E78" s="516"/>
      <c r="F78" s="516"/>
      <c r="G78" s="516"/>
      <c r="H78" s="516"/>
      <c r="I78" s="516"/>
      <c r="J78" s="516"/>
      <c r="K78" s="516"/>
      <c r="L78" s="516"/>
      <c r="M78" s="516"/>
      <c r="N78" s="516"/>
      <c r="O78" s="516"/>
      <c r="P78" s="516"/>
      <c r="Q78" s="516"/>
      <c r="R78" s="516"/>
      <c r="S78" s="516"/>
      <c r="T78" s="516"/>
      <c r="U78" s="516"/>
      <c r="V78" s="516"/>
      <c r="W78" s="516"/>
      <c r="X78" s="516"/>
      <c r="Y78" s="516"/>
      <c r="Z78" s="516"/>
      <c r="AA78" s="516"/>
      <c r="AB78" s="516"/>
      <c r="AC78" s="516"/>
      <c r="AD78" s="516"/>
      <c r="AE78" s="516"/>
      <c r="AF78" s="516"/>
      <c r="AG78" s="516"/>
      <c r="AH78" s="516"/>
      <c r="AI78" s="516"/>
      <c r="AJ78" s="516"/>
      <c r="AK78" s="516"/>
      <c r="AL78" s="516"/>
      <c r="AM78" s="516"/>
      <c r="AN78" s="516"/>
      <c r="AO78" s="516"/>
      <c r="AP78" s="516"/>
      <c r="AQ78" s="516"/>
      <c r="AR78" s="516"/>
      <c r="AS78" s="516"/>
      <c r="AT78" s="516"/>
      <c r="AU78" s="516"/>
      <c r="AV78" s="516"/>
      <c r="AW78" s="516"/>
      <c r="AX78" s="516"/>
      <c r="AY78" s="516"/>
      <c r="AZ78" s="516"/>
      <c r="BA78" s="516"/>
      <c r="BB78" s="516"/>
      <c r="BC78" s="516"/>
      <c r="BD78" s="516"/>
      <c r="BE78" s="516"/>
      <c r="BF78" s="516"/>
      <c r="BG78" s="516"/>
      <c r="BH78" s="516"/>
      <c r="BI78" s="516"/>
      <c r="BJ78" s="516"/>
      <c r="BK78" s="516"/>
      <c r="BL78" s="516"/>
      <c r="BM78" s="516"/>
      <c r="BN78" s="516"/>
      <c r="BO78" s="516"/>
      <c r="BX78" s="516"/>
      <c r="BY78" s="516"/>
      <c r="CB78" s="521" t="s">
        <v>224</v>
      </c>
      <c r="CC78" s="521" t="s">
        <v>224</v>
      </c>
      <c r="CF78" s="521" t="s">
        <v>224</v>
      </c>
      <c r="CG78" s="521" t="s">
        <v>224</v>
      </c>
      <c r="CJ78" s="521"/>
      <c r="CK78" s="521"/>
      <c r="CN78" s="521"/>
      <c r="CO78" s="521"/>
      <c r="CP78" s="516"/>
      <c r="CQ78" s="516"/>
      <c r="CR78" s="516"/>
      <c r="CS78" s="516"/>
      <c r="CT78" s="516"/>
      <c r="CU78" s="516"/>
      <c r="CV78" s="516"/>
      <c r="CW78" s="516"/>
      <c r="CX78" s="516"/>
      <c r="CY78" s="516"/>
      <c r="CZ78" s="516"/>
      <c r="DA78" s="516"/>
      <c r="DB78" s="516"/>
      <c r="DC78" s="516"/>
      <c r="DD78" s="516"/>
      <c r="DE78" s="516"/>
      <c r="DF78" s="516"/>
      <c r="DG78" s="516"/>
      <c r="DH78" s="516"/>
      <c r="DI78" s="516"/>
      <c r="DJ78" s="516"/>
      <c r="DK78" s="516"/>
      <c r="DL78" s="516"/>
      <c r="DM78" s="516"/>
    </row>
    <row r="79" spans="1:117">
      <c r="A79" s="519" t="s">
        <v>582</v>
      </c>
      <c r="B79" s="516"/>
      <c r="C79" s="516"/>
      <c r="D79" s="516"/>
      <c r="E79" s="516"/>
      <c r="F79" s="516"/>
      <c r="G79" s="516"/>
      <c r="H79" s="516"/>
      <c r="I79" s="516"/>
      <c r="J79" s="516"/>
      <c r="K79" s="516"/>
      <c r="L79" s="516"/>
      <c r="M79" s="516"/>
      <c r="N79" s="516"/>
      <c r="O79" s="516"/>
      <c r="P79" s="516"/>
      <c r="Q79" s="516"/>
      <c r="R79" s="516"/>
      <c r="S79" s="516"/>
      <c r="T79" s="516"/>
      <c r="U79" s="516"/>
      <c r="V79" s="516"/>
      <c r="W79" s="516"/>
      <c r="X79" s="516"/>
      <c r="Y79" s="516"/>
      <c r="Z79" s="516"/>
      <c r="AA79" s="516"/>
      <c r="AB79" s="516"/>
      <c r="AC79" s="516"/>
      <c r="AD79" s="516"/>
      <c r="AE79" s="516"/>
      <c r="AF79" s="516"/>
      <c r="AG79" s="516"/>
      <c r="AH79" s="516"/>
      <c r="AI79" s="516"/>
      <c r="AJ79" s="516"/>
      <c r="AK79" s="516"/>
      <c r="AL79" s="516"/>
      <c r="AM79" s="516"/>
      <c r="AN79" s="516"/>
      <c r="AO79" s="516"/>
      <c r="AP79" s="516"/>
      <c r="AQ79" s="516"/>
      <c r="AR79" s="516"/>
      <c r="AS79" s="516"/>
      <c r="AT79" s="516"/>
      <c r="AU79" s="516"/>
      <c r="AV79" s="516"/>
      <c r="AW79" s="516"/>
      <c r="AX79" s="516"/>
      <c r="AY79" s="516"/>
      <c r="AZ79" s="516"/>
      <c r="BA79" s="516"/>
      <c r="BB79" s="516"/>
      <c r="BC79" s="516"/>
      <c r="BD79" s="516"/>
      <c r="BE79" s="516"/>
      <c r="BF79" s="516"/>
      <c r="BG79" s="516"/>
      <c r="BH79" s="516"/>
      <c r="BI79" s="516"/>
      <c r="BJ79" s="516"/>
      <c r="BK79" s="516"/>
      <c r="BL79" s="516"/>
      <c r="BM79" s="516"/>
      <c r="BN79" s="516"/>
      <c r="BO79" s="516"/>
      <c r="BX79" s="520"/>
      <c r="BY79" s="520"/>
      <c r="BZ79" s="520"/>
      <c r="CA79" s="520"/>
      <c r="CB79" s="520">
        <f t="shared" ref="CB79:CG79" si="77">CB76/CB97</f>
        <v>0.34488386925140307</v>
      </c>
      <c r="CC79" s="520">
        <f t="shared" si="77"/>
        <v>0.48553118325536854</v>
      </c>
      <c r="CD79" s="520">
        <f t="shared" si="77"/>
        <v>0.63721164920556472</v>
      </c>
      <c r="CE79" s="520">
        <f t="shared" si="77"/>
        <v>0.83848096626885704</v>
      </c>
      <c r="CF79" s="520">
        <f t="shared" si="77"/>
        <v>0.90540601574337565</v>
      </c>
      <c r="CG79" s="520">
        <f t="shared" si="77"/>
        <v>0.76118703639203855</v>
      </c>
      <c r="CH79" s="520"/>
      <c r="CI79" s="520"/>
      <c r="CJ79" s="520"/>
      <c r="CK79" s="520"/>
      <c r="CL79" s="520"/>
      <c r="CM79" s="520"/>
      <c r="CN79" s="520"/>
      <c r="CO79" s="520"/>
      <c r="CP79" s="516"/>
      <c r="CQ79" s="516"/>
      <c r="CR79" s="516"/>
      <c r="CS79" s="516"/>
      <c r="CT79" s="516"/>
      <c r="CU79" s="516"/>
      <c r="CV79" s="516"/>
      <c r="CW79" s="516"/>
      <c r="CX79" s="516"/>
      <c r="CY79" s="516"/>
      <c r="CZ79" s="516"/>
      <c r="DA79" s="516"/>
      <c r="DB79" s="516"/>
      <c r="DC79" s="516"/>
      <c r="DD79" s="516"/>
      <c r="DE79" s="516"/>
      <c r="DF79" s="516"/>
      <c r="DG79" s="520" t="e">
        <f>DG76/#REF!</f>
        <v>#REF!</v>
      </c>
      <c r="DH79" s="520" t="e">
        <f>DH76/#REF!</f>
        <v>#REF!</v>
      </c>
      <c r="DI79" s="520">
        <f>DI76/DI97</f>
        <v>0</v>
      </c>
      <c r="DJ79" s="520">
        <f>DJ76/DJ97</f>
        <v>0.12396874243551757</v>
      </c>
      <c r="DK79" s="520">
        <f>DK76/DK97</f>
        <v>0.7869714129302573</v>
      </c>
      <c r="DL79" s="520"/>
      <c r="DM79" s="520"/>
    </row>
    <row r="80" spans="1:117">
      <c r="A80" s="517" t="s">
        <v>586</v>
      </c>
      <c r="B80" s="518"/>
      <c r="C80" s="518"/>
      <c r="D80" s="518"/>
      <c r="E80" s="518"/>
      <c r="F80" s="518"/>
      <c r="G80" s="518"/>
      <c r="H80" s="518"/>
      <c r="I80" s="518"/>
      <c r="J80" s="518"/>
      <c r="K80" s="518"/>
      <c r="L80" s="518"/>
      <c r="M80" s="518"/>
      <c r="N80" s="518"/>
      <c r="O80" s="518"/>
      <c r="P80" s="518"/>
      <c r="Q80" s="518"/>
      <c r="R80" s="518"/>
      <c r="S80" s="518"/>
      <c r="T80" s="518"/>
      <c r="U80" s="518"/>
      <c r="V80" s="518"/>
      <c r="W80" s="518"/>
      <c r="X80" s="518"/>
      <c r="Y80" s="518"/>
      <c r="Z80" s="518"/>
      <c r="AA80" s="518"/>
      <c r="AB80" s="518"/>
      <c r="AC80" s="518"/>
      <c r="AD80" s="518"/>
      <c r="AE80" s="518"/>
      <c r="AF80" s="518"/>
      <c r="AG80" s="518"/>
      <c r="AH80" s="518"/>
      <c r="AI80" s="518"/>
      <c r="AJ80" s="518"/>
      <c r="AK80" s="518"/>
      <c r="AL80" s="518"/>
      <c r="AM80" s="518"/>
      <c r="AN80" s="518"/>
      <c r="AO80" s="518"/>
      <c r="AP80" s="518"/>
      <c r="AQ80" s="518"/>
      <c r="AR80" s="518"/>
      <c r="AS80" s="518"/>
      <c r="AT80" s="518"/>
      <c r="AU80" s="518"/>
      <c r="AV80" s="518"/>
      <c r="AW80" s="518"/>
      <c r="AX80" s="518"/>
      <c r="AY80" s="518"/>
      <c r="AZ80" s="518"/>
      <c r="BA80" s="518"/>
      <c r="BB80" s="518"/>
      <c r="BC80" s="518"/>
      <c r="BD80" s="518"/>
      <c r="BE80" s="518"/>
      <c r="BF80" s="518"/>
      <c r="BG80" s="518"/>
      <c r="BH80" s="518"/>
      <c r="BI80" s="518"/>
      <c r="BJ80" s="518"/>
      <c r="BK80" s="757"/>
      <c r="BL80" s="518"/>
      <c r="BM80" s="518"/>
      <c r="BN80" s="518"/>
      <c r="BO80" s="518"/>
      <c r="BX80" s="518"/>
      <c r="BY80" s="518"/>
      <c r="BZ80" s="518"/>
      <c r="CA80" s="518">
        <f>CA71*1.1</f>
        <v>50050.000000000007</v>
      </c>
      <c r="CB80" s="518">
        <f t="shared" ref="CB80:CG80" si="78">CA80</f>
        <v>50050.000000000007</v>
      </c>
      <c r="CC80" s="518">
        <f t="shared" si="78"/>
        <v>50050.000000000007</v>
      </c>
      <c r="CD80" s="518">
        <f t="shared" si="78"/>
        <v>50050.000000000007</v>
      </c>
      <c r="CE80" s="518">
        <f t="shared" si="78"/>
        <v>50050.000000000007</v>
      </c>
      <c r="CF80" s="518">
        <f t="shared" si="78"/>
        <v>50050.000000000007</v>
      </c>
      <c r="CG80" s="518">
        <f t="shared" si="78"/>
        <v>50050.000000000007</v>
      </c>
      <c r="CH80" s="518"/>
      <c r="CI80" s="518"/>
      <c r="CJ80" s="518"/>
      <c r="CK80" s="518"/>
      <c r="CL80" s="518"/>
      <c r="CM80" s="518"/>
      <c r="CN80" s="518"/>
      <c r="CO80" s="518"/>
      <c r="CP80" s="518"/>
      <c r="CQ80" s="518"/>
      <c r="CR80" s="518"/>
      <c r="CS80" s="518"/>
      <c r="CT80" s="518"/>
      <c r="CU80" s="518"/>
      <c r="CV80" s="518"/>
      <c r="CW80" s="518"/>
      <c r="CX80" s="518"/>
      <c r="CY80" s="518"/>
      <c r="CZ80" s="518"/>
      <c r="DA80" s="518"/>
      <c r="DB80" s="518"/>
      <c r="DC80" s="518"/>
      <c r="DD80" s="518"/>
      <c r="DE80" s="518"/>
      <c r="DF80" s="518"/>
      <c r="DG80" s="518"/>
      <c r="DH80" s="518"/>
      <c r="DI80" s="518"/>
      <c r="DJ80" s="518"/>
      <c r="DK80" s="518"/>
      <c r="DL80" s="518"/>
      <c r="DM80" s="518"/>
    </row>
    <row r="81" spans="1:117">
      <c r="A81" s="522" t="s">
        <v>588</v>
      </c>
      <c r="B81" s="523"/>
      <c r="C81" s="523"/>
      <c r="D81" s="523"/>
      <c r="E81" s="523"/>
      <c r="F81" s="523"/>
      <c r="G81" s="523"/>
      <c r="H81" s="523"/>
      <c r="I81" s="523"/>
      <c r="J81" s="523"/>
      <c r="K81" s="523"/>
      <c r="L81" s="523"/>
      <c r="M81" s="523"/>
      <c r="N81" s="523"/>
      <c r="O81" s="523"/>
      <c r="P81" s="523"/>
      <c r="Q81" s="523"/>
      <c r="R81" s="523"/>
      <c r="S81" s="523"/>
      <c r="T81" s="523"/>
      <c r="U81" s="523"/>
      <c r="V81" s="523"/>
      <c r="W81" s="523"/>
      <c r="X81" s="523"/>
      <c r="Y81" s="523"/>
      <c r="Z81" s="523"/>
      <c r="AA81" s="523"/>
      <c r="AB81" s="523"/>
      <c r="AC81" s="523"/>
      <c r="AD81" s="523"/>
      <c r="AE81" s="523"/>
      <c r="AF81" s="523"/>
      <c r="AG81" s="523"/>
      <c r="AH81" s="523"/>
      <c r="AI81" s="523"/>
      <c r="AJ81" s="523"/>
      <c r="AK81" s="523"/>
      <c r="AL81" s="523"/>
      <c r="AM81" s="523"/>
      <c r="AN81" s="523"/>
      <c r="AO81" s="523"/>
      <c r="AP81" s="523"/>
      <c r="AQ81" s="523"/>
      <c r="AR81" s="523"/>
      <c r="AS81" s="523"/>
      <c r="AT81" s="523"/>
      <c r="AU81" s="523"/>
      <c r="AV81" s="523"/>
      <c r="AW81" s="523"/>
      <c r="AX81" s="523"/>
      <c r="AY81" s="523"/>
      <c r="AZ81" s="523"/>
      <c r="BA81" s="523"/>
      <c r="BB81" s="523"/>
      <c r="BC81" s="523"/>
      <c r="BD81" s="523"/>
      <c r="BE81" s="523"/>
      <c r="BF81" s="523"/>
      <c r="BG81" s="523"/>
      <c r="BH81" s="523"/>
      <c r="BI81" s="523"/>
      <c r="BJ81" s="523"/>
      <c r="BK81" s="523"/>
      <c r="BL81" s="523"/>
      <c r="BM81" s="523"/>
      <c r="BN81" s="523"/>
      <c r="BO81" s="523"/>
      <c r="BP81" s="482"/>
      <c r="BQ81" s="482"/>
      <c r="BR81" s="482"/>
      <c r="BS81" s="482"/>
      <c r="BT81" s="482"/>
      <c r="BU81" s="482"/>
      <c r="BV81" s="482"/>
      <c r="BW81" s="482"/>
      <c r="BX81" s="523"/>
      <c r="BY81" s="523"/>
      <c r="BZ81" s="523"/>
      <c r="CA81" s="523">
        <f t="shared" ref="CA81:CG81" si="79">CA80*CA76/1000</f>
        <v>19019.000000000004</v>
      </c>
      <c r="CB81" s="523">
        <f t="shared" si="79"/>
        <v>47547.500000000007</v>
      </c>
      <c r="CC81" s="523">
        <f t="shared" si="79"/>
        <v>69894.825000000012</v>
      </c>
      <c r="CD81" s="523">
        <f t="shared" si="79"/>
        <v>93659.065500000012</v>
      </c>
      <c r="CE81" s="523">
        <f t="shared" si="79"/>
        <v>124566.55711500002</v>
      </c>
      <c r="CF81" s="523">
        <f t="shared" si="79"/>
        <v>140760.20953995001</v>
      </c>
      <c r="CG81" s="523">
        <f t="shared" si="79"/>
        <v>119646.17810895751</v>
      </c>
      <c r="CH81" s="523"/>
      <c r="CI81" s="523"/>
      <c r="CJ81" s="523"/>
      <c r="CK81" s="523"/>
      <c r="CL81" s="523"/>
      <c r="CM81" s="523"/>
      <c r="CN81" s="523"/>
      <c r="CO81" s="523"/>
      <c r="CP81" s="523"/>
      <c r="CQ81" s="523"/>
      <c r="CR81" s="523"/>
      <c r="CS81" s="523"/>
      <c r="CT81" s="523"/>
      <c r="CU81" s="523"/>
      <c r="CV81" s="523"/>
      <c r="CW81" s="523"/>
      <c r="CX81" s="523"/>
      <c r="CY81" s="523"/>
      <c r="CZ81" s="523"/>
      <c r="DA81" s="523"/>
      <c r="DB81" s="523"/>
      <c r="DC81" s="523"/>
      <c r="DD81" s="523"/>
      <c r="DE81" s="523"/>
      <c r="DF81" s="523"/>
      <c r="DG81" s="523">
        <f>SUM(BN81:BQ81)</f>
        <v>0</v>
      </c>
      <c r="DH81" s="523">
        <f>SUM(BR81:BU81)</f>
        <v>0</v>
      </c>
      <c r="DI81" s="523">
        <f>SUM(BV81:BY81)</f>
        <v>0</v>
      </c>
      <c r="DJ81" s="523">
        <f>SUM(BZ81:CC81)</f>
        <v>136461.32500000001</v>
      </c>
      <c r="DK81" s="518">
        <f>SUM(CD81:CG81)</f>
        <v>478632.01026390749</v>
      </c>
      <c r="DL81" s="523"/>
      <c r="DM81" s="523"/>
    </row>
    <row r="82" spans="1:117">
      <c r="A82" s="519" t="s">
        <v>577</v>
      </c>
      <c r="B82" s="523"/>
      <c r="C82" s="523"/>
      <c r="D82" s="523"/>
      <c r="E82" s="523"/>
      <c r="F82" s="523"/>
      <c r="G82" s="523"/>
      <c r="H82" s="523"/>
      <c r="I82" s="523"/>
      <c r="J82" s="523"/>
      <c r="K82" s="523"/>
      <c r="L82" s="523"/>
      <c r="M82" s="523"/>
      <c r="N82" s="523"/>
      <c r="O82" s="523"/>
      <c r="P82" s="523"/>
      <c r="Q82" s="523"/>
      <c r="R82" s="523"/>
      <c r="S82" s="523"/>
      <c r="T82" s="523"/>
      <c r="U82" s="523"/>
      <c r="V82" s="523"/>
      <c r="W82" s="523"/>
      <c r="X82" s="523"/>
      <c r="Y82" s="523"/>
      <c r="Z82" s="523"/>
      <c r="AA82" s="523"/>
      <c r="AB82" s="523"/>
      <c r="AC82" s="523"/>
      <c r="AD82" s="523"/>
      <c r="AE82" s="523"/>
      <c r="AF82" s="523"/>
      <c r="AG82" s="523"/>
      <c r="AH82" s="523"/>
      <c r="AI82" s="523"/>
      <c r="AJ82" s="523"/>
      <c r="AK82" s="523"/>
      <c r="AL82" s="523"/>
      <c r="AM82" s="523"/>
      <c r="AN82" s="523"/>
      <c r="AO82" s="523"/>
      <c r="AP82" s="523"/>
      <c r="AQ82" s="523"/>
      <c r="AR82" s="523"/>
      <c r="AS82" s="523"/>
      <c r="AT82" s="523"/>
      <c r="AU82" s="523"/>
      <c r="AV82" s="523"/>
      <c r="AW82" s="523"/>
      <c r="AX82" s="523"/>
      <c r="AY82" s="523"/>
      <c r="AZ82" s="523"/>
      <c r="BA82" s="523"/>
      <c r="BB82" s="523"/>
      <c r="BC82" s="523"/>
      <c r="BD82" s="523"/>
      <c r="BE82" s="523"/>
      <c r="BF82" s="523"/>
      <c r="BG82" s="523"/>
      <c r="BH82" s="523"/>
      <c r="BI82" s="523"/>
      <c r="BJ82" s="523"/>
      <c r="BK82" s="759"/>
      <c r="BL82" s="759"/>
      <c r="BM82" s="759"/>
      <c r="BN82" s="759"/>
      <c r="BO82" s="759"/>
      <c r="BP82" s="759"/>
      <c r="BQ82" s="759"/>
      <c r="BR82" s="759"/>
      <c r="BS82" s="759"/>
      <c r="BT82" s="759"/>
      <c r="BU82" s="759"/>
      <c r="BV82" s="759"/>
      <c r="BW82" s="759"/>
      <c r="BX82" s="759"/>
      <c r="BY82" s="759"/>
      <c r="BZ82" s="759"/>
      <c r="CA82" s="759"/>
      <c r="CB82" s="759">
        <f t="shared" ref="CB82:CG82" si="80">CB81/CA81-1</f>
        <v>1.5</v>
      </c>
      <c r="CC82" s="759">
        <f t="shared" si="80"/>
        <v>0.47</v>
      </c>
      <c r="CD82" s="759">
        <f t="shared" si="80"/>
        <v>0.33999999999999986</v>
      </c>
      <c r="CE82" s="759">
        <f t="shared" si="80"/>
        <v>0.33000000000000007</v>
      </c>
      <c r="CF82" s="759">
        <f t="shared" si="80"/>
        <v>0.12999999999999989</v>
      </c>
      <c r="CG82" s="759">
        <f t="shared" si="80"/>
        <v>-0.15000000000000002</v>
      </c>
      <c r="CH82" s="759"/>
      <c r="CI82" s="759"/>
      <c r="CJ82" s="759"/>
      <c r="CK82" s="759"/>
      <c r="CL82" s="759"/>
      <c r="CM82" s="759"/>
      <c r="CN82" s="759"/>
      <c r="CO82" s="759"/>
      <c r="CP82" s="518"/>
      <c r="CQ82" s="518"/>
      <c r="CR82" s="518"/>
      <c r="CS82" s="518"/>
      <c r="CT82" s="518"/>
      <c r="CU82" s="518"/>
      <c r="CV82" s="518"/>
      <c r="CW82" s="518"/>
      <c r="CX82" s="518"/>
      <c r="CY82" s="518"/>
      <c r="CZ82" s="518"/>
      <c r="DA82" s="518"/>
      <c r="DB82" s="518"/>
      <c r="DC82" s="518"/>
      <c r="DD82" s="518"/>
      <c r="DE82" s="518"/>
      <c r="DF82" s="518"/>
      <c r="DG82" s="518"/>
      <c r="DH82" s="518"/>
      <c r="DI82" s="518"/>
      <c r="DJ82" s="518"/>
      <c r="DK82" s="518"/>
      <c r="DL82" s="518"/>
      <c r="DM82" s="518"/>
    </row>
    <row r="83" spans="1:117">
      <c r="A83" s="519" t="s">
        <v>578</v>
      </c>
      <c r="B83" s="523"/>
      <c r="C83" s="523"/>
      <c r="D83" s="523"/>
      <c r="E83" s="523"/>
      <c r="F83" s="523"/>
      <c r="G83" s="523"/>
      <c r="H83" s="523"/>
      <c r="I83" s="523"/>
      <c r="J83" s="523"/>
      <c r="K83" s="523"/>
      <c r="L83" s="523"/>
      <c r="M83" s="523"/>
      <c r="N83" s="523"/>
      <c r="O83" s="523"/>
      <c r="P83" s="523"/>
      <c r="Q83" s="523"/>
      <c r="R83" s="523"/>
      <c r="S83" s="523"/>
      <c r="T83" s="523"/>
      <c r="U83" s="523"/>
      <c r="V83" s="523"/>
      <c r="W83" s="523"/>
      <c r="X83" s="523"/>
      <c r="Y83" s="523"/>
      <c r="Z83" s="523"/>
      <c r="AA83" s="523"/>
      <c r="AB83" s="523"/>
      <c r="AC83" s="523"/>
      <c r="AD83" s="523"/>
      <c r="AE83" s="523"/>
      <c r="AF83" s="523"/>
      <c r="AG83" s="523"/>
      <c r="AH83" s="523"/>
      <c r="AI83" s="523"/>
      <c r="AJ83" s="523"/>
      <c r="AK83" s="523"/>
      <c r="AL83" s="523"/>
      <c r="AM83" s="523"/>
      <c r="AN83" s="523"/>
      <c r="AO83" s="523"/>
      <c r="AP83" s="523"/>
      <c r="AQ83" s="523"/>
      <c r="AR83" s="523"/>
      <c r="AS83" s="523"/>
      <c r="AT83" s="523"/>
      <c r="AU83" s="523"/>
      <c r="AV83" s="523"/>
      <c r="AW83" s="523"/>
      <c r="AX83" s="523"/>
      <c r="AY83" s="523"/>
      <c r="AZ83" s="523"/>
      <c r="BA83" s="523"/>
      <c r="BB83" s="523"/>
      <c r="BC83" s="523"/>
      <c r="BD83" s="523"/>
      <c r="BE83" s="523"/>
      <c r="BF83" s="523"/>
      <c r="BG83" s="523"/>
      <c r="BH83" s="523"/>
      <c r="BI83" s="523"/>
      <c r="BJ83" s="523"/>
      <c r="BK83" s="523"/>
      <c r="BL83" s="523"/>
      <c r="BM83" s="523"/>
      <c r="BN83" s="759"/>
      <c r="BO83" s="759"/>
      <c r="BP83" s="759"/>
      <c r="BQ83" s="759"/>
      <c r="BR83" s="759"/>
      <c r="BS83" s="759"/>
      <c r="BT83" s="759"/>
      <c r="BU83" s="759"/>
      <c r="BV83" s="759"/>
      <c r="BW83" s="759"/>
      <c r="BX83" s="759"/>
      <c r="BY83" s="759"/>
      <c r="BZ83" s="759"/>
      <c r="CA83" s="759"/>
      <c r="CB83" s="759"/>
      <c r="CC83" s="759"/>
      <c r="CD83" s="759"/>
      <c r="CE83" s="759"/>
      <c r="CF83" s="759"/>
      <c r="CG83" s="759"/>
      <c r="CH83" s="759"/>
      <c r="CI83" s="759"/>
      <c r="CJ83" s="759"/>
      <c r="CK83" s="759"/>
      <c r="CL83" s="759"/>
      <c r="CM83" s="759"/>
      <c r="CN83" s="759"/>
      <c r="CO83" s="759"/>
      <c r="CP83" s="518"/>
      <c r="CQ83" s="518"/>
      <c r="CR83" s="518"/>
      <c r="CS83" s="518"/>
      <c r="CT83" s="518"/>
      <c r="CU83" s="518"/>
      <c r="CV83" s="518"/>
      <c r="CW83" s="518"/>
      <c r="CX83" s="518"/>
      <c r="CY83" s="518"/>
      <c r="CZ83" s="518"/>
      <c r="DA83" s="518"/>
      <c r="DB83" s="518"/>
      <c r="DC83" s="518"/>
      <c r="DD83" s="518"/>
      <c r="DE83" s="518"/>
      <c r="DF83" s="518"/>
      <c r="DG83" s="518"/>
      <c r="DH83" s="518"/>
      <c r="DI83" s="518"/>
      <c r="DJ83" s="518"/>
      <c r="DK83" s="518"/>
      <c r="DL83" s="518"/>
      <c r="DM83" s="518"/>
    </row>
    <row r="84" spans="1:117">
      <c r="A84" s="514" t="s">
        <v>593</v>
      </c>
      <c r="B84" s="515"/>
      <c r="C84" s="515"/>
      <c r="D84" s="515"/>
      <c r="E84" s="515"/>
      <c r="F84" s="515"/>
      <c r="G84" s="515"/>
      <c r="H84" s="515"/>
      <c r="I84" s="515"/>
      <c r="J84" s="515"/>
      <c r="K84" s="515"/>
      <c r="L84" s="515"/>
      <c r="M84" s="515"/>
      <c r="N84" s="515"/>
      <c r="O84" s="515"/>
      <c r="P84" s="515"/>
      <c r="Q84" s="515"/>
      <c r="R84" s="515"/>
      <c r="S84" s="515"/>
      <c r="T84" s="515"/>
      <c r="U84" s="515"/>
      <c r="V84" s="515"/>
      <c r="W84" s="515"/>
      <c r="X84" s="515"/>
      <c r="Y84" s="515"/>
      <c r="Z84" s="515"/>
      <c r="AA84" s="515"/>
      <c r="AB84" s="515"/>
      <c r="AC84" s="515"/>
      <c r="AD84" s="515"/>
      <c r="AE84" s="515"/>
      <c r="AF84" s="515"/>
      <c r="AG84" s="515"/>
      <c r="AH84" s="515"/>
      <c r="AI84" s="515"/>
      <c r="AJ84" s="515"/>
      <c r="AK84" s="515"/>
      <c r="AL84" s="515"/>
      <c r="AM84" s="515"/>
      <c r="AN84" s="515"/>
      <c r="AO84" s="515"/>
      <c r="AP84" s="515"/>
      <c r="AQ84" s="515"/>
      <c r="AR84" s="515"/>
      <c r="AS84" s="515"/>
      <c r="AT84" s="515"/>
      <c r="AU84" s="515"/>
      <c r="AV84" s="515"/>
      <c r="AW84" s="515"/>
      <c r="AX84" s="515"/>
      <c r="AY84" s="515"/>
      <c r="AZ84" s="515"/>
      <c r="BA84" s="515"/>
      <c r="BB84" s="515"/>
      <c r="BC84" s="515"/>
      <c r="BD84" s="515"/>
      <c r="BE84" s="515"/>
      <c r="BF84" s="515"/>
      <c r="BG84" s="515"/>
      <c r="BH84" s="515"/>
      <c r="BI84" s="515"/>
      <c r="BJ84" s="515"/>
      <c r="BK84" s="515"/>
      <c r="BL84" s="515"/>
      <c r="BM84" s="515"/>
      <c r="BN84" s="515"/>
      <c r="BO84" s="515"/>
      <c r="BP84" s="515"/>
      <c r="BQ84" s="515"/>
      <c r="BR84" s="515"/>
      <c r="BS84" s="515"/>
      <c r="BT84" s="515"/>
      <c r="BU84" s="515"/>
      <c r="BV84" s="515"/>
      <c r="BW84" s="515"/>
      <c r="BX84" s="515"/>
      <c r="BY84" s="515"/>
      <c r="BZ84" s="515"/>
      <c r="CA84" s="515"/>
      <c r="CB84" s="515"/>
      <c r="CC84" s="515"/>
      <c r="CD84" s="515"/>
      <c r="CE84" s="515"/>
      <c r="CF84" s="515"/>
      <c r="CG84" s="515"/>
      <c r="CH84" s="515"/>
      <c r="CI84" s="515"/>
      <c r="CJ84" s="515"/>
      <c r="CK84" s="515"/>
      <c r="CL84" s="515"/>
      <c r="CM84" s="515"/>
      <c r="CN84" s="515"/>
      <c r="CO84" s="515"/>
      <c r="CP84" s="516"/>
      <c r="CQ84" s="515"/>
      <c r="CR84" s="515"/>
      <c r="CS84" s="515"/>
      <c r="CT84" s="515"/>
      <c r="CU84" s="515"/>
      <c r="CV84" s="515"/>
      <c r="CW84" s="515"/>
      <c r="CX84" s="515"/>
      <c r="CY84" s="515"/>
      <c r="CZ84" s="515"/>
      <c r="DA84" s="515"/>
      <c r="DB84" s="515"/>
      <c r="DC84" s="515"/>
      <c r="DD84" s="515"/>
      <c r="DE84" s="515"/>
      <c r="DF84" s="515"/>
      <c r="DG84" s="515"/>
      <c r="DH84" s="533"/>
      <c r="DI84" s="533"/>
      <c r="DJ84" s="533"/>
      <c r="DK84" s="533"/>
      <c r="DL84" s="533"/>
      <c r="DM84" s="533"/>
    </row>
    <row r="85" spans="1:117">
      <c r="A85" s="517" t="s">
        <v>581</v>
      </c>
      <c r="B85" s="518"/>
      <c r="C85" s="518"/>
      <c r="D85" s="518"/>
      <c r="E85" s="518"/>
      <c r="F85" s="518"/>
      <c r="G85" s="518"/>
      <c r="H85" s="518"/>
      <c r="I85" s="518"/>
      <c r="J85" s="518"/>
      <c r="K85" s="518"/>
      <c r="L85" s="518"/>
      <c r="M85" s="518"/>
      <c r="N85" s="518"/>
      <c r="O85" s="518"/>
      <c r="P85" s="518"/>
      <c r="Q85" s="518"/>
      <c r="R85" s="518"/>
      <c r="S85" s="518"/>
      <c r="T85" s="518"/>
      <c r="U85" s="518"/>
      <c r="V85" s="518"/>
      <c r="W85" s="518"/>
      <c r="X85" s="518"/>
      <c r="Y85" s="518"/>
      <c r="Z85" s="518"/>
      <c r="AA85" s="518"/>
      <c r="AB85" s="518"/>
      <c r="AC85" s="518"/>
      <c r="AD85" s="518"/>
      <c r="AE85" s="518"/>
      <c r="AF85" s="518"/>
      <c r="AG85" s="518"/>
      <c r="AH85" s="518"/>
      <c r="AI85" s="518"/>
      <c r="AJ85" s="518"/>
      <c r="AK85" s="518"/>
      <c r="AL85" s="518"/>
      <c r="AM85" s="518"/>
      <c r="AN85" s="518"/>
      <c r="AO85" s="518"/>
      <c r="AP85" s="518"/>
      <c r="AQ85" s="518"/>
      <c r="AR85" s="518"/>
      <c r="AS85" s="518"/>
      <c r="AT85" s="518"/>
      <c r="AU85" s="518"/>
      <c r="AV85" s="518"/>
      <c r="AW85" s="518"/>
      <c r="AX85" s="518"/>
      <c r="AY85" s="518"/>
      <c r="AZ85" s="518"/>
      <c r="BA85" s="518"/>
      <c r="BB85" s="518"/>
      <c r="BC85" s="518"/>
      <c r="BD85" s="518"/>
      <c r="BE85" s="518"/>
      <c r="BF85" s="518"/>
      <c r="BG85" s="518"/>
      <c r="BH85" s="518"/>
      <c r="BI85" s="518"/>
      <c r="BJ85" s="518"/>
      <c r="BK85" s="518"/>
      <c r="BL85" s="518"/>
      <c r="BM85" s="518"/>
      <c r="BN85" s="518"/>
      <c r="BO85" s="518"/>
      <c r="BP85" s="518"/>
      <c r="BQ85" s="518"/>
      <c r="BR85" s="518"/>
      <c r="BS85" s="518"/>
      <c r="BT85" s="518"/>
      <c r="BU85" s="518"/>
      <c r="BV85" s="518"/>
      <c r="BW85" s="518"/>
      <c r="BX85" s="518"/>
      <c r="BY85" s="518"/>
      <c r="BZ85" s="518"/>
      <c r="CA85" s="518"/>
      <c r="CB85" s="518"/>
      <c r="CC85" s="518"/>
      <c r="CD85" s="518"/>
      <c r="CF85" s="518">
        <v>150</v>
      </c>
      <c r="CG85" s="518">
        <f>CF85*(1+CG86)</f>
        <v>750</v>
      </c>
      <c r="CH85" s="518"/>
      <c r="CI85" s="518"/>
      <c r="CJ85" s="518"/>
      <c r="CK85" s="518"/>
      <c r="CL85" s="518"/>
      <c r="CM85" s="518"/>
      <c r="CN85" s="518"/>
      <c r="CO85" s="518"/>
      <c r="CP85" s="518"/>
      <c r="CQ85" s="518"/>
      <c r="CR85" s="518"/>
      <c r="CS85" s="518"/>
      <c r="CT85" s="518"/>
      <c r="CU85" s="518"/>
      <c r="CV85" s="518"/>
      <c r="CW85" s="518"/>
      <c r="CX85" s="518"/>
      <c r="CY85" s="518"/>
      <c r="CZ85" s="518"/>
      <c r="DA85" s="518"/>
      <c r="DB85" s="518"/>
      <c r="DC85" s="518"/>
      <c r="DD85" s="518"/>
      <c r="DE85" s="518"/>
      <c r="DF85" s="518"/>
      <c r="DG85" s="518"/>
      <c r="DH85" s="518"/>
      <c r="DI85" s="518"/>
      <c r="DJ85" s="518"/>
      <c r="DK85" s="518"/>
      <c r="DL85" s="518"/>
      <c r="DM85" s="518"/>
    </row>
    <row r="86" spans="1:117">
      <c r="A86" s="519" t="s">
        <v>577</v>
      </c>
      <c r="B86" s="518"/>
      <c r="C86" s="518"/>
      <c r="D86" s="518"/>
      <c r="E86" s="518"/>
      <c r="F86" s="518"/>
      <c r="G86" s="518"/>
      <c r="H86" s="518"/>
      <c r="I86" s="518"/>
      <c r="J86" s="518"/>
      <c r="K86" s="518"/>
      <c r="L86" s="518"/>
      <c r="M86" s="518"/>
      <c r="N86" s="518"/>
      <c r="O86" s="518"/>
      <c r="P86" s="518"/>
      <c r="Q86" s="518"/>
      <c r="R86" s="518"/>
      <c r="S86" s="518"/>
      <c r="T86" s="518"/>
      <c r="U86" s="518"/>
      <c r="V86" s="518"/>
      <c r="W86" s="518"/>
      <c r="X86" s="518"/>
      <c r="Y86" s="518"/>
      <c r="Z86" s="518"/>
      <c r="AA86" s="518"/>
      <c r="AB86" s="518"/>
      <c r="AC86" s="518"/>
      <c r="AD86" s="518"/>
      <c r="AE86" s="518"/>
      <c r="AF86" s="518"/>
      <c r="AG86" s="518"/>
      <c r="AH86" s="518"/>
      <c r="AI86" s="518"/>
      <c r="AJ86" s="518"/>
      <c r="AK86" s="518"/>
      <c r="AL86" s="518"/>
      <c r="AM86" s="518"/>
      <c r="AN86" s="518"/>
      <c r="AO86" s="518"/>
      <c r="AP86" s="518"/>
      <c r="AQ86" s="518"/>
      <c r="AR86" s="518"/>
      <c r="AS86" s="518"/>
      <c r="AT86" s="518"/>
      <c r="AU86" s="518"/>
      <c r="AV86" s="518"/>
      <c r="AW86" s="518"/>
      <c r="AX86" s="518"/>
      <c r="AY86" s="518"/>
      <c r="AZ86" s="518"/>
      <c r="BA86" s="518"/>
      <c r="BB86" s="518"/>
      <c r="BC86" s="518"/>
      <c r="BD86" s="518"/>
      <c r="BE86" s="518"/>
      <c r="BF86" s="518"/>
      <c r="BG86" s="518"/>
      <c r="BH86" s="518"/>
      <c r="BI86" s="518"/>
      <c r="BJ86" s="518"/>
      <c r="BK86" s="518"/>
      <c r="BL86" s="518"/>
      <c r="BM86" s="518"/>
      <c r="BN86" s="518"/>
      <c r="BO86" s="518"/>
      <c r="BP86" s="518"/>
      <c r="BQ86" s="518"/>
      <c r="BR86" s="518"/>
      <c r="BS86" s="518"/>
      <c r="BT86" s="518"/>
      <c r="BU86" s="518"/>
      <c r="BV86" s="518"/>
      <c r="BW86" s="518"/>
      <c r="BX86" s="518"/>
      <c r="BY86" s="518"/>
      <c r="BZ86" s="518"/>
      <c r="CA86" s="518"/>
      <c r="CB86" s="518"/>
      <c r="CC86" s="518"/>
      <c r="CD86" s="518"/>
      <c r="CG86" s="520">
        <v>4</v>
      </c>
      <c r="CH86" s="518"/>
      <c r="CI86" s="518"/>
      <c r="CJ86" s="518"/>
      <c r="CK86" s="518"/>
      <c r="CL86" s="518"/>
      <c r="CM86" s="518"/>
      <c r="CN86" s="518"/>
      <c r="CO86" s="518"/>
      <c r="CP86" s="518"/>
      <c r="CQ86" s="518"/>
      <c r="CR86" s="518"/>
      <c r="CS86" s="518"/>
      <c r="CT86" s="518"/>
      <c r="CU86" s="518"/>
      <c r="CV86" s="518"/>
      <c r="CW86" s="518"/>
      <c r="CX86" s="518"/>
      <c r="CY86" s="518"/>
      <c r="CZ86" s="518"/>
      <c r="DA86" s="518"/>
      <c r="DB86" s="518"/>
      <c r="DC86" s="518"/>
      <c r="DD86" s="518"/>
      <c r="DE86" s="518"/>
      <c r="DF86" s="518"/>
      <c r="DG86" s="518"/>
      <c r="DH86" s="518"/>
      <c r="DI86" s="518"/>
      <c r="DJ86" s="518"/>
      <c r="DK86" s="518"/>
      <c r="DL86" s="518"/>
      <c r="DM86" s="518"/>
    </row>
    <row r="87" spans="1:117">
      <c r="A87" s="519" t="s">
        <v>578</v>
      </c>
      <c r="B87" s="518"/>
      <c r="C87" s="518"/>
      <c r="D87" s="518"/>
      <c r="E87" s="518"/>
      <c r="F87" s="518"/>
      <c r="G87" s="518"/>
      <c r="H87" s="518"/>
      <c r="I87" s="518"/>
      <c r="J87" s="518"/>
      <c r="K87" s="518"/>
      <c r="L87" s="518"/>
      <c r="M87" s="518"/>
      <c r="N87" s="518"/>
      <c r="O87" s="518"/>
      <c r="P87" s="518"/>
      <c r="Q87" s="518"/>
      <c r="R87" s="518"/>
      <c r="S87" s="518"/>
      <c r="T87" s="518"/>
      <c r="U87" s="518"/>
      <c r="V87" s="518"/>
      <c r="W87" s="518"/>
      <c r="X87" s="518"/>
      <c r="Y87" s="518"/>
      <c r="Z87" s="518"/>
      <c r="AA87" s="518"/>
      <c r="AB87" s="518"/>
      <c r="AC87" s="518"/>
      <c r="AD87" s="518"/>
      <c r="AE87" s="518"/>
      <c r="AF87" s="518"/>
      <c r="AG87" s="518"/>
      <c r="AH87" s="518"/>
      <c r="AI87" s="518"/>
      <c r="AJ87" s="518"/>
      <c r="AK87" s="518"/>
      <c r="AL87" s="518"/>
      <c r="AM87" s="518"/>
      <c r="AN87" s="518"/>
      <c r="AO87" s="518"/>
      <c r="AP87" s="518"/>
      <c r="AQ87" s="518"/>
      <c r="AR87" s="518"/>
      <c r="AS87" s="518"/>
      <c r="AT87" s="518"/>
      <c r="AU87" s="518"/>
      <c r="AV87" s="518"/>
      <c r="AW87" s="518"/>
      <c r="AX87" s="518"/>
      <c r="AY87" s="518"/>
      <c r="AZ87" s="518"/>
      <c r="BA87" s="518"/>
      <c r="BB87" s="518"/>
      <c r="BC87" s="518"/>
      <c r="BD87" s="518"/>
      <c r="BE87" s="518"/>
      <c r="BF87" s="518"/>
      <c r="BG87" s="518"/>
      <c r="BH87" s="518"/>
      <c r="BI87" s="518"/>
      <c r="BJ87" s="518"/>
      <c r="BK87" s="518"/>
      <c r="BL87" s="518"/>
      <c r="BM87" s="518"/>
      <c r="BN87" s="518"/>
      <c r="BO87" s="518"/>
      <c r="BP87" s="518"/>
      <c r="BQ87" s="518"/>
      <c r="BR87" s="518"/>
      <c r="BS87" s="518"/>
      <c r="BT87" s="518"/>
      <c r="BU87" s="518"/>
      <c r="BV87" s="518"/>
      <c r="BW87" s="518"/>
      <c r="BX87" s="518"/>
      <c r="BY87" s="518"/>
      <c r="BZ87" s="518"/>
      <c r="CA87" s="518"/>
      <c r="CB87" s="518"/>
      <c r="CC87" s="518"/>
      <c r="CD87" s="518"/>
      <c r="CE87" s="516"/>
      <c r="CF87" s="516"/>
      <c r="CH87" s="518"/>
      <c r="CI87" s="518"/>
      <c r="CJ87" s="518"/>
      <c r="CK87" s="518"/>
      <c r="CL87" s="518"/>
      <c r="CM87" s="518"/>
      <c r="CN87" s="518"/>
      <c r="CO87" s="518"/>
      <c r="CP87" s="518"/>
      <c r="CQ87" s="518"/>
      <c r="CR87" s="518"/>
      <c r="CS87" s="518"/>
      <c r="CT87" s="518"/>
      <c r="CU87" s="518"/>
      <c r="CV87" s="518"/>
      <c r="CW87" s="518"/>
      <c r="CX87" s="518"/>
      <c r="CY87" s="518"/>
      <c r="CZ87" s="518"/>
      <c r="DA87" s="518"/>
      <c r="DB87" s="518"/>
      <c r="DC87" s="518"/>
      <c r="DD87" s="518"/>
      <c r="DE87" s="518"/>
      <c r="DF87" s="518"/>
      <c r="DG87" s="518"/>
      <c r="DH87" s="518"/>
      <c r="DI87" s="518"/>
      <c r="DJ87" s="518"/>
      <c r="DK87" s="518"/>
      <c r="DL87" s="518"/>
      <c r="DM87" s="518"/>
    </row>
    <row r="88" spans="1:117">
      <c r="A88" s="519" t="s">
        <v>582</v>
      </c>
      <c r="B88" s="518"/>
      <c r="C88" s="518"/>
      <c r="D88" s="518"/>
      <c r="E88" s="518"/>
      <c r="F88" s="518"/>
      <c r="G88" s="518"/>
      <c r="H88" s="518"/>
      <c r="I88" s="518"/>
      <c r="J88" s="518"/>
      <c r="K88" s="518"/>
      <c r="L88" s="518"/>
      <c r="M88" s="518"/>
      <c r="N88" s="518"/>
      <c r="O88" s="518"/>
      <c r="P88" s="518"/>
      <c r="Q88" s="518"/>
      <c r="R88" s="518"/>
      <c r="S88" s="518"/>
      <c r="T88" s="518"/>
      <c r="U88" s="518"/>
      <c r="V88" s="518"/>
      <c r="W88" s="518"/>
      <c r="X88" s="518"/>
      <c r="Y88" s="518"/>
      <c r="Z88" s="518"/>
      <c r="AA88" s="518"/>
      <c r="AB88" s="518"/>
      <c r="AC88" s="518"/>
      <c r="AD88" s="518"/>
      <c r="AE88" s="518"/>
      <c r="AF88" s="518"/>
      <c r="AG88" s="518"/>
      <c r="AH88" s="518"/>
      <c r="AI88" s="518"/>
      <c r="AJ88" s="518"/>
      <c r="AK88" s="518"/>
      <c r="AL88" s="518"/>
      <c r="AM88" s="518"/>
      <c r="AN88" s="518"/>
      <c r="AO88" s="518"/>
      <c r="AP88" s="518"/>
      <c r="AQ88" s="518"/>
      <c r="AR88" s="518"/>
      <c r="AS88" s="518"/>
      <c r="AT88" s="518"/>
      <c r="AU88" s="518"/>
      <c r="AV88" s="518"/>
      <c r="AW88" s="518"/>
      <c r="AX88" s="518"/>
      <c r="AY88" s="518"/>
      <c r="AZ88" s="518"/>
      <c r="BA88" s="518"/>
      <c r="BB88" s="518"/>
      <c r="BC88" s="518"/>
      <c r="BD88" s="518"/>
      <c r="BE88" s="518"/>
      <c r="BF88" s="518"/>
      <c r="BG88" s="518"/>
      <c r="BH88" s="518"/>
      <c r="BI88" s="518"/>
      <c r="BJ88" s="518"/>
      <c r="BK88" s="518"/>
      <c r="BL88" s="518"/>
      <c r="BM88" s="518"/>
      <c r="BN88" s="518"/>
      <c r="BO88" s="518"/>
      <c r="BP88" s="518"/>
      <c r="BQ88" s="518"/>
      <c r="BR88" s="518"/>
      <c r="BS88" s="518"/>
      <c r="BT88" s="518"/>
      <c r="BU88" s="518"/>
      <c r="BV88" s="518"/>
      <c r="BW88" s="518"/>
      <c r="BX88" s="518"/>
      <c r="BY88" s="518"/>
      <c r="BZ88" s="518"/>
      <c r="CA88" s="518"/>
      <c r="CB88" s="518"/>
      <c r="CC88" s="518"/>
      <c r="CD88" s="518"/>
      <c r="CE88" s="520"/>
      <c r="CF88" s="520">
        <f>CF85/CF97</f>
        <v>4.8290178633644334E-2</v>
      </c>
      <c r="CG88" s="520">
        <f>CG85/CG97</f>
        <v>0.2388129636079615</v>
      </c>
      <c r="CH88" s="518"/>
      <c r="CI88" s="518"/>
      <c r="CJ88" s="518"/>
      <c r="CK88" s="518"/>
      <c r="CL88" s="518"/>
      <c r="CM88" s="518"/>
      <c r="CN88" s="518"/>
      <c r="CO88" s="518"/>
      <c r="CP88" s="518"/>
      <c r="CQ88" s="518"/>
      <c r="CR88" s="518"/>
      <c r="CS88" s="518"/>
      <c r="CT88" s="518"/>
      <c r="CU88" s="518"/>
      <c r="CV88" s="518"/>
      <c r="CW88" s="518"/>
      <c r="CX88" s="518"/>
      <c r="CY88" s="518"/>
      <c r="CZ88" s="518"/>
      <c r="DA88" s="518"/>
      <c r="DB88" s="518"/>
      <c r="DC88" s="518"/>
      <c r="DD88" s="518"/>
      <c r="DE88" s="518"/>
      <c r="DF88" s="518"/>
      <c r="DG88" s="518"/>
      <c r="DH88" s="518"/>
      <c r="DI88" s="518"/>
      <c r="DJ88" s="518"/>
      <c r="DK88" s="518"/>
      <c r="DL88" s="518"/>
      <c r="DM88" s="518"/>
    </row>
    <row r="89" spans="1:117">
      <c r="A89" s="517" t="s">
        <v>586</v>
      </c>
      <c r="B89" s="518"/>
      <c r="C89" s="518"/>
      <c r="D89" s="518"/>
      <c r="E89" s="518"/>
      <c r="F89" s="518"/>
      <c r="G89" s="518"/>
      <c r="H89" s="518"/>
      <c r="I89" s="518"/>
      <c r="J89" s="518"/>
      <c r="K89" s="518"/>
      <c r="L89" s="518"/>
      <c r="M89" s="518"/>
      <c r="N89" s="518"/>
      <c r="O89" s="518"/>
      <c r="P89" s="518"/>
      <c r="Q89" s="518"/>
      <c r="R89" s="518"/>
      <c r="S89" s="518"/>
      <c r="T89" s="518"/>
      <c r="U89" s="518"/>
      <c r="V89" s="518"/>
      <c r="W89" s="518"/>
      <c r="X89" s="518"/>
      <c r="Y89" s="518"/>
      <c r="Z89" s="518"/>
      <c r="AA89" s="518"/>
      <c r="AB89" s="518"/>
      <c r="AC89" s="518"/>
      <c r="AD89" s="518"/>
      <c r="AE89" s="518"/>
      <c r="AF89" s="518"/>
      <c r="AG89" s="518"/>
      <c r="AH89" s="518"/>
      <c r="AI89" s="518"/>
      <c r="AJ89" s="518"/>
      <c r="AK89" s="518"/>
      <c r="AL89" s="518"/>
      <c r="AM89" s="518"/>
      <c r="AN89" s="518"/>
      <c r="AO89" s="518"/>
      <c r="AP89" s="518"/>
      <c r="AQ89" s="518"/>
      <c r="AR89" s="518"/>
      <c r="AS89" s="518"/>
      <c r="AT89" s="518"/>
      <c r="AU89" s="518"/>
      <c r="AV89" s="518"/>
      <c r="AW89" s="518"/>
      <c r="AX89" s="518"/>
      <c r="AY89" s="518"/>
      <c r="AZ89" s="518"/>
      <c r="BA89" s="518"/>
      <c r="BB89" s="518"/>
      <c r="BC89" s="518"/>
      <c r="BD89" s="518"/>
      <c r="BE89" s="518"/>
      <c r="BF89" s="518"/>
      <c r="BG89" s="518"/>
      <c r="BH89" s="518"/>
      <c r="BI89" s="518"/>
      <c r="BJ89" s="518"/>
      <c r="BK89" s="518"/>
      <c r="BL89" s="518"/>
      <c r="BM89" s="518"/>
      <c r="BN89" s="518"/>
      <c r="BO89" s="518"/>
      <c r="BP89" s="518"/>
      <c r="BQ89" s="518"/>
      <c r="BR89" s="518"/>
      <c r="BS89" s="518"/>
      <c r="BT89" s="518"/>
      <c r="BU89" s="518"/>
      <c r="BV89" s="518"/>
      <c r="BW89" s="518"/>
      <c r="BX89" s="518"/>
      <c r="BY89" s="518"/>
      <c r="BZ89" s="518"/>
      <c r="CA89" s="518"/>
      <c r="CB89" s="518"/>
      <c r="CC89" s="518"/>
      <c r="CD89" s="518"/>
      <c r="CE89" s="518"/>
      <c r="CF89" s="518">
        <f>BX71*1.3</f>
        <v>59150</v>
      </c>
      <c r="CG89" s="518">
        <f>CF89</f>
        <v>59150</v>
      </c>
      <c r="CH89" s="518"/>
      <c r="CI89" s="518"/>
      <c r="CJ89" s="518"/>
      <c r="CK89" s="518"/>
      <c r="CL89" s="518"/>
      <c r="CM89" s="518"/>
      <c r="CN89" s="518"/>
      <c r="CO89" s="518"/>
      <c r="CP89" s="518"/>
      <c r="CQ89" s="518"/>
      <c r="CR89" s="518"/>
      <c r="CS89" s="518"/>
      <c r="CT89" s="518"/>
      <c r="CU89" s="518"/>
      <c r="CV89" s="518"/>
      <c r="CW89" s="518"/>
      <c r="CX89" s="518"/>
      <c r="CY89" s="518"/>
      <c r="CZ89" s="518"/>
      <c r="DA89" s="518"/>
      <c r="DB89" s="518"/>
      <c r="DC89" s="518"/>
      <c r="DD89" s="518"/>
      <c r="DE89" s="518"/>
      <c r="DF89" s="518"/>
      <c r="DG89" s="518"/>
      <c r="DH89" s="518"/>
      <c r="DI89" s="518"/>
      <c r="DJ89" s="518"/>
      <c r="DK89" s="518"/>
      <c r="DL89" s="518"/>
      <c r="DM89" s="518"/>
    </row>
    <row r="90" spans="1:117">
      <c r="A90" s="522" t="s">
        <v>588</v>
      </c>
      <c r="B90" s="518"/>
      <c r="C90" s="518"/>
      <c r="D90" s="518"/>
      <c r="E90" s="518"/>
      <c r="F90" s="518"/>
      <c r="G90" s="518"/>
      <c r="H90" s="518"/>
      <c r="I90" s="518"/>
      <c r="J90" s="518"/>
      <c r="K90" s="518"/>
      <c r="L90" s="518"/>
      <c r="M90" s="518"/>
      <c r="N90" s="518"/>
      <c r="O90" s="518"/>
      <c r="P90" s="518"/>
      <c r="Q90" s="518"/>
      <c r="R90" s="518"/>
      <c r="S90" s="518"/>
      <c r="T90" s="518"/>
      <c r="U90" s="518"/>
      <c r="V90" s="518"/>
      <c r="W90" s="518"/>
      <c r="X90" s="518"/>
      <c r="Y90" s="518"/>
      <c r="Z90" s="518"/>
      <c r="AA90" s="518"/>
      <c r="AB90" s="518"/>
      <c r="AC90" s="518"/>
      <c r="AD90" s="518"/>
      <c r="AE90" s="518"/>
      <c r="AF90" s="518"/>
      <c r="AG90" s="518"/>
      <c r="AH90" s="518"/>
      <c r="AI90" s="518"/>
      <c r="AJ90" s="518"/>
      <c r="AK90" s="518"/>
      <c r="AL90" s="518"/>
      <c r="AM90" s="518"/>
      <c r="AN90" s="518"/>
      <c r="AO90" s="518"/>
      <c r="AP90" s="518"/>
      <c r="AQ90" s="518"/>
      <c r="AR90" s="518"/>
      <c r="AS90" s="518"/>
      <c r="AT90" s="518"/>
      <c r="AU90" s="518"/>
      <c r="AV90" s="518"/>
      <c r="AW90" s="518"/>
      <c r="AX90" s="518"/>
      <c r="AY90" s="518"/>
      <c r="AZ90" s="518"/>
      <c r="BA90" s="518"/>
      <c r="BB90" s="518"/>
      <c r="BC90" s="518"/>
      <c r="BD90" s="518"/>
      <c r="BE90" s="518"/>
      <c r="BF90" s="518"/>
      <c r="BG90" s="518"/>
      <c r="BH90" s="518"/>
      <c r="BI90" s="518"/>
      <c r="BJ90" s="518"/>
      <c r="BK90" s="518"/>
      <c r="BL90" s="518"/>
      <c r="BM90" s="518"/>
      <c r="BN90" s="518"/>
      <c r="BO90" s="518"/>
      <c r="BP90" s="518"/>
      <c r="BQ90" s="518"/>
      <c r="BR90" s="518"/>
      <c r="BS90" s="518"/>
      <c r="BT90" s="518"/>
      <c r="BU90" s="518"/>
      <c r="BV90" s="518"/>
      <c r="BW90" s="518"/>
      <c r="BX90" s="518"/>
      <c r="BY90" s="518"/>
      <c r="BZ90" s="518"/>
      <c r="CA90" s="518"/>
      <c r="CB90" s="518"/>
      <c r="CC90" s="518"/>
      <c r="CD90" s="518"/>
      <c r="CE90" s="523"/>
      <c r="CF90" s="523">
        <f>CF89*CF85/1000</f>
        <v>8872.5</v>
      </c>
      <c r="CG90" s="523">
        <f>CG89*CG85/1000</f>
        <v>44362.5</v>
      </c>
      <c r="CH90" s="518"/>
      <c r="CI90" s="518"/>
      <c r="CJ90" s="518"/>
      <c r="CK90" s="518"/>
      <c r="CL90" s="518"/>
      <c r="CM90" s="518"/>
      <c r="CN90" s="518"/>
      <c r="CO90" s="518"/>
      <c r="CP90" s="518"/>
      <c r="CQ90" s="518"/>
      <c r="CR90" s="518"/>
      <c r="CS90" s="518"/>
      <c r="CT90" s="518"/>
      <c r="CU90" s="518"/>
      <c r="CV90" s="518"/>
      <c r="CW90" s="518"/>
      <c r="CX90" s="518"/>
      <c r="CY90" s="518"/>
      <c r="CZ90" s="518"/>
      <c r="DA90" s="518"/>
      <c r="DB90" s="518"/>
      <c r="DC90" s="518"/>
      <c r="DD90" s="518"/>
      <c r="DE90" s="518"/>
      <c r="DF90" s="518"/>
      <c r="DG90" s="518"/>
      <c r="DH90" s="518"/>
      <c r="DI90" s="518"/>
      <c r="DJ90" s="518"/>
      <c r="DK90" s="518"/>
      <c r="DL90" s="518"/>
      <c r="DM90" s="518"/>
    </row>
    <row r="91" spans="1:117">
      <c r="A91" s="519" t="s">
        <v>577</v>
      </c>
      <c r="B91" s="518"/>
      <c r="C91" s="518"/>
      <c r="D91" s="518"/>
      <c r="E91" s="518"/>
      <c r="F91" s="518"/>
      <c r="G91" s="518"/>
      <c r="H91" s="518"/>
      <c r="I91" s="518"/>
      <c r="J91" s="518"/>
      <c r="K91" s="518"/>
      <c r="L91" s="518"/>
      <c r="M91" s="518"/>
      <c r="N91" s="518"/>
      <c r="O91" s="518"/>
      <c r="P91" s="518"/>
      <c r="Q91" s="518"/>
      <c r="R91" s="518"/>
      <c r="S91" s="518"/>
      <c r="T91" s="518"/>
      <c r="U91" s="518"/>
      <c r="V91" s="518"/>
      <c r="W91" s="518"/>
      <c r="X91" s="518"/>
      <c r="Y91" s="518"/>
      <c r="Z91" s="518"/>
      <c r="AA91" s="518"/>
      <c r="AB91" s="518"/>
      <c r="AC91" s="518"/>
      <c r="AD91" s="518"/>
      <c r="AE91" s="518"/>
      <c r="AF91" s="518"/>
      <c r="AG91" s="518"/>
      <c r="AH91" s="518"/>
      <c r="AI91" s="518"/>
      <c r="AJ91" s="518"/>
      <c r="AK91" s="518"/>
      <c r="AL91" s="518"/>
      <c r="AM91" s="518"/>
      <c r="AN91" s="518"/>
      <c r="AO91" s="518"/>
      <c r="AP91" s="518"/>
      <c r="AQ91" s="518"/>
      <c r="AR91" s="518"/>
      <c r="AS91" s="518"/>
      <c r="AT91" s="518"/>
      <c r="AU91" s="518"/>
      <c r="AV91" s="518"/>
      <c r="AW91" s="518"/>
      <c r="AX91" s="518"/>
      <c r="AY91" s="518"/>
      <c r="AZ91" s="518"/>
      <c r="BA91" s="518"/>
      <c r="BB91" s="518"/>
      <c r="BC91" s="518"/>
      <c r="BD91" s="518"/>
      <c r="BE91" s="518"/>
      <c r="BF91" s="518"/>
      <c r="BG91" s="518"/>
      <c r="BH91" s="518"/>
      <c r="BI91" s="518"/>
      <c r="BJ91" s="518"/>
      <c r="BK91" s="518"/>
      <c r="BL91" s="518"/>
      <c r="BM91" s="518"/>
      <c r="BN91" s="518"/>
      <c r="BO91" s="518"/>
      <c r="BP91" s="518"/>
      <c r="BQ91" s="518"/>
      <c r="BR91" s="518"/>
      <c r="BS91" s="518"/>
      <c r="BT91" s="518"/>
      <c r="BU91" s="518"/>
      <c r="BV91" s="518"/>
      <c r="BW91" s="518"/>
      <c r="BX91" s="518"/>
      <c r="BY91" s="518"/>
      <c r="BZ91" s="518"/>
      <c r="CA91" s="518"/>
      <c r="CB91" s="518"/>
      <c r="CC91" s="518"/>
      <c r="CD91" s="518"/>
      <c r="CE91" s="759"/>
      <c r="CF91" s="759"/>
      <c r="CG91" s="759">
        <f>CG90/CF90-1</f>
        <v>4</v>
      </c>
      <c r="CH91" s="518"/>
      <c r="CI91" s="518"/>
      <c r="CJ91" s="518"/>
      <c r="CK91" s="518"/>
      <c r="CL91" s="518"/>
      <c r="CM91" s="518"/>
      <c r="CN91" s="518"/>
      <c r="CO91" s="518"/>
      <c r="CP91" s="518"/>
      <c r="CQ91" s="518"/>
      <c r="CR91" s="518"/>
      <c r="CS91" s="518"/>
      <c r="CT91" s="518"/>
      <c r="CU91" s="518"/>
      <c r="CV91" s="518"/>
      <c r="CW91" s="518"/>
      <c r="CX91" s="518"/>
      <c r="CY91" s="518"/>
      <c r="CZ91" s="518"/>
      <c r="DA91" s="518"/>
      <c r="DB91" s="518"/>
      <c r="DC91" s="518"/>
      <c r="DD91" s="518"/>
      <c r="DE91" s="518"/>
      <c r="DF91" s="518"/>
      <c r="DG91" s="518"/>
      <c r="DH91" s="518"/>
      <c r="DI91" s="518"/>
      <c r="DJ91" s="518"/>
      <c r="DK91" s="518"/>
      <c r="DL91" s="518"/>
      <c r="DM91" s="518"/>
    </row>
    <row r="92" spans="1:117">
      <c r="A92" s="519" t="s">
        <v>578</v>
      </c>
      <c r="B92" s="518"/>
      <c r="C92" s="518"/>
      <c r="D92" s="518"/>
      <c r="E92" s="518"/>
      <c r="F92" s="518"/>
      <c r="G92" s="518"/>
      <c r="H92" s="518"/>
      <c r="I92" s="518"/>
      <c r="J92" s="518"/>
      <c r="K92" s="518"/>
      <c r="L92" s="518"/>
      <c r="M92" s="518"/>
      <c r="N92" s="518"/>
      <c r="O92" s="518"/>
      <c r="P92" s="518"/>
      <c r="Q92" s="518"/>
      <c r="R92" s="518"/>
      <c r="S92" s="518"/>
      <c r="T92" s="518"/>
      <c r="U92" s="518"/>
      <c r="V92" s="518"/>
      <c r="W92" s="518"/>
      <c r="X92" s="518"/>
      <c r="Y92" s="518"/>
      <c r="Z92" s="518"/>
      <c r="AA92" s="518"/>
      <c r="AB92" s="518"/>
      <c r="AC92" s="518"/>
      <c r="AD92" s="518"/>
      <c r="AE92" s="518"/>
      <c r="AF92" s="518"/>
      <c r="AG92" s="518"/>
      <c r="AH92" s="518"/>
      <c r="AI92" s="518"/>
      <c r="AJ92" s="518"/>
      <c r="AK92" s="518"/>
      <c r="AL92" s="518"/>
      <c r="AM92" s="518"/>
      <c r="AN92" s="518"/>
      <c r="AO92" s="518"/>
      <c r="AP92" s="518"/>
      <c r="AQ92" s="518"/>
      <c r="AR92" s="518"/>
      <c r="AS92" s="518"/>
      <c r="AT92" s="518"/>
      <c r="AU92" s="518"/>
      <c r="AV92" s="518"/>
      <c r="AW92" s="518"/>
      <c r="AX92" s="518"/>
      <c r="AY92" s="518"/>
      <c r="AZ92" s="518"/>
      <c r="BA92" s="518"/>
      <c r="BB92" s="518"/>
      <c r="BC92" s="518"/>
      <c r="BD92" s="518"/>
      <c r="BE92" s="518"/>
      <c r="BF92" s="518"/>
      <c r="BG92" s="518"/>
      <c r="BH92" s="518"/>
      <c r="BI92" s="518"/>
      <c r="BJ92" s="518"/>
      <c r="BK92" s="518"/>
      <c r="BL92" s="518"/>
      <c r="BM92" s="518"/>
      <c r="BN92" s="518"/>
      <c r="BO92" s="518"/>
      <c r="BP92" s="518"/>
      <c r="BQ92" s="518"/>
      <c r="BR92" s="518"/>
      <c r="BS92" s="518"/>
      <c r="BT92" s="518"/>
      <c r="BU92" s="518"/>
      <c r="BV92" s="518"/>
      <c r="BW92" s="518"/>
      <c r="BX92" s="518"/>
      <c r="BY92" s="518"/>
      <c r="BZ92" s="518"/>
      <c r="CA92" s="518"/>
      <c r="CB92" s="518"/>
      <c r="CC92" s="518"/>
      <c r="CD92" s="518"/>
      <c r="CE92" s="759"/>
      <c r="CF92" s="759"/>
      <c r="CG92" s="759"/>
      <c r="CH92" s="518"/>
      <c r="CI92" s="518"/>
      <c r="CJ92" s="518"/>
      <c r="CK92" s="518"/>
      <c r="CL92" s="518"/>
      <c r="CM92" s="518"/>
      <c r="CN92" s="518"/>
      <c r="CO92" s="518"/>
      <c r="CP92" s="518"/>
      <c r="CQ92" s="518"/>
      <c r="CR92" s="518"/>
      <c r="CS92" s="518"/>
      <c r="CT92" s="518"/>
      <c r="CU92" s="518"/>
      <c r="CV92" s="518"/>
      <c r="CW92" s="518"/>
      <c r="CX92" s="518"/>
      <c r="CY92" s="518"/>
      <c r="CZ92" s="518"/>
      <c r="DA92" s="518"/>
      <c r="DB92" s="518"/>
      <c r="DC92" s="518"/>
      <c r="DD92" s="518"/>
      <c r="DE92" s="518"/>
      <c r="DF92" s="518"/>
      <c r="DG92" s="518"/>
      <c r="DH92" s="518"/>
      <c r="DI92" s="518"/>
      <c r="DJ92" s="518"/>
      <c r="DK92" s="518"/>
      <c r="DL92" s="518"/>
      <c r="DM92" s="518"/>
    </row>
    <row r="93" spans="1:117">
      <c r="A93" s="514" t="s">
        <v>272</v>
      </c>
      <c r="B93" s="515"/>
      <c r="C93" s="515"/>
      <c r="D93" s="515"/>
      <c r="E93" s="515"/>
      <c r="F93" s="515"/>
      <c r="G93" s="515"/>
      <c r="H93" s="515"/>
      <c r="I93" s="515"/>
      <c r="J93" s="515"/>
      <c r="K93" s="515"/>
      <c r="L93" s="515"/>
      <c r="M93" s="515"/>
      <c r="N93" s="515"/>
      <c r="O93" s="515"/>
      <c r="P93" s="515"/>
      <c r="Q93" s="515"/>
      <c r="R93" s="515"/>
      <c r="S93" s="515"/>
      <c r="T93" s="515"/>
      <c r="U93" s="515"/>
      <c r="V93" s="515"/>
      <c r="W93" s="515"/>
      <c r="X93" s="515"/>
      <c r="Y93" s="515"/>
      <c r="Z93" s="515"/>
      <c r="AA93" s="515"/>
      <c r="AB93" s="515"/>
      <c r="AC93" s="515"/>
      <c r="AD93" s="515"/>
      <c r="AE93" s="515"/>
      <c r="AF93" s="515"/>
      <c r="AG93" s="515"/>
      <c r="AH93" s="515"/>
      <c r="AI93" s="515"/>
      <c r="AJ93" s="515"/>
      <c r="AK93" s="515"/>
      <c r="AL93" s="515"/>
      <c r="AM93" s="515"/>
      <c r="AN93" s="515"/>
      <c r="AO93" s="515"/>
      <c r="AP93" s="515"/>
      <c r="AQ93" s="515"/>
      <c r="AR93" s="515"/>
      <c r="AS93" s="515"/>
      <c r="AT93" s="515"/>
      <c r="AU93" s="515"/>
      <c r="AV93" s="515"/>
      <c r="AW93" s="515"/>
      <c r="AX93" s="515"/>
      <c r="AY93" s="515"/>
      <c r="AZ93" s="515"/>
      <c r="BA93" s="515"/>
      <c r="BB93" s="515"/>
      <c r="BC93" s="515"/>
      <c r="BD93" s="515"/>
      <c r="BE93" s="515"/>
      <c r="BF93" s="515"/>
      <c r="BG93" s="515"/>
      <c r="BH93" s="515"/>
      <c r="BI93" s="515"/>
      <c r="BJ93" s="515"/>
      <c r="BK93" s="515"/>
      <c r="BL93" s="515"/>
      <c r="BM93" s="515"/>
      <c r="BN93" s="515"/>
      <c r="BO93" s="515"/>
      <c r="BP93" s="515"/>
      <c r="BQ93" s="515"/>
      <c r="BR93" s="515"/>
      <c r="BS93" s="515"/>
      <c r="BT93" s="515"/>
      <c r="BU93" s="515"/>
      <c r="BV93" s="515"/>
      <c r="BW93" s="515"/>
      <c r="BX93" s="515"/>
      <c r="BY93" s="515"/>
      <c r="BZ93" s="515"/>
      <c r="CA93" s="515"/>
      <c r="CB93" s="515"/>
      <c r="CC93" s="515"/>
      <c r="CD93" s="515"/>
      <c r="CE93" s="515"/>
      <c r="CF93" s="515"/>
      <c r="CG93" s="515"/>
      <c r="CH93" s="515"/>
      <c r="CI93" s="515"/>
      <c r="CJ93" s="515"/>
      <c r="CK93" s="515"/>
      <c r="CL93" s="515"/>
      <c r="CM93" s="515"/>
      <c r="CN93" s="515"/>
      <c r="CO93" s="515"/>
      <c r="CP93" s="516"/>
      <c r="CQ93" s="515"/>
      <c r="CR93" s="515"/>
      <c r="CS93" s="515"/>
      <c r="CT93" s="515"/>
      <c r="CU93" s="515"/>
      <c r="CV93" s="515"/>
      <c r="CW93" s="515"/>
      <c r="CX93" s="515"/>
      <c r="CY93" s="515"/>
      <c r="CZ93" s="515"/>
      <c r="DA93" s="515"/>
      <c r="DB93" s="515"/>
      <c r="DC93" s="515"/>
      <c r="DD93" s="515"/>
      <c r="DE93" s="515"/>
      <c r="DF93" s="515"/>
      <c r="DG93" s="515"/>
      <c r="DH93" s="533"/>
      <c r="DI93" s="533"/>
      <c r="DJ93" s="533"/>
      <c r="DK93" s="533"/>
      <c r="DL93" s="533"/>
      <c r="DM93" s="533"/>
    </row>
    <row r="94" spans="1:117">
      <c r="A94" s="522" t="s">
        <v>594</v>
      </c>
      <c r="B94" s="523"/>
      <c r="C94" s="523"/>
      <c r="D94" s="523"/>
      <c r="E94" s="523"/>
      <c r="F94" s="523"/>
      <c r="G94" s="523"/>
      <c r="H94" s="523"/>
      <c r="I94" s="523"/>
      <c r="J94" s="523"/>
      <c r="K94" s="523"/>
      <c r="L94" s="523"/>
      <c r="M94" s="523"/>
      <c r="N94" s="523"/>
      <c r="O94" s="523"/>
      <c r="P94" s="523"/>
      <c r="Q94" s="523"/>
      <c r="R94" s="523"/>
      <c r="S94" s="523"/>
      <c r="T94" s="523"/>
      <c r="U94" s="523"/>
      <c r="V94" s="523"/>
      <c r="W94" s="523"/>
      <c r="X94" s="523"/>
      <c r="Y94" s="523"/>
      <c r="Z94" s="523"/>
      <c r="AA94" s="523"/>
      <c r="AB94" s="523"/>
      <c r="AC94" s="523"/>
      <c r="AD94" s="523"/>
      <c r="AE94" s="523"/>
      <c r="AF94" s="523"/>
      <c r="AG94" s="523"/>
      <c r="AH94" s="523"/>
      <c r="AI94" s="523"/>
      <c r="AJ94" s="523"/>
      <c r="AK94" s="523"/>
      <c r="AL94" s="523"/>
      <c r="AM94" s="523"/>
      <c r="AN94" s="523"/>
      <c r="AO94" s="523"/>
      <c r="AP94" s="523"/>
      <c r="AQ94" s="523"/>
      <c r="AR94" s="523"/>
      <c r="AS94" s="523"/>
      <c r="AT94" s="523"/>
      <c r="AU94" s="523"/>
      <c r="AV94" s="523"/>
      <c r="AW94" s="523"/>
      <c r="AX94" s="523"/>
      <c r="AY94" s="523"/>
      <c r="AZ94" s="523"/>
      <c r="BA94" s="523"/>
      <c r="BB94" s="523"/>
      <c r="BC94" s="523"/>
      <c r="BD94" s="523"/>
      <c r="BE94" s="523"/>
      <c r="BF94" s="523"/>
      <c r="BG94" s="523"/>
      <c r="BH94" s="523"/>
      <c r="BI94" s="523"/>
      <c r="BJ94" s="523">
        <f t="shared" ref="BJ94:BR94" si="81">BJ27+BJ36+BJ45+BJ54</f>
        <v>3360</v>
      </c>
      <c r="BK94" s="523">
        <f t="shared" si="81"/>
        <v>8612</v>
      </c>
      <c r="BL94" s="523">
        <f t="shared" si="81"/>
        <v>11922.237500000001</v>
      </c>
      <c r="BM94" s="523">
        <f t="shared" si="81"/>
        <v>15108.6775</v>
      </c>
      <c r="BN94" s="523">
        <f t="shared" si="81"/>
        <v>19384.651761999994</v>
      </c>
      <c r="BO94" s="523">
        <f t="shared" si="81"/>
        <v>22616.378638899998</v>
      </c>
      <c r="BP94" s="523">
        <f t="shared" si="81"/>
        <v>27656.119777810498</v>
      </c>
      <c r="BQ94" s="523">
        <f t="shared" si="81"/>
        <v>32548.671866686302</v>
      </c>
      <c r="BR94" s="523">
        <f t="shared" si="81"/>
        <v>34165.737966671571</v>
      </c>
      <c r="BS94" s="523">
        <f>BS27+BS36+BS45+BS54+BS63</f>
        <v>33965.449991667891</v>
      </c>
      <c r="BT94" s="523">
        <f t="shared" ref="BT94:BZ94" si="82">BT27+BT36+BT45+BT54+BT63+BT72</f>
        <v>43000.029199999997</v>
      </c>
      <c r="BU94" s="523">
        <f t="shared" si="82"/>
        <v>51484.948339999988</v>
      </c>
      <c r="BV94" s="523">
        <f t="shared" si="82"/>
        <v>60198.165789999992</v>
      </c>
      <c r="BW94" s="523">
        <f t="shared" si="82"/>
        <v>69256.005335999987</v>
      </c>
      <c r="BX94" s="523">
        <f t="shared" si="82"/>
        <v>83833.802443999986</v>
      </c>
      <c r="BY94" s="523">
        <f t="shared" si="82"/>
        <v>94986.816442559997</v>
      </c>
      <c r="BZ94" s="523">
        <f t="shared" si="82"/>
        <v>104655.31233191999</v>
      </c>
      <c r="CA94" s="523">
        <f>CA27+CA36+CA45+CA54+CA63+CA72+CA81</f>
        <v>115443.60339915198</v>
      </c>
      <c r="CB94" s="523">
        <f>CB27+CB36+CB45+CB54+CB63+CB72+CB81</f>
        <v>129654.54319999999</v>
      </c>
      <c r="CC94" s="523">
        <f>CC27+CC36+CC45+CC54+CC63+CC72+CC81</f>
        <v>137222.600424</v>
      </c>
      <c r="CD94" s="523">
        <f>CD27+CD36+CD45+CD54+CD63+CD72+CD81</f>
        <v>142135.06380528002</v>
      </c>
      <c r="CE94" s="523">
        <f>CE27+CE36+CE45+CE54+CE63+CE72+CE81</f>
        <v>146380.75635237602</v>
      </c>
      <c r="CF94" s="523">
        <f>CF27+CF36+CF45+CF54+CF63+CF72+CF81+CF90</f>
        <v>156176.9693111628</v>
      </c>
      <c r="CG94" s="523">
        <f>CG27+CG36+CG45+CG54+CG63+CG72+CG81+CG90</f>
        <v>164008.67810895751</v>
      </c>
      <c r="CH94" s="523"/>
      <c r="CI94" s="523"/>
      <c r="CJ94" s="523"/>
      <c r="CK94" s="523"/>
      <c r="CL94" s="523"/>
      <c r="CM94" s="523"/>
      <c r="CN94" s="523"/>
      <c r="CO94" s="523"/>
      <c r="CP94" s="523"/>
      <c r="DF94" s="523">
        <f>SUM(BJ94:BM94)</f>
        <v>39002.915000000001</v>
      </c>
      <c r="DG94" s="523">
        <f>SUM(BN94:BQ94)</f>
        <v>102205.8220453968</v>
      </c>
      <c r="DH94" s="523">
        <f>SUM(BR94:BU94)</f>
        <v>162616.16549833945</v>
      </c>
      <c r="DI94" s="523">
        <f>SUM(BV94:BY94)</f>
        <v>308274.79001255997</v>
      </c>
      <c r="DJ94" s="523">
        <f>SUM(BZ94:CC94)</f>
        <v>486976.05935507192</v>
      </c>
      <c r="DK94" s="523">
        <f>SUM(CD94:CG94)</f>
        <v>608701.46757777629</v>
      </c>
      <c r="DL94" s="523"/>
      <c r="DM94" s="523"/>
    </row>
    <row r="95" spans="1:117">
      <c r="A95" s="519" t="s">
        <v>577</v>
      </c>
      <c r="B95" s="518"/>
      <c r="C95" s="518"/>
      <c r="D95" s="518"/>
      <c r="E95" s="518"/>
      <c r="F95" s="518"/>
      <c r="G95" s="518"/>
      <c r="H95" s="518"/>
      <c r="I95" s="518"/>
      <c r="J95" s="518"/>
      <c r="K95" s="518"/>
      <c r="L95" s="518"/>
      <c r="M95" s="518"/>
      <c r="N95" s="518"/>
      <c r="O95" s="518"/>
      <c r="P95" s="518"/>
      <c r="Q95" s="518"/>
      <c r="R95" s="518"/>
      <c r="S95" s="518"/>
      <c r="T95" s="518"/>
      <c r="U95" s="518"/>
      <c r="V95" s="518"/>
      <c r="W95" s="518"/>
      <c r="X95" s="518"/>
      <c r="Y95" s="518"/>
      <c r="Z95" s="518"/>
      <c r="AA95" s="518"/>
      <c r="AB95" s="518"/>
      <c r="AC95" s="518"/>
      <c r="AD95" s="518"/>
      <c r="AE95" s="518"/>
      <c r="AF95" s="518"/>
      <c r="AG95" s="518"/>
      <c r="AH95" s="518"/>
      <c r="AI95" s="518"/>
      <c r="AJ95" s="518"/>
      <c r="AK95" s="518"/>
      <c r="AL95" s="518"/>
      <c r="AM95" s="518"/>
      <c r="AN95" s="518"/>
      <c r="AO95" s="518"/>
      <c r="AP95" s="518"/>
      <c r="AQ95" s="518"/>
      <c r="AR95" s="518"/>
      <c r="AS95" s="518"/>
      <c r="AT95" s="518"/>
      <c r="AU95" s="518"/>
      <c r="AV95" s="518"/>
      <c r="AW95" s="518"/>
      <c r="AX95" s="518"/>
      <c r="AY95" s="518"/>
      <c r="AZ95" s="518"/>
      <c r="BA95" s="518"/>
      <c r="BB95" s="518"/>
      <c r="BC95" s="518"/>
      <c r="BD95" s="518"/>
      <c r="BE95" s="518"/>
      <c r="BF95" s="518"/>
      <c r="BG95" s="518"/>
      <c r="BH95" s="518"/>
      <c r="BI95" s="518"/>
      <c r="BJ95" s="518"/>
      <c r="BK95" s="524">
        <f t="shared" ref="BK95:CG95" si="83">BK94/BJ94-1</f>
        <v>1.5630952380952383</v>
      </c>
      <c r="BL95" s="524">
        <f t="shared" si="83"/>
        <v>0.38437500000000013</v>
      </c>
      <c r="BM95" s="524">
        <f t="shared" si="83"/>
        <v>0.26726862302483068</v>
      </c>
      <c r="BN95" s="524">
        <f t="shared" si="83"/>
        <v>0.28301446384039863</v>
      </c>
      <c r="BO95" s="524">
        <f t="shared" si="83"/>
        <v>0.16671575618578838</v>
      </c>
      <c r="BP95" s="524">
        <f t="shared" si="83"/>
        <v>0.2228359022183235</v>
      </c>
      <c r="BQ95" s="524">
        <f t="shared" si="83"/>
        <v>0.17690667122440207</v>
      </c>
      <c r="BR95" s="524">
        <f t="shared" si="83"/>
        <v>4.9681477223048942E-2</v>
      </c>
      <c r="BS95" s="524">
        <f t="shared" si="83"/>
        <v>-5.8622464177141564E-3</v>
      </c>
      <c r="BT95" s="524">
        <f t="shared" si="83"/>
        <v>0.26599321400271125</v>
      </c>
      <c r="BU95" s="524">
        <f t="shared" si="83"/>
        <v>0.19732356693376363</v>
      </c>
      <c r="BV95" s="524">
        <f t="shared" si="83"/>
        <v>0.16923815077872928</v>
      </c>
      <c r="BW95" s="524">
        <f t="shared" si="83"/>
        <v>0.15046703545084861</v>
      </c>
      <c r="BX95" s="524">
        <f t="shared" si="83"/>
        <v>0.21049145178493722</v>
      </c>
      <c r="BY95" s="524">
        <f t="shared" si="83"/>
        <v>0.13303719589732421</v>
      </c>
      <c r="BZ95" s="524">
        <f t="shared" si="83"/>
        <v>0.10178776646553556</v>
      </c>
      <c r="CA95" s="524">
        <f t="shared" si="83"/>
        <v>0.10308402723997734</v>
      </c>
      <c r="CB95" s="524">
        <f t="shared" si="83"/>
        <v>0.12309854667055897</v>
      </c>
      <c r="CC95" s="524">
        <f t="shared" si="83"/>
        <v>5.8370937394194078E-2</v>
      </c>
      <c r="CD95" s="524">
        <f t="shared" si="83"/>
        <v>3.579922961743276E-2</v>
      </c>
      <c r="CE95" s="524">
        <f t="shared" si="83"/>
        <v>2.9870831541697784E-2</v>
      </c>
      <c r="CF95" s="524">
        <f t="shared" si="83"/>
        <v>6.6922819658103094E-2</v>
      </c>
      <c r="CG95" s="524">
        <f t="shared" si="83"/>
        <v>5.0146374541248928E-2</v>
      </c>
      <c r="CH95" s="524"/>
      <c r="CI95" s="524"/>
      <c r="CJ95" s="524"/>
      <c r="CK95" s="524"/>
      <c r="CL95" s="524"/>
      <c r="CM95" s="524"/>
      <c r="CN95" s="524"/>
      <c r="CO95" s="524"/>
      <c r="CP95" s="518"/>
      <c r="DF95" s="521" t="s">
        <v>224</v>
      </c>
      <c r="DG95" s="521" t="s">
        <v>224</v>
      </c>
      <c r="DH95" s="521" t="s">
        <v>224</v>
      </c>
      <c r="DI95" s="521" t="s">
        <v>224</v>
      </c>
      <c r="DJ95" s="521" t="s">
        <v>224</v>
      </c>
      <c r="DK95" s="521" t="s">
        <v>224</v>
      </c>
      <c r="DL95" s="521"/>
      <c r="DM95" s="521"/>
    </row>
    <row r="96" spans="1:117">
      <c r="A96" s="519" t="s">
        <v>578</v>
      </c>
      <c r="B96" s="518"/>
      <c r="C96" s="518"/>
      <c r="D96" s="518"/>
      <c r="E96" s="518"/>
      <c r="F96" s="518"/>
      <c r="G96" s="518"/>
      <c r="H96" s="518"/>
      <c r="I96" s="518"/>
      <c r="J96" s="518"/>
      <c r="K96" s="518"/>
      <c r="L96" s="518"/>
      <c r="M96" s="518"/>
      <c r="N96" s="518"/>
      <c r="O96" s="518"/>
      <c r="P96" s="518"/>
      <c r="Q96" s="518"/>
      <c r="R96" s="518"/>
      <c r="S96" s="518"/>
      <c r="T96" s="518"/>
      <c r="U96" s="518"/>
      <c r="V96" s="518"/>
      <c r="W96" s="518"/>
      <c r="X96" s="518"/>
      <c r="Y96" s="518"/>
      <c r="Z96" s="518"/>
      <c r="AA96" s="518"/>
      <c r="AB96" s="518"/>
      <c r="AC96" s="518"/>
      <c r="AD96" s="518"/>
      <c r="AE96" s="518"/>
      <c r="AF96" s="518"/>
      <c r="AG96" s="518"/>
      <c r="AH96" s="518"/>
      <c r="AI96" s="518"/>
      <c r="AJ96" s="518"/>
      <c r="AK96" s="518"/>
      <c r="AL96" s="518"/>
      <c r="AM96" s="518"/>
      <c r="AN96" s="518"/>
      <c r="AO96" s="518"/>
      <c r="AP96" s="518"/>
      <c r="AQ96" s="518"/>
      <c r="AR96" s="518"/>
      <c r="AS96" s="518"/>
      <c r="AT96" s="518"/>
      <c r="AU96" s="518"/>
      <c r="AV96" s="518"/>
      <c r="AW96" s="518"/>
      <c r="AX96" s="518"/>
      <c r="AY96" s="518"/>
      <c r="AZ96" s="518"/>
      <c r="BA96" s="518"/>
      <c r="BB96" s="518"/>
      <c r="BC96" s="518"/>
      <c r="BD96" s="518"/>
      <c r="BE96" s="518"/>
      <c r="BF96" s="518"/>
      <c r="BG96" s="518"/>
      <c r="BH96" s="518"/>
      <c r="BI96" s="518"/>
      <c r="BJ96" s="518"/>
      <c r="BK96" s="518"/>
      <c r="BL96" s="518"/>
      <c r="BM96" s="518"/>
      <c r="BN96" s="524">
        <f t="shared" ref="BN96:CG96" si="84">BN94/BJ94-1</f>
        <v>4.7692415958333312</v>
      </c>
      <c r="BO96" s="524">
        <f t="shared" si="84"/>
        <v>1.6261470783673939</v>
      </c>
      <c r="BP96" s="524">
        <f t="shared" si="84"/>
        <v>1.3197088447374492</v>
      </c>
      <c r="BQ96" s="524">
        <f t="shared" si="84"/>
        <v>1.1543031722456383</v>
      </c>
      <c r="BR96" s="524">
        <f t="shared" si="84"/>
        <v>0.76251492088432293</v>
      </c>
      <c r="BS96" s="524">
        <f t="shared" si="84"/>
        <v>0.50180762950473312</v>
      </c>
      <c r="BT96" s="524">
        <f t="shared" si="84"/>
        <v>0.55481063668593422</v>
      </c>
      <c r="BU96" s="524">
        <f t="shared" si="84"/>
        <v>0.58178338430745757</v>
      </c>
      <c r="BV96" s="524">
        <f t="shared" si="84"/>
        <v>0.76194542757199812</v>
      </c>
      <c r="BW96" s="524">
        <f t="shared" si="84"/>
        <v>1.0390133312819136</v>
      </c>
      <c r="BX96" s="524">
        <f t="shared" si="84"/>
        <v>0.94962198872181203</v>
      </c>
      <c r="BY96" s="524">
        <f t="shared" si="84"/>
        <v>0.84494341560331887</v>
      </c>
      <c r="BZ96" s="524">
        <f t="shared" si="84"/>
        <v>0.73851330781419167</v>
      </c>
      <c r="CA96" s="524">
        <f t="shared" si="84"/>
        <v>0.66691109080100519</v>
      </c>
      <c r="CB96" s="524">
        <f t="shared" si="84"/>
        <v>0.54656641378765713</v>
      </c>
      <c r="CC96" s="524">
        <f t="shared" si="84"/>
        <v>0.44464890564029624</v>
      </c>
      <c r="CD96" s="524">
        <f t="shared" si="84"/>
        <v>0.3581256473105825</v>
      </c>
      <c r="CE96" s="524">
        <f t="shared" si="84"/>
        <v>0.26798499043950752</v>
      </c>
      <c r="CF96" s="524">
        <f t="shared" si="84"/>
        <v>0.20456225795536032</v>
      </c>
      <c r="CG96" s="524">
        <f t="shared" si="84"/>
        <v>0.19520164755799696</v>
      </c>
      <c r="CH96" s="524"/>
      <c r="CI96" s="524"/>
      <c r="CJ96" s="524"/>
      <c r="CK96" s="524"/>
      <c r="CL96" s="524"/>
      <c r="CM96" s="524"/>
      <c r="CN96" s="524"/>
      <c r="CO96" s="524"/>
      <c r="CP96" s="518"/>
      <c r="DF96" s="521" t="s">
        <v>224</v>
      </c>
      <c r="DG96" s="524">
        <f>DG94/DF94-1</f>
        <v>1.6204662406744932</v>
      </c>
      <c r="DH96" s="524">
        <f>DH94/DG94-1</f>
        <v>0.5910655796703066</v>
      </c>
      <c r="DI96" s="524">
        <f>DI94/DH94-1</f>
        <v>0.89572044739738921</v>
      </c>
      <c r="DJ96" s="524">
        <f>DJ94/DI94-1</f>
        <v>0.57968174866076838</v>
      </c>
      <c r="DK96" s="524">
        <f>DK94/DJ94-1</f>
        <v>0.24996179151786579</v>
      </c>
      <c r="DL96" s="524"/>
      <c r="DM96" s="524"/>
    </row>
    <row r="97" spans="1:117">
      <c r="A97" s="522" t="s">
        <v>595</v>
      </c>
      <c r="B97" s="523"/>
      <c r="C97" s="523"/>
      <c r="D97" s="523"/>
      <c r="E97" s="523"/>
      <c r="F97" s="523"/>
      <c r="G97" s="523"/>
      <c r="H97" s="523"/>
      <c r="I97" s="523"/>
      <c r="J97" s="523"/>
      <c r="K97" s="523"/>
      <c r="L97" s="523"/>
      <c r="M97" s="523"/>
      <c r="N97" s="523"/>
      <c r="O97" s="523"/>
      <c r="P97" s="523"/>
      <c r="Q97" s="523"/>
      <c r="R97" s="523"/>
      <c r="S97" s="523"/>
      <c r="T97" s="523"/>
      <c r="U97" s="523"/>
      <c r="V97" s="523"/>
      <c r="W97" s="523"/>
      <c r="X97" s="523"/>
      <c r="Y97" s="523"/>
      <c r="Z97" s="523"/>
      <c r="AA97" s="523"/>
      <c r="AB97" s="523"/>
      <c r="AC97" s="523"/>
      <c r="AD97" s="523"/>
      <c r="AE97" s="523"/>
      <c r="AF97" s="523"/>
      <c r="AG97" s="523"/>
      <c r="AH97" s="523"/>
      <c r="AI97" s="523"/>
      <c r="AJ97" s="523"/>
      <c r="AK97" s="523"/>
      <c r="AL97" s="523"/>
      <c r="AM97" s="523"/>
      <c r="AN97" s="523"/>
      <c r="AO97" s="523"/>
      <c r="AP97" s="523"/>
      <c r="AQ97" s="523"/>
      <c r="AR97" s="523"/>
      <c r="AS97" s="523"/>
      <c r="AT97" s="523"/>
      <c r="AU97" s="523"/>
      <c r="AV97" s="523"/>
      <c r="AW97" s="523"/>
      <c r="AX97" s="523"/>
      <c r="AY97" s="523"/>
      <c r="AZ97" s="523"/>
      <c r="BA97" s="523"/>
      <c r="BB97" s="523"/>
      <c r="BC97" s="523"/>
      <c r="BD97" s="523"/>
      <c r="BE97" s="523"/>
      <c r="BF97" s="523"/>
      <c r="BG97" s="523"/>
      <c r="BH97" s="523"/>
      <c r="BI97" s="523"/>
      <c r="BJ97" s="523">
        <f t="shared" ref="BJ97:BR97" si="85">BJ22+BJ31+BJ40+BJ49</f>
        <v>174</v>
      </c>
      <c r="BK97" s="523">
        <f t="shared" si="85"/>
        <v>430.6</v>
      </c>
      <c r="BL97" s="523">
        <f t="shared" si="85"/>
        <v>561.28710000000001</v>
      </c>
      <c r="BM97" s="523">
        <f t="shared" si="85"/>
        <v>680.30493999999999</v>
      </c>
      <c r="BN97" s="523">
        <f t="shared" si="85"/>
        <v>843.74812647999988</v>
      </c>
      <c r="BO97" s="523">
        <f t="shared" si="85"/>
        <v>888.29135115599991</v>
      </c>
      <c r="BP97" s="523">
        <f t="shared" si="85"/>
        <v>1057.0447911124199</v>
      </c>
      <c r="BQ97" s="523">
        <f t="shared" si="85"/>
        <v>1130.6268746674518</v>
      </c>
      <c r="BR97" s="523">
        <f t="shared" si="85"/>
        <v>1064.2047186668628</v>
      </c>
      <c r="BS97" s="523">
        <f>BS22+BS31+BS40+BS49+BS58</f>
        <v>981.31287966671573</v>
      </c>
      <c r="BT97" s="523">
        <f t="shared" ref="BT97:BZ97" si="86">BT22+BT31+BT40+BT49+BT58+BT67</f>
        <v>1172.73208</v>
      </c>
      <c r="BU97" s="523">
        <f t="shared" si="86"/>
        <v>1381.5103959999999</v>
      </c>
      <c r="BV97" s="523">
        <f t="shared" si="86"/>
        <v>1591.5395299999998</v>
      </c>
      <c r="BW97" s="523">
        <f t="shared" si="86"/>
        <v>1815.1849295999998</v>
      </c>
      <c r="BX97" s="523">
        <f t="shared" si="86"/>
        <v>2170.2106407999995</v>
      </c>
      <c r="BY97" s="523">
        <f t="shared" si="86"/>
        <v>2336.2809465599998</v>
      </c>
      <c r="BZ97" s="523">
        <f t="shared" si="86"/>
        <v>2486.6107099199999</v>
      </c>
      <c r="CA97" s="523">
        <f t="shared" ref="CA97:CG97" si="87">CA22+CA31+CA40+CA49+CA58+CA67+CA76+CA85</f>
        <v>2611.1184259519996</v>
      </c>
      <c r="CB97" s="523">
        <f t="shared" si="87"/>
        <v>2754.5504000000001</v>
      </c>
      <c r="CC97" s="523">
        <f t="shared" si="87"/>
        <v>2876.2313279999998</v>
      </c>
      <c r="CD97" s="523">
        <f t="shared" si="87"/>
        <v>2936.7165561600004</v>
      </c>
      <c r="CE97" s="523">
        <f t="shared" si="87"/>
        <v>2968.2752502720004</v>
      </c>
      <c r="CF97" s="523">
        <f t="shared" si="87"/>
        <v>3106.2216840816</v>
      </c>
      <c r="CG97" s="523">
        <f t="shared" si="87"/>
        <v>3140.5330291499999</v>
      </c>
      <c r="CH97" s="523"/>
      <c r="CI97" s="523"/>
      <c r="CJ97" s="523"/>
      <c r="CK97" s="523"/>
      <c r="CL97" s="523"/>
      <c r="CM97" s="523"/>
      <c r="CN97" s="523"/>
      <c r="CO97" s="523"/>
      <c r="CP97" s="523"/>
      <c r="DF97" s="523">
        <f>SUM(BJ97:BM97)</f>
        <v>1846.1920399999999</v>
      </c>
      <c r="DG97" s="523">
        <f>SUM(BN97:BQ97)</f>
        <v>3919.7111434158719</v>
      </c>
      <c r="DH97" s="523">
        <f>SUM(BR97:BU97)</f>
        <v>4599.7600743335779</v>
      </c>
      <c r="DI97" s="523">
        <f>SUM(BV97:BY97)</f>
        <v>7913.2160469599985</v>
      </c>
      <c r="DJ97" s="523">
        <f>SUM(BZ97:CC97)</f>
        <v>10728.510863871999</v>
      </c>
      <c r="DK97" s="523">
        <f>SUM(CD97:CG97)</f>
        <v>12151.7465196636</v>
      </c>
      <c r="DL97" s="523"/>
      <c r="DM97" s="523"/>
    </row>
    <row r="98" spans="1:117">
      <c r="A98" s="519" t="s">
        <v>577</v>
      </c>
      <c r="B98" s="518"/>
      <c r="C98" s="518"/>
      <c r="D98" s="518"/>
      <c r="E98" s="518"/>
      <c r="F98" s="518"/>
      <c r="G98" s="518"/>
      <c r="H98" s="518"/>
      <c r="I98" s="518"/>
      <c r="J98" s="518"/>
      <c r="K98" s="518"/>
      <c r="L98" s="518"/>
      <c r="M98" s="518"/>
      <c r="N98" s="518"/>
      <c r="O98" s="518"/>
      <c r="P98" s="518"/>
      <c r="Q98" s="518"/>
      <c r="R98" s="518"/>
      <c r="S98" s="518"/>
      <c r="T98" s="518"/>
      <c r="U98" s="518"/>
      <c r="V98" s="518"/>
      <c r="W98" s="518"/>
      <c r="X98" s="518"/>
      <c r="Y98" s="518"/>
      <c r="Z98" s="518"/>
      <c r="AA98" s="518"/>
      <c r="AB98" s="518"/>
      <c r="AC98" s="518"/>
      <c r="AD98" s="518"/>
      <c r="AE98" s="518"/>
      <c r="AF98" s="518"/>
      <c r="AG98" s="518"/>
      <c r="AH98" s="518"/>
      <c r="AI98" s="518"/>
      <c r="AJ98" s="518"/>
      <c r="AK98" s="518"/>
      <c r="AL98" s="518"/>
      <c r="AM98" s="518"/>
      <c r="AN98" s="518"/>
      <c r="AO98" s="518"/>
      <c r="AP98" s="518"/>
      <c r="AQ98" s="518"/>
      <c r="AR98" s="518"/>
      <c r="AS98" s="518"/>
      <c r="AT98" s="518"/>
      <c r="AU98" s="518"/>
      <c r="AV98" s="518"/>
      <c r="AW98" s="518"/>
      <c r="AX98" s="518"/>
      <c r="AY98" s="518"/>
      <c r="AZ98" s="518"/>
      <c r="BA98" s="518"/>
      <c r="BB98" s="518"/>
      <c r="BC98" s="518"/>
      <c r="BD98" s="518"/>
      <c r="BE98" s="518"/>
      <c r="BF98" s="518"/>
      <c r="BG98" s="518"/>
      <c r="BH98" s="518"/>
      <c r="BI98" s="518"/>
      <c r="BJ98" s="518"/>
      <c r="BK98" s="524">
        <f t="shared" ref="BK98:CG98" si="88">BK97/BJ97-1</f>
        <v>1.4747126436781612</v>
      </c>
      <c r="BL98" s="524">
        <f t="shared" si="88"/>
        <v>0.30349999999999988</v>
      </c>
      <c r="BM98" s="524">
        <f t="shared" si="88"/>
        <v>0.21204449558879945</v>
      </c>
      <c r="BN98" s="524">
        <f t="shared" si="88"/>
        <v>0.24024988923349566</v>
      </c>
      <c r="BO98" s="524">
        <f t="shared" si="88"/>
        <v>5.2792087209518446E-2</v>
      </c>
      <c r="BP98" s="524">
        <f t="shared" si="88"/>
        <v>0.18997532705548537</v>
      </c>
      <c r="BQ98" s="524">
        <f t="shared" si="88"/>
        <v>6.9611131121127823E-2</v>
      </c>
      <c r="BR98" s="524">
        <f t="shared" si="88"/>
        <v>-5.8748078158079808E-2</v>
      </c>
      <c r="BS98" s="524">
        <f t="shared" si="88"/>
        <v>-7.7890877146256532E-2</v>
      </c>
      <c r="BT98" s="524">
        <f t="shared" si="88"/>
        <v>0.19506439210121873</v>
      </c>
      <c r="BU98" s="524">
        <f t="shared" si="88"/>
        <v>0.17802729162145869</v>
      </c>
      <c r="BV98" s="524">
        <f t="shared" si="88"/>
        <v>0.15202863084354235</v>
      </c>
      <c r="BW98" s="524">
        <f t="shared" si="88"/>
        <v>0.14052142305255844</v>
      </c>
      <c r="BX98" s="524">
        <f t="shared" si="88"/>
        <v>0.19558652422165834</v>
      </c>
      <c r="BY98" s="524">
        <f t="shared" si="88"/>
        <v>7.6522666803800377E-2</v>
      </c>
      <c r="BZ98" s="524">
        <f t="shared" si="88"/>
        <v>6.4345755839574581E-2</v>
      </c>
      <c r="CA98" s="524">
        <f t="shared" si="88"/>
        <v>5.007125382967792E-2</v>
      </c>
      <c r="CB98" s="524">
        <f t="shared" si="88"/>
        <v>5.4931240430317052E-2</v>
      </c>
      <c r="CC98" s="524">
        <f t="shared" si="88"/>
        <v>4.4174515013411852E-2</v>
      </c>
      <c r="CD98" s="524">
        <f t="shared" si="88"/>
        <v>2.1029333618328705E-2</v>
      </c>
      <c r="CE98" s="524">
        <f t="shared" si="88"/>
        <v>1.0746251300896903E-2</v>
      </c>
      <c r="CF98" s="524">
        <f t="shared" si="88"/>
        <v>4.6473599035991908E-2</v>
      </c>
      <c r="CG98" s="524">
        <f t="shared" si="88"/>
        <v>1.1046006550091025E-2</v>
      </c>
      <c r="CH98" s="524"/>
      <c r="CI98" s="524"/>
      <c r="CJ98" s="524"/>
      <c r="CK98" s="524"/>
      <c r="CL98" s="524"/>
      <c r="CM98" s="524"/>
      <c r="CN98" s="524"/>
      <c r="CO98" s="524"/>
      <c r="CP98" s="518"/>
      <c r="DF98" s="521" t="s">
        <v>224</v>
      </c>
      <c r="DG98" s="521" t="s">
        <v>224</v>
      </c>
      <c r="DH98" s="521" t="s">
        <v>224</v>
      </c>
      <c r="DI98" s="521" t="s">
        <v>224</v>
      </c>
      <c r="DJ98" s="521" t="s">
        <v>224</v>
      </c>
      <c r="DK98" s="521" t="s">
        <v>224</v>
      </c>
      <c r="DL98" s="521"/>
      <c r="DM98" s="521"/>
    </row>
    <row r="99" spans="1:117">
      <c r="A99" s="519" t="s">
        <v>578</v>
      </c>
      <c r="B99" s="518"/>
      <c r="C99" s="518"/>
      <c r="D99" s="518"/>
      <c r="E99" s="518"/>
      <c r="F99" s="518"/>
      <c r="G99" s="518"/>
      <c r="H99" s="518"/>
      <c r="I99" s="518"/>
      <c r="J99" s="518"/>
      <c r="K99" s="518"/>
      <c r="L99" s="518"/>
      <c r="M99" s="518"/>
      <c r="N99" s="518"/>
      <c r="O99" s="518"/>
      <c r="P99" s="518"/>
      <c r="Q99" s="518"/>
      <c r="R99" s="518"/>
      <c r="S99" s="518"/>
      <c r="T99" s="518"/>
      <c r="U99" s="518"/>
      <c r="V99" s="518"/>
      <c r="W99" s="518"/>
      <c r="X99" s="518"/>
      <c r="Y99" s="518"/>
      <c r="Z99" s="518"/>
      <c r="AA99" s="518"/>
      <c r="AB99" s="518"/>
      <c r="AC99" s="518"/>
      <c r="AD99" s="518"/>
      <c r="AE99" s="518"/>
      <c r="AF99" s="518"/>
      <c r="AG99" s="518"/>
      <c r="AH99" s="518"/>
      <c r="AI99" s="518"/>
      <c r="AJ99" s="518"/>
      <c r="AK99" s="518"/>
      <c r="AL99" s="518"/>
      <c r="AM99" s="518"/>
      <c r="AN99" s="518"/>
      <c r="AO99" s="518"/>
      <c r="AP99" s="518"/>
      <c r="AQ99" s="518"/>
      <c r="AR99" s="518"/>
      <c r="AS99" s="518"/>
      <c r="AT99" s="518"/>
      <c r="AU99" s="518"/>
      <c r="AV99" s="518"/>
      <c r="AW99" s="518"/>
      <c r="AX99" s="518"/>
      <c r="AY99" s="518"/>
      <c r="AZ99" s="518"/>
      <c r="BA99" s="518"/>
      <c r="BB99" s="518"/>
      <c r="BC99" s="518"/>
      <c r="BD99" s="518"/>
      <c r="BE99" s="518"/>
      <c r="BF99" s="518"/>
      <c r="BG99" s="518"/>
      <c r="BH99" s="518"/>
      <c r="BI99" s="518"/>
      <c r="BJ99" s="518"/>
      <c r="BK99" s="518"/>
      <c r="BL99" s="518"/>
      <c r="BM99" s="518"/>
      <c r="BN99" s="524">
        <f t="shared" ref="BN99:CG99" si="89">BN97/BJ97-1</f>
        <v>3.8491271636781601</v>
      </c>
      <c r="BO99" s="524">
        <f t="shared" si="89"/>
        <v>1.0629153533581048</v>
      </c>
      <c r="BP99" s="524">
        <f t="shared" si="89"/>
        <v>0.88325153225937303</v>
      </c>
      <c r="BQ99" s="524">
        <f t="shared" si="89"/>
        <v>0.6619412974826433</v>
      </c>
      <c r="BR99" s="524">
        <f t="shared" si="89"/>
        <v>0.26128246720567816</v>
      </c>
      <c r="BS99" s="524">
        <f t="shared" si="89"/>
        <v>0.10471961523621731</v>
      </c>
      <c r="BT99" s="524">
        <f t="shared" si="89"/>
        <v>0.10944407451819727</v>
      </c>
      <c r="BU99" s="524">
        <f t="shared" si="89"/>
        <v>0.22189771617302112</v>
      </c>
      <c r="BV99" s="524">
        <f t="shared" si="89"/>
        <v>0.49552008376145262</v>
      </c>
      <c r="BW99" s="524">
        <f t="shared" si="89"/>
        <v>0.84975145767626414</v>
      </c>
      <c r="BX99" s="524">
        <f t="shared" si="89"/>
        <v>0.85055962722534173</v>
      </c>
      <c r="BY99" s="524">
        <f t="shared" si="89"/>
        <v>0.69110630895317571</v>
      </c>
      <c r="BZ99" s="524">
        <f t="shared" si="89"/>
        <v>0.56239330726519876</v>
      </c>
      <c r="CA99" s="524">
        <f t="shared" si="89"/>
        <v>0.43848617480941421</v>
      </c>
      <c r="CB99" s="524">
        <f t="shared" si="89"/>
        <v>0.2692548585904071</v>
      </c>
      <c r="CC99" s="524">
        <f t="shared" si="89"/>
        <v>0.23111534690852853</v>
      </c>
      <c r="CD99" s="524">
        <f t="shared" si="89"/>
        <v>0.18101178622144731</v>
      </c>
      <c r="CE99" s="524">
        <f t="shared" si="89"/>
        <v>0.13678308144517937</v>
      </c>
      <c r="CF99" s="524">
        <f t="shared" si="89"/>
        <v>0.1276692138512332</v>
      </c>
      <c r="CG99" s="524">
        <f t="shared" si="89"/>
        <v>9.1891670387229674E-2</v>
      </c>
      <c r="CH99" s="524"/>
      <c r="CI99" s="524"/>
      <c r="CJ99" s="524"/>
      <c r="CK99" s="524"/>
      <c r="CL99" s="524"/>
      <c r="CM99" s="524"/>
      <c r="CN99" s="524"/>
      <c r="CO99" s="524"/>
      <c r="CP99" s="518"/>
      <c r="DF99" s="521" t="s">
        <v>224</v>
      </c>
      <c r="DG99" s="524">
        <f>DG97/DF97-1</f>
        <v>1.1231329452681815</v>
      </c>
      <c r="DH99" s="524">
        <f>DH97/DG97-1</f>
        <v>0.1734946545895395</v>
      </c>
      <c r="DI99" s="524">
        <f>DI97/DH97-1</f>
        <v>0.72035408783934907</v>
      </c>
      <c r="DJ99" s="524">
        <f>DJ97/DI97-1</f>
        <v>0.35577125661740849</v>
      </c>
      <c r="DK99" s="524">
        <f>DK97/DJ97-1</f>
        <v>0.13265919882546906</v>
      </c>
      <c r="DL99" s="524"/>
      <c r="DM99" s="524"/>
    </row>
    <row r="100" spans="1:117">
      <c r="A100" s="522" t="s">
        <v>596</v>
      </c>
      <c r="B100" s="534"/>
      <c r="C100" s="534"/>
      <c r="D100" s="534"/>
      <c r="E100" s="534"/>
      <c r="F100" s="534"/>
      <c r="G100" s="534"/>
      <c r="H100" s="534"/>
      <c r="I100" s="534"/>
      <c r="J100" s="534"/>
      <c r="K100" s="534"/>
      <c r="L100" s="534"/>
      <c r="M100" s="534"/>
      <c r="N100" s="534"/>
      <c r="O100" s="534"/>
      <c r="P100" s="534"/>
      <c r="Q100" s="534"/>
      <c r="R100" s="534"/>
      <c r="S100" s="534"/>
      <c r="T100" s="534"/>
      <c r="U100" s="534"/>
      <c r="V100" s="534"/>
      <c r="W100" s="534"/>
      <c r="X100" s="534"/>
      <c r="Y100" s="534"/>
      <c r="Z100" s="534"/>
      <c r="AA100" s="534"/>
      <c r="AB100" s="534"/>
      <c r="AC100" s="534"/>
      <c r="AD100" s="534"/>
      <c r="AE100" s="534"/>
      <c r="AF100" s="534"/>
      <c r="AG100" s="534"/>
      <c r="AH100" s="534"/>
      <c r="AI100" s="534"/>
      <c r="AJ100" s="534"/>
      <c r="AK100" s="534"/>
      <c r="AL100" s="534"/>
      <c r="AM100" s="534"/>
      <c r="AN100" s="534"/>
      <c r="AO100" s="534"/>
      <c r="AP100" s="534"/>
      <c r="AQ100" s="534"/>
      <c r="AR100" s="534"/>
      <c r="AS100" s="534"/>
      <c r="AT100" s="534"/>
      <c r="AU100" s="534"/>
      <c r="AV100" s="534"/>
      <c r="AW100" s="534"/>
      <c r="AX100" s="534"/>
      <c r="AY100" s="534"/>
      <c r="AZ100" s="534"/>
      <c r="BA100" s="534"/>
      <c r="BB100" s="534"/>
      <c r="BC100" s="534"/>
      <c r="BD100" s="534"/>
      <c r="BE100" s="534"/>
      <c r="BF100" s="534"/>
      <c r="BG100" s="534"/>
      <c r="BH100" s="534"/>
      <c r="BI100" s="534"/>
      <c r="BJ100" s="534">
        <f t="shared" ref="BJ100:CG100" si="90">BJ94/BJ97*1000</f>
        <v>19310.344827586207</v>
      </c>
      <c r="BK100" s="534">
        <f t="shared" si="90"/>
        <v>20000</v>
      </c>
      <c r="BL100" s="534">
        <f t="shared" si="90"/>
        <v>21240.88991177599</v>
      </c>
      <c r="BM100" s="534">
        <f t="shared" si="90"/>
        <v>22208.684093929995</v>
      </c>
      <c r="BN100" s="534">
        <f t="shared" si="90"/>
        <v>22974.453102337626</v>
      </c>
      <c r="BO100" s="534">
        <f t="shared" si="90"/>
        <v>25460.541307159656</v>
      </c>
      <c r="BP100" s="534">
        <f t="shared" si="90"/>
        <v>26163.621457048725</v>
      </c>
      <c r="BQ100" s="534">
        <f t="shared" si="90"/>
        <v>28788.163978730609</v>
      </c>
      <c r="BR100" s="534">
        <f t="shared" si="90"/>
        <v>32104.478929083532</v>
      </c>
      <c r="BS100" s="534">
        <f t="shared" si="90"/>
        <v>34612.2533347403</v>
      </c>
      <c r="BT100" s="534">
        <f t="shared" si="90"/>
        <v>36666.541261495971</v>
      </c>
      <c r="BU100" s="534">
        <f t="shared" si="90"/>
        <v>37267.145067506244</v>
      </c>
      <c r="BV100" s="534">
        <f t="shared" si="90"/>
        <v>37823.858380696329</v>
      </c>
      <c r="BW100" s="534">
        <f t="shared" si="90"/>
        <v>38153.691233686841</v>
      </c>
      <c r="BX100" s="534">
        <f t="shared" si="90"/>
        <v>38629.338953520448</v>
      </c>
      <c r="BY100" s="534">
        <f t="shared" si="90"/>
        <v>40657.274794977478</v>
      </c>
      <c r="BZ100" s="534">
        <f t="shared" si="90"/>
        <v>42087.533812354166</v>
      </c>
      <c r="CA100" s="534">
        <f t="shared" si="90"/>
        <v>44212.319997344377</v>
      </c>
      <c r="CB100" s="534">
        <f t="shared" si="90"/>
        <v>47069.22160509388</v>
      </c>
      <c r="CC100" s="534">
        <f t="shared" si="90"/>
        <v>47709.166883811929</v>
      </c>
      <c r="CD100" s="534">
        <f t="shared" si="90"/>
        <v>48399.31300388532</v>
      </c>
      <c r="CE100" s="534">
        <f t="shared" si="90"/>
        <v>49315.088396523301</v>
      </c>
      <c r="CF100" s="534">
        <f t="shared" si="90"/>
        <v>50278.758309981604</v>
      </c>
      <c r="CG100" s="534">
        <f t="shared" si="90"/>
        <v>52223.19796883245</v>
      </c>
      <c r="CH100" s="534"/>
      <c r="CI100" s="534"/>
      <c r="CJ100" s="534"/>
      <c r="CK100" s="534"/>
      <c r="CL100" s="534"/>
      <c r="CM100" s="534"/>
      <c r="CN100" s="534"/>
      <c r="CO100" s="534"/>
      <c r="CP100" s="523"/>
      <c r="DF100" s="535">
        <f t="shared" ref="DF100:DK100" si="91">DF94/DF97*1000</f>
        <v>21126.141893667791</v>
      </c>
      <c r="DG100" s="535">
        <f t="shared" si="91"/>
        <v>26074.835187046079</v>
      </c>
      <c r="DH100" s="535">
        <f t="shared" si="91"/>
        <v>35353.184268398953</v>
      </c>
      <c r="DI100" s="535">
        <f t="shared" si="91"/>
        <v>38956.95355505796</v>
      </c>
      <c r="DJ100" s="535">
        <f t="shared" si="91"/>
        <v>45390.834341693408</v>
      </c>
      <c r="DK100" s="535">
        <f t="shared" si="91"/>
        <v>50091.685717175998</v>
      </c>
      <c r="DL100" s="535"/>
      <c r="DM100" s="535"/>
    </row>
    <row r="101" spans="1:117">
      <c r="A101" s="519" t="s">
        <v>577</v>
      </c>
      <c r="B101" s="518"/>
      <c r="C101" s="518"/>
      <c r="D101" s="518"/>
      <c r="E101" s="518"/>
      <c r="F101" s="518"/>
      <c r="G101" s="518"/>
      <c r="H101" s="518"/>
      <c r="I101" s="518"/>
      <c r="J101" s="518"/>
      <c r="K101" s="518"/>
      <c r="L101" s="518"/>
      <c r="M101" s="518"/>
      <c r="N101" s="518"/>
      <c r="O101" s="518"/>
      <c r="P101" s="518"/>
      <c r="Q101" s="518"/>
      <c r="R101" s="518"/>
      <c r="S101" s="518"/>
      <c r="T101" s="518"/>
      <c r="U101" s="518"/>
      <c r="V101" s="518"/>
      <c r="W101" s="518"/>
      <c r="X101" s="518"/>
      <c r="Y101" s="518"/>
      <c r="Z101" s="518"/>
      <c r="AA101" s="518"/>
      <c r="AB101" s="518"/>
      <c r="AC101" s="518"/>
      <c r="AD101" s="518"/>
      <c r="AE101" s="518"/>
      <c r="AF101" s="518"/>
      <c r="AG101" s="518"/>
      <c r="AH101" s="518"/>
      <c r="AI101" s="518"/>
      <c r="AJ101" s="518"/>
      <c r="AK101" s="518"/>
      <c r="AL101" s="518"/>
      <c r="AM101" s="518"/>
      <c r="AN101" s="518"/>
      <c r="AO101" s="518"/>
      <c r="AP101" s="518"/>
      <c r="AQ101" s="518"/>
      <c r="AR101" s="518"/>
      <c r="AS101" s="518"/>
      <c r="AT101" s="518"/>
      <c r="AU101" s="518"/>
      <c r="AV101" s="518"/>
      <c r="AW101" s="518"/>
      <c r="AX101" s="518"/>
      <c r="AY101" s="518"/>
      <c r="AZ101" s="518"/>
      <c r="BA101" s="518"/>
      <c r="BB101" s="518"/>
      <c r="BC101" s="518"/>
      <c r="BD101" s="518"/>
      <c r="BE101" s="518"/>
      <c r="BF101" s="518"/>
      <c r="BG101" s="518"/>
      <c r="BH101" s="518"/>
      <c r="BI101" s="518"/>
      <c r="BJ101" s="518"/>
      <c r="BK101" s="524">
        <f t="shared" ref="BK101:CG101" si="92">BK100/BJ100-1</f>
        <v>3.5714285714285809E-2</v>
      </c>
      <c r="BL101" s="524">
        <f t="shared" si="92"/>
        <v>6.2044495588799542E-2</v>
      </c>
      <c r="BM101" s="524">
        <f t="shared" si="92"/>
        <v>4.5562788855539216E-2</v>
      </c>
      <c r="BN101" s="524">
        <f t="shared" si="92"/>
        <v>3.4480611510743664E-2</v>
      </c>
      <c r="BO101" s="524">
        <f t="shared" si="92"/>
        <v>0.10821098520813432</v>
      </c>
      <c r="BP101" s="524">
        <f t="shared" si="92"/>
        <v>2.7614501255374346E-2</v>
      </c>
      <c r="BQ101" s="524">
        <f t="shared" si="92"/>
        <v>0.10031266222034452</v>
      </c>
      <c r="BR101" s="524">
        <f t="shared" si="92"/>
        <v>0.11519716758606413</v>
      </c>
      <c r="BS101" s="524">
        <f t="shared" si="92"/>
        <v>7.811291412628929E-2</v>
      </c>
      <c r="BT101" s="524">
        <f t="shared" si="92"/>
        <v>5.9351464548937249E-2</v>
      </c>
      <c r="BU101" s="524">
        <f t="shared" si="92"/>
        <v>1.6380159822736662E-2</v>
      </c>
      <c r="BV101" s="524">
        <f t="shared" si="92"/>
        <v>1.4938448120499936E-2</v>
      </c>
      <c r="BW101" s="524">
        <f t="shared" si="92"/>
        <v>8.7202328665350048E-3</v>
      </c>
      <c r="BX101" s="524">
        <f t="shared" si="92"/>
        <v>1.2466623921662645E-2</v>
      </c>
      <c r="BY101" s="524">
        <f t="shared" si="92"/>
        <v>5.2497296003358507E-2</v>
      </c>
      <c r="BZ101" s="524">
        <f t="shared" si="92"/>
        <v>3.5178428081789948E-2</v>
      </c>
      <c r="CA101" s="524">
        <f t="shared" si="92"/>
        <v>5.0484929681636759E-2</v>
      </c>
      <c r="CB101" s="524">
        <f t="shared" si="92"/>
        <v>6.4617771877184982E-2</v>
      </c>
      <c r="CC101" s="524">
        <f t="shared" si="92"/>
        <v>1.3595833049611983E-2</v>
      </c>
      <c r="CD101" s="524">
        <f t="shared" si="92"/>
        <v>1.4465692133214691E-2</v>
      </c>
      <c r="CE101" s="524">
        <f t="shared" si="92"/>
        <v>1.8921247757472726E-2</v>
      </c>
      <c r="CF101" s="524">
        <f t="shared" si="92"/>
        <v>1.9541076469534291E-2</v>
      </c>
      <c r="CG101" s="524">
        <f t="shared" si="92"/>
        <v>3.867318375014106E-2</v>
      </c>
      <c r="CH101" s="524"/>
      <c r="CI101" s="524"/>
      <c r="CJ101" s="524"/>
      <c r="CK101" s="524"/>
      <c r="CL101" s="524"/>
      <c r="CM101" s="524"/>
      <c r="CN101" s="524"/>
      <c r="CO101" s="524"/>
      <c r="CP101" s="518"/>
      <c r="DF101" s="521" t="s">
        <v>224</v>
      </c>
      <c r="DG101" s="521" t="s">
        <v>224</v>
      </c>
      <c r="DH101" s="521" t="s">
        <v>224</v>
      </c>
      <c r="DI101" s="521" t="s">
        <v>224</v>
      </c>
      <c r="DJ101" s="521" t="s">
        <v>224</v>
      </c>
      <c r="DK101" s="521" t="s">
        <v>224</v>
      </c>
      <c r="DL101" s="521"/>
      <c r="DM101" s="521"/>
    </row>
    <row r="102" spans="1:117">
      <c r="A102" s="519" t="s">
        <v>578</v>
      </c>
      <c r="B102" s="518"/>
      <c r="C102" s="518"/>
      <c r="D102" s="518"/>
      <c r="E102" s="518"/>
      <c r="F102" s="518"/>
      <c r="G102" s="518"/>
      <c r="H102" s="518"/>
      <c r="I102" s="518"/>
      <c r="J102" s="518"/>
      <c r="K102" s="518"/>
      <c r="L102" s="518"/>
      <c r="M102" s="518"/>
      <c r="N102" s="518"/>
      <c r="O102" s="518"/>
      <c r="P102" s="518"/>
      <c r="Q102" s="518"/>
      <c r="R102" s="518"/>
      <c r="S102" s="518"/>
      <c r="T102" s="518"/>
      <c r="U102" s="518"/>
      <c r="V102" s="518"/>
      <c r="W102" s="518"/>
      <c r="X102" s="518"/>
      <c r="Y102" s="518"/>
      <c r="Z102" s="518"/>
      <c r="AA102" s="518"/>
      <c r="AB102" s="518"/>
      <c r="AC102" s="518"/>
      <c r="AD102" s="518"/>
      <c r="AE102" s="518"/>
      <c r="AF102" s="518"/>
      <c r="AG102" s="518"/>
      <c r="AH102" s="518"/>
      <c r="AI102" s="518"/>
      <c r="AJ102" s="518"/>
      <c r="AK102" s="518"/>
      <c r="AL102" s="518"/>
      <c r="AM102" s="518"/>
      <c r="AN102" s="518"/>
      <c r="AO102" s="518"/>
      <c r="AP102" s="518"/>
      <c r="AQ102" s="518"/>
      <c r="AR102" s="518"/>
      <c r="AS102" s="518"/>
      <c r="AT102" s="518"/>
      <c r="AU102" s="518"/>
      <c r="AV102" s="518"/>
      <c r="AW102" s="518"/>
      <c r="AX102" s="518"/>
      <c r="AY102" s="518"/>
      <c r="AZ102" s="518"/>
      <c r="BA102" s="518"/>
      <c r="BB102" s="518"/>
      <c r="BC102" s="518"/>
      <c r="BD102" s="518"/>
      <c r="BE102" s="518"/>
      <c r="BF102" s="518"/>
      <c r="BG102" s="518"/>
      <c r="BH102" s="518"/>
      <c r="BI102" s="518"/>
      <c r="BJ102" s="518"/>
      <c r="BK102" s="518"/>
      <c r="BL102" s="518"/>
      <c r="BM102" s="518"/>
      <c r="BN102" s="524">
        <f t="shared" ref="BN102:CG102" si="93">BN100/BJ100-1</f>
        <v>0.18974846422819858</v>
      </c>
      <c r="BO102" s="524">
        <f t="shared" si="93"/>
        <v>0.27302706535798271</v>
      </c>
      <c r="BP102" s="524">
        <f t="shared" si="93"/>
        <v>0.23175731175667758</v>
      </c>
      <c r="BQ102" s="524">
        <f t="shared" si="93"/>
        <v>0.29625707930164569</v>
      </c>
      <c r="BR102" s="524">
        <f t="shared" si="93"/>
        <v>0.39739904954764449</v>
      </c>
      <c r="BS102" s="524">
        <f t="shared" si="93"/>
        <v>0.35944687574286283</v>
      </c>
      <c r="BT102" s="524">
        <f t="shared" si="93"/>
        <v>0.40143218788306023</v>
      </c>
      <c r="BU102" s="524">
        <f t="shared" si="93"/>
        <v>0.29453010949361391</v>
      </c>
      <c r="BV102" s="524">
        <f t="shared" si="93"/>
        <v>0.17814895747868986</v>
      </c>
      <c r="BW102" s="524">
        <f t="shared" si="93"/>
        <v>0.1023174615271869</v>
      </c>
      <c r="BX102" s="524">
        <f t="shared" si="93"/>
        <v>5.3531029229791027E-2</v>
      </c>
      <c r="BY102" s="524">
        <f t="shared" si="93"/>
        <v>9.0968324011144519E-2</v>
      </c>
      <c r="BZ102" s="524">
        <f t="shared" si="93"/>
        <v>0.11272449755770642</v>
      </c>
      <c r="CA102" s="524">
        <f t="shared" si="93"/>
        <v>0.15879535027290426</v>
      </c>
      <c r="CB102" s="524">
        <f t="shared" si="93"/>
        <v>0.21848374526233694</v>
      </c>
      <c r="CC102" s="524">
        <f t="shared" si="93"/>
        <v>0.17344723974725418</v>
      </c>
      <c r="CD102" s="524">
        <f t="shared" si="93"/>
        <v>0.14996790307723917</v>
      </c>
      <c r="CE102" s="524">
        <f t="shared" si="93"/>
        <v>0.11541507886230407</v>
      </c>
      <c r="CF102" s="524">
        <f t="shared" si="93"/>
        <v>6.8187588310157699E-2</v>
      </c>
      <c r="CG102" s="524">
        <f t="shared" si="93"/>
        <v>9.4615592345465238E-2</v>
      </c>
      <c r="CH102" s="524"/>
      <c r="CI102" s="524"/>
      <c r="CJ102" s="524"/>
      <c r="CK102" s="524"/>
      <c r="CL102" s="524"/>
      <c r="CM102" s="524"/>
      <c r="CN102" s="524"/>
      <c r="CO102" s="524"/>
      <c r="CP102" s="518"/>
      <c r="DF102" s="521" t="s">
        <v>224</v>
      </c>
      <c r="DG102" s="524">
        <f>DG100/DF100-1</f>
        <v>0.23424500878040466</v>
      </c>
      <c r="DH102" s="524">
        <f>DH100/DG100-1</f>
        <v>0.35583538744522292</v>
      </c>
      <c r="DI102" s="524">
        <f>DI100/DH100-1</f>
        <v>0.10193620069127118</v>
      </c>
      <c r="DJ102" s="524">
        <f>DJ100/DI100-1</f>
        <v>0.16515359132336749</v>
      </c>
      <c r="DK102" s="524">
        <f>DK100/DJ100-1</f>
        <v>0.10356389001566901</v>
      </c>
      <c r="DL102" s="524"/>
      <c r="DM102" s="524"/>
    </row>
    <row r="103" spans="1:117">
      <c r="A103" s="517"/>
      <c r="B103" s="518"/>
      <c r="C103" s="518"/>
      <c r="D103" s="518"/>
      <c r="E103" s="518"/>
      <c r="F103" s="518"/>
      <c r="G103" s="518"/>
      <c r="H103" s="518"/>
      <c r="I103" s="518"/>
      <c r="J103" s="518"/>
      <c r="K103" s="518"/>
      <c r="L103" s="518"/>
      <c r="M103" s="518"/>
      <c r="N103" s="518"/>
      <c r="O103" s="518"/>
      <c r="P103" s="518"/>
      <c r="Q103" s="518"/>
      <c r="R103" s="518"/>
      <c r="S103" s="518"/>
      <c r="T103" s="518"/>
      <c r="U103" s="518"/>
      <c r="V103" s="518"/>
      <c r="W103" s="518"/>
      <c r="X103" s="518"/>
      <c r="Y103" s="518"/>
      <c r="Z103" s="518"/>
      <c r="AA103" s="518"/>
      <c r="AB103" s="518"/>
      <c r="AC103" s="518"/>
      <c r="AD103" s="518"/>
      <c r="AE103" s="518"/>
      <c r="AF103" s="518"/>
      <c r="AG103" s="518"/>
      <c r="AH103" s="518"/>
      <c r="AI103" s="518"/>
      <c r="AJ103" s="518"/>
      <c r="AK103" s="518"/>
      <c r="AL103" s="518"/>
      <c r="AM103" s="518"/>
      <c r="AN103" s="518"/>
      <c r="AO103" s="518"/>
      <c r="AP103" s="518"/>
      <c r="AQ103" s="518"/>
      <c r="AR103" s="518"/>
      <c r="AS103" s="518"/>
      <c r="AT103" s="518"/>
      <c r="AU103" s="518"/>
      <c r="AV103" s="518"/>
      <c r="AW103" s="518"/>
      <c r="AX103" s="518"/>
      <c r="AY103" s="518"/>
      <c r="AZ103" s="518"/>
      <c r="BA103" s="518"/>
      <c r="BB103" s="518"/>
      <c r="BC103" s="518"/>
      <c r="BD103" s="518"/>
      <c r="BE103" s="518"/>
      <c r="BF103" s="518"/>
      <c r="BG103" s="518"/>
      <c r="BH103" s="518"/>
      <c r="BI103" s="518"/>
      <c r="BJ103" s="518"/>
      <c r="BK103" s="518"/>
      <c r="BL103" s="518"/>
      <c r="BM103" s="518"/>
      <c r="BN103" s="518"/>
      <c r="BO103" s="518"/>
      <c r="BP103" s="518"/>
      <c r="BQ103" s="518"/>
      <c r="BR103" s="518"/>
      <c r="BS103" s="518"/>
      <c r="BT103" s="518"/>
      <c r="BU103" s="518"/>
      <c r="BV103" s="518"/>
      <c r="BW103" s="518"/>
      <c r="BX103" s="518"/>
      <c r="BY103" s="518"/>
      <c r="BZ103" s="518"/>
      <c r="CA103" s="518"/>
      <c r="CB103" s="518"/>
      <c r="CC103" s="518"/>
      <c r="CD103" s="518"/>
      <c r="CE103" s="518"/>
      <c r="CF103" s="518"/>
      <c r="CG103" s="518"/>
      <c r="CH103" s="518"/>
      <c r="CI103" s="518"/>
      <c r="CJ103" s="518"/>
      <c r="CK103" s="518"/>
      <c r="CL103" s="518"/>
      <c r="CM103" s="518"/>
      <c r="CN103" s="518"/>
      <c r="CO103" s="518"/>
      <c r="CP103" s="518"/>
      <c r="DF103" s="518"/>
      <c r="DG103" s="518"/>
      <c r="DH103" s="518"/>
      <c r="DI103" s="518"/>
      <c r="DJ103" s="518"/>
      <c r="DK103" s="518"/>
      <c r="DL103" s="518"/>
      <c r="DM103" s="518"/>
    </row>
  </sheetData>
  <printOptions horizontalCentered="1" verticalCentered="1"/>
  <pageMargins left="0.7" right="0.7" top="0.75" bottom="0.75" header="0.3" footer="0.3"/>
  <pageSetup scale="10" orientation="portrait" r:id="rId1"/>
  <customProperties>
    <customPr name="Qube.Worksheet.ID" r:id="rId2"/>
    <customPr name="Qube.Worksheet.Visibility" r:id="rId3"/>
  </customProperties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1E0C2-BA48-4AF3-925B-58D2A3AEB07D}">
  <sheetPr>
    <tabColor rgb="FF92D050"/>
    <pageSetUpPr autoPageBreaks="0"/>
  </sheetPr>
  <dimension ref="A1:DO91"/>
  <sheetViews>
    <sheetView zoomScaleNormal="100" workbookViewId="0">
      <pane xSplit="1" ySplit="3" topLeftCell="AY4" activePane="bottomRight" state="frozen"/>
      <selection activeCell="F32" sqref="F32"/>
      <selection pane="topRight" activeCell="F32" sqref="F32"/>
      <selection pane="bottomLeft" activeCell="F32" sqref="F32"/>
      <selection pane="bottomRight"/>
    </sheetView>
  </sheetViews>
  <sheetFormatPr defaultRowHeight="12.75" outlineLevelCol="1"/>
  <cols>
    <col min="1" max="1" width="41.42578125" style="37" bestFit="1" customWidth="1"/>
    <col min="2" max="2" width="10.28515625" style="37" bestFit="1" customWidth="1"/>
    <col min="3" max="25" width="7.42578125" style="37" customWidth="1"/>
    <col min="26" max="26" width="8.42578125" style="37" customWidth="1"/>
    <col min="27" max="30" width="7.42578125" style="37" customWidth="1"/>
    <col min="31" max="31" width="10.28515625" style="37" bestFit="1" customWidth="1"/>
    <col min="32" max="33" width="7.42578125" style="37" customWidth="1"/>
    <col min="34" max="34" width="10.28515625" style="37" bestFit="1" customWidth="1"/>
    <col min="35" max="35" width="8.42578125" style="37" customWidth="1"/>
    <col min="36" max="36" width="8" style="37" customWidth="1"/>
    <col min="37" max="37" width="8.42578125" style="37" customWidth="1"/>
    <col min="38" max="38" width="7.7109375" style="37" customWidth="1"/>
    <col min="39" max="42" width="7.7109375" style="37" bestFit="1" customWidth="1"/>
    <col min="43" max="46" width="7.85546875" style="37" bestFit="1" customWidth="1"/>
    <col min="47" max="47" width="7.7109375" style="37" bestFit="1" customWidth="1"/>
    <col min="48" max="51" width="7.85546875" style="37" customWidth="1"/>
    <col min="52" max="57" width="7.7109375" style="37" bestFit="1" customWidth="1"/>
    <col min="58" max="58" width="7.85546875" style="37" customWidth="1"/>
    <col min="59" max="62" width="7.7109375" style="37" bestFit="1" customWidth="1"/>
    <col min="63" max="67" width="7.7109375" style="37" customWidth="1"/>
    <col min="68" max="69" width="7.85546875" style="37" bestFit="1" customWidth="1"/>
    <col min="70" max="93" width="7.42578125" style="37" bestFit="1" customWidth="1"/>
    <col min="94" max="94" width="2.28515625" style="500" hidden="1" customWidth="1" outlineLevel="1"/>
    <col min="95" max="95" width="2.28515625" style="37" customWidth="1" collapsed="1"/>
    <col min="96" max="101" width="7.5703125" style="37" hidden="1" customWidth="1" outlineLevel="1"/>
    <col min="102" max="102" width="7.5703125" style="37" hidden="1" customWidth="1" outlineLevel="1" collapsed="1"/>
    <col min="103" max="105" width="7.5703125" style="37" hidden="1" customWidth="1" outlineLevel="1"/>
    <col min="106" max="106" width="7.7109375" style="37" hidden="1" customWidth="1" outlineLevel="1"/>
    <col min="107" max="107" width="8" style="37" hidden="1" customWidth="1" outlineLevel="1"/>
    <col min="108" max="109" width="7.7109375" style="37" hidden="1" customWidth="1" outlineLevel="1"/>
    <col min="110" max="110" width="8" style="37" hidden="1" customWidth="1" outlineLevel="1"/>
    <col min="111" max="111" width="7.5703125" style="37" hidden="1" customWidth="1" outlineLevel="1"/>
    <col min="112" max="112" width="8" style="37" customWidth="1" collapsed="1"/>
    <col min="113" max="113" width="8" style="37" customWidth="1"/>
    <col min="114" max="118" width="7.7109375" style="37" customWidth="1"/>
    <col min="119" max="119" width="2.140625" style="500" customWidth="1"/>
    <col min="120" max="123" width="9.140625" style="37"/>
    <col min="124" max="124" width="16.140625" style="37" bestFit="1" customWidth="1"/>
    <col min="125" max="16384" width="9.140625" style="37"/>
  </cols>
  <sheetData>
    <row r="1" spans="1:119">
      <c r="Z1" s="536"/>
      <c r="AA1" s="536"/>
      <c r="AB1" s="536"/>
      <c r="AC1" s="536"/>
      <c r="AD1" s="536"/>
      <c r="AE1" s="536"/>
      <c r="AF1" s="536"/>
      <c r="AG1" s="536"/>
      <c r="AH1" s="536"/>
      <c r="AI1" s="536"/>
      <c r="AJ1" s="536"/>
      <c r="AK1" s="536"/>
      <c r="AL1" s="536"/>
      <c r="AM1" s="536"/>
      <c r="AN1" s="536"/>
      <c r="AO1" s="536"/>
      <c r="AP1" s="536"/>
      <c r="AQ1" s="536"/>
      <c r="AR1" s="536"/>
      <c r="AS1" s="536"/>
      <c r="AT1" s="536"/>
      <c r="AU1" s="537">
        <f>AU4/AP4-1</f>
        <v>-0.36137734806194888</v>
      </c>
      <c r="AV1" s="536"/>
      <c r="AW1" s="536"/>
      <c r="AX1" s="536"/>
      <c r="AY1" s="536"/>
      <c r="AZ1" s="536"/>
      <c r="BA1" s="536"/>
      <c r="BB1" s="536"/>
      <c r="BC1" s="536"/>
      <c r="BD1" s="536"/>
      <c r="BE1" s="536"/>
      <c r="BF1" s="537"/>
      <c r="BG1" s="509"/>
      <c r="BH1" s="178"/>
      <c r="BI1" s="178"/>
      <c r="BJ1" s="491"/>
      <c r="BK1" s="178"/>
      <c r="BL1" s="178"/>
      <c r="BM1" s="178"/>
      <c r="BN1" s="491"/>
      <c r="BO1" s="491"/>
      <c r="BP1" s="178"/>
      <c r="BQ1" s="178"/>
      <c r="BR1" s="178"/>
      <c r="BS1" s="178"/>
      <c r="BT1" s="178"/>
      <c r="BU1" s="178"/>
      <c r="BV1" s="178"/>
      <c r="BW1" s="178"/>
      <c r="BX1" s="178"/>
      <c r="BY1" s="178"/>
      <c r="BZ1" s="178"/>
      <c r="CA1" s="178"/>
      <c r="CB1" s="178"/>
      <c r="CC1" s="178"/>
      <c r="CD1" s="178"/>
      <c r="CE1" s="178"/>
      <c r="CF1" s="178"/>
      <c r="CG1" s="178"/>
      <c r="CH1" s="178"/>
      <c r="CI1" s="178"/>
      <c r="CJ1" s="178"/>
      <c r="CK1" s="178"/>
      <c r="CL1" s="178"/>
      <c r="CM1" s="178"/>
      <c r="CN1" s="178"/>
      <c r="CO1" s="178"/>
      <c r="DC1" s="37" t="s">
        <v>63</v>
      </c>
      <c r="DD1" s="37" t="s">
        <v>64</v>
      </c>
      <c r="DE1" s="37" t="s">
        <v>65</v>
      </c>
      <c r="DF1" s="37" t="s">
        <v>66</v>
      </c>
      <c r="DG1" s="37" t="s">
        <v>67</v>
      </c>
      <c r="DH1" s="483" t="s">
        <v>68</v>
      </c>
      <c r="DI1" s="483" t="s">
        <v>69</v>
      </c>
      <c r="DJ1" s="483" t="s">
        <v>70</v>
      </c>
      <c r="DK1" s="483" t="s">
        <v>71</v>
      </c>
      <c r="DL1" s="483" t="s">
        <v>72</v>
      </c>
      <c r="DM1" s="483" t="s">
        <v>73</v>
      </c>
      <c r="DN1" s="483" t="s">
        <v>74</v>
      </c>
    </row>
    <row r="2" spans="1:119">
      <c r="A2" s="538"/>
      <c r="B2" s="538"/>
      <c r="C2" s="538"/>
      <c r="D2" s="539"/>
      <c r="E2" s="539"/>
      <c r="F2" s="538"/>
      <c r="G2" s="538"/>
      <c r="H2" s="538"/>
      <c r="I2" s="539"/>
      <c r="J2" s="538"/>
      <c r="K2" s="538"/>
      <c r="L2" s="538"/>
      <c r="M2" s="539"/>
      <c r="N2" s="538"/>
      <c r="O2" s="538"/>
      <c r="P2" s="539"/>
      <c r="Q2" s="538"/>
      <c r="R2" s="538"/>
      <c r="S2" s="538"/>
      <c r="T2" s="539"/>
      <c r="U2" s="539"/>
      <c r="V2" s="538"/>
      <c r="W2" s="538"/>
      <c r="X2" s="539"/>
      <c r="Y2" s="539"/>
      <c r="Z2" s="540"/>
      <c r="AA2" s="540"/>
      <c r="AB2" s="540"/>
      <c r="AC2" s="540"/>
      <c r="AD2" s="540"/>
      <c r="AE2" s="540"/>
      <c r="AF2" s="540"/>
      <c r="AG2" s="540"/>
      <c r="AH2" s="540"/>
      <c r="AI2" s="540"/>
      <c r="AJ2" s="540"/>
      <c r="AK2" s="540"/>
      <c r="AL2" s="540"/>
      <c r="AM2" s="540"/>
      <c r="AN2" s="540"/>
      <c r="AO2" s="540"/>
      <c r="AP2" s="540"/>
      <c r="AQ2" s="540"/>
      <c r="AR2" s="540"/>
      <c r="AS2" s="541"/>
      <c r="AT2" s="541"/>
      <c r="AU2" s="541"/>
      <c r="AV2" s="541"/>
      <c r="AW2" s="541"/>
      <c r="AX2" s="541"/>
      <c r="AY2" s="541"/>
      <c r="AZ2" s="541"/>
      <c r="BA2" s="541"/>
      <c r="BB2" s="541"/>
      <c r="BC2" s="541"/>
      <c r="BD2" s="541"/>
      <c r="BE2" s="541"/>
      <c r="BF2" s="541"/>
      <c r="BG2" s="542"/>
      <c r="BH2" s="542"/>
      <c r="BI2" s="542"/>
      <c r="BJ2" s="542"/>
      <c r="BK2" s="542"/>
      <c r="BL2" s="542"/>
      <c r="BM2" s="542"/>
      <c r="BN2" s="542"/>
      <c r="BO2" s="542"/>
      <c r="BP2" s="542"/>
      <c r="BQ2" s="542"/>
      <c r="BR2" s="542"/>
      <c r="BS2" s="542"/>
      <c r="BT2" s="542"/>
      <c r="BU2" s="542"/>
      <c r="BV2" s="542"/>
      <c r="BW2" s="542"/>
      <c r="BX2" s="542"/>
      <c r="BY2" s="542"/>
      <c r="BZ2" s="542"/>
      <c r="CA2" s="542"/>
      <c r="CB2" s="542"/>
      <c r="CC2" s="542"/>
      <c r="CD2" s="542"/>
      <c r="CE2" s="542"/>
      <c r="CF2" s="542"/>
      <c r="CG2" s="542"/>
      <c r="CH2" s="542"/>
      <c r="CI2" s="542"/>
      <c r="CJ2" s="542"/>
      <c r="CK2" s="542"/>
      <c r="CL2" s="542"/>
      <c r="CM2" s="542"/>
      <c r="CN2" s="542"/>
      <c r="CO2" s="542"/>
      <c r="CS2" s="481"/>
      <c r="CT2" s="481"/>
      <c r="CU2" s="481"/>
      <c r="CV2" s="481"/>
      <c r="CW2" s="481"/>
      <c r="CX2" s="481"/>
      <c r="CY2" s="481"/>
      <c r="CZ2" s="481"/>
      <c r="DA2" s="481"/>
      <c r="DB2" s="481"/>
      <c r="DC2" s="481"/>
      <c r="DD2" s="481"/>
      <c r="DE2" s="481"/>
      <c r="DG2" s="481"/>
      <c r="DH2" s="481" t="s">
        <v>597</v>
      </c>
      <c r="DI2" s="481"/>
      <c r="DJ2" s="480"/>
      <c r="DK2" s="480"/>
      <c r="DL2" s="480"/>
      <c r="DM2" s="480"/>
      <c r="DN2" s="480"/>
    </row>
    <row r="3" spans="1:119" s="479" customFormat="1">
      <c r="A3" s="477"/>
      <c r="B3" s="477" t="str">
        <f>+Worksheet!AD3</f>
        <v>1Q08</v>
      </c>
      <c r="C3" s="477" t="str">
        <f>+Worksheet!AE3</f>
        <v>2Q08</v>
      </c>
      <c r="D3" s="477" t="str">
        <f>+Worksheet!AF3</f>
        <v>3Q08</v>
      </c>
      <c r="E3" s="477" t="str">
        <f>+Worksheet!AG3</f>
        <v>4Q08</v>
      </c>
      <c r="F3" s="477" t="str">
        <f>+Worksheet!AH3</f>
        <v>1Q09</v>
      </c>
      <c r="G3" s="477" t="str">
        <f>+Worksheet!AI3</f>
        <v>2Q09</v>
      </c>
      <c r="H3" s="477" t="str">
        <f>+Worksheet!AJ3</f>
        <v>3Q09</v>
      </c>
      <c r="I3" s="477" t="str">
        <f>+Worksheet!AK3</f>
        <v>4Q09</v>
      </c>
      <c r="J3" s="477" t="str">
        <f>+Worksheet!AL3</f>
        <v>1Q10</v>
      </c>
      <c r="K3" s="477" t="str">
        <f>+Worksheet!AM3</f>
        <v>2Q10</v>
      </c>
      <c r="L3" s="477" t="str">
        <f>+Worksheet!AN3</f>
        <v>3Q10</v>
      </c>
      <c r="M3" s="477" t="str">
        <f>+Worksheet!AO3</f>
        <v>4Q10</v>
      </c>
      <c r="N3" s="477" t="str">
        <f>+Worksheet!AP3</f>
        <v>1Q11</v>
      </c>
      <c r="O3" s="477" t="str">
        <f>+Worksheet!AQ3</f>
        <v>2Q11</v>
      </c>
      <c r="P3" s="477" t="str">
        <f>+Worksheet!AR3</f>
        <v>3Q11</v>
      </c>
      <c r="Q3" s="477" t="str">
        <f>+Worksheet!AS3</f>
        <v>4Q11</v>
      </c>
      <c r="R3" s="477" t="str">
        <f>+Worksheet!AT3</f>
        <v>1Q12</v>
      </c>
      <c r="S3" s="477" t="str">
        <f>+Worksheet!AU3</f>
        <v>2Q12</v>
      </c>
      <c r="T3" s="477" t="str">
        <f>+Worksheet!AV3</f>
        <v>3Q12</v>
      </c>
      <c r="U3" s="477" t="str">
        <f>+Worksheet!AW3</f>
        <v>4Q12</v>
      </c>
      <c r="V3" s="477" t="str">
        <f>+Worksheet!AX3</f>
        <v>1Q13</v>
      </c>
      <c r="W3" s="477" t="str">
        <f>+Worksheet!AY3</f>
        <v>2Q13</v>
      </c>
      <c r="X3" s="477" t="str">
        <f>+Worksheet!AZ3</f>
        <v>3Q13</v>
      </c>
      <c r="Y3" s="477" t="str">
        <f>+Worksheet!BA3</f>
        <v>4Q13</v>
      </c>
      <c r="Z3" s="477" t="str">
        <f>+Worksheet!BB3</f>
        <v>1Q14</v>
      </c>
      <c r="AA3" s="477" t="str">
        <f>+Worksheet!BC3</f>
        <v>2Q14</v>
      </c>
      <c r="AB3" s="477" t="str">
        <f>+Worksheet!BD3</f>
        <v>3Q14</v>
      </c>
      <c r="AC3" s="477" t="str">
        <f>+Worksheet!BE3</f>
        <v>4Q14</v>
      </c>
      <c r="AD3" s="477" t="str">
        <f>+Worksheet!BF3</f>
        <v>1Q15</v>
      </c>
      <c r="AE3" s="477" t="str">
        <f>+Worksheet!BG3</f>
        <v>2Q15</v>
      </c>
      <c r="AF3" s="477" t="str">
        <f>+Worksheet!BH3</f>
        <v>3Q15</v>
      </c>
      <c r="AG3" s="477" t="str">
        <f>+Worksheet!BI3</f>
        <v>4Q15</v>
      </c>
      <c r="AH3" s="477" t="str">
        <f>+Worksheet!BJ3</f>
        <v>1Q16</v>
      </c>
      <c r="AI3" s="477" t="str">
        <f>+Worksheet!BK3</f>
        <v>2Q16</v>
      </c>
      <c r="AJ3" s="477" t="str">
        <f>+Worksheet!BL3</f>
        <v>3Q16</v>
      </c>
      <c r="AK3" s="477" t="str">
        <f>+Worksheet!BM3</f>
        <v>4Q16</v>
      </c>
      <c r="AL3" s="477" t="str">
        <f>+Worksheet!BN3</f>
        <v>1Q17</v>
      </c>
      <c r="AM3" s="477" t="str">
        <f>+Worksheet!BO3</f>
        <v>2Q17</v>
      </c>
      <c r="AN3" s="477" t="str">
        <f>+Worksheet!BP3</f>
        <v>3Q17</v>
      </c>
      <c r="AO3" s="477" t="str">
        <f>+Worksheet!BQ3</f>
        <v>4Q17</v>
      </c>
      <c r="AP3" s="477" t="str">
        <f>+Worksheet!BR3</f>
        <v>1Q18</v>
      </c>
      <c r="AQ3" s="477" t="str">
        <f>+Worksheet!BS3</f>
        <v>2Q18</v>
      </c>
      <c r="AR3" s="477" t="str">
        <f>+Worksheet!BT3</f>
        <v>3Q18</v>
      </c>
      <c r="AS3" s="477" t="str">
        <f>+Worksheet!BU3</f>
        <v>4Q18</v>
      </c>
      <c r="AT3" s="477" t="str">
        <f>+Worksheet!BV3</f>
        <v>1Q19</v>
      </c>
      <c r="AU3" s="477" t="str">
        <f>+Worksheet!BW3</f>
        <v>2Q19</v>
      </c>
      <c r="AV3" s="477" t="str">
        <f>+Worksheet!BX3</f>
        <v>3Q19</v>
      </c>
      <c r="AW3" s="477" t="str">
        <f>+Worksheet!BY3</f>
        <v>4Q19</v>
      </c>
      <c r="AX3" s="477" t="str">
        <f>+Worksheet!BZ3</f>
        <v>1Q20</v>
      </c>
      <c r="AY3" s="477" t="str">
        <f>+Worksheet!CA3</f>
        <v>2Q20</v>
      </c>
      <c r="AZ3" s="477" t="str">
        <f>+Worksheet!CB3</f>
        <v>3Q20</v>
      </c>
      <c r="BA3" s="477" t="str">
        <f>+Worksheet!CC3</f>
        <v>4Q20</v>
      </c>
      <c r="BB3" s="477" t="str">
        <f>+Worksheet!CD3</f>
        <v>1Q21</v>
      </c>
      <c r="BC3" s="477" t="str">
        <f>+Worksheet!CE3</f>
        <v>2Q21</v>
      </c>
      <c r="BD3" s="477" t="str">
        <f>+Worksheet!CF3</f>
        <v>3Q21</v>
      </c>
      <c r="BE3" s="477" t="str">
        <f>+Worksheet!CG3</f>
        <v>4Q21</v>
      </c>
      <c r="BF3" s="477" t="str">
        <f>+Worksheet!CH3</f>
        <v>1Q22</v>
      </c>
      <c r="BG3" s="477" t="str">
        <f>+Worksheet!CI3</f>
        <v>2Q22</v>
      </c>
      <c r="BH3" s="477" t="str">
        <f>+Worksheet!CJ3</f>
        <v>3Q22</v>
      </c>
      <c r="BI3" s="477" t="str">
        <f>+Worksheet!CK3</f>
        <v>4Q22</v>
      </c>
      <c r="BJ3" s="477" t="str">
        <f>+Worksheet!CL3</f>
        <v>1Q23</v>
      </c>
      <c r="BK3" s="477" t="str">
        <f>+Worksheet!CM3</f>
        <v>2Q23</v>
      </c>
      <c r="BL3" s="477" t="str">
        <f>+Worksheet!CN3</f>
        <v>3Q23</v>
      </c>
      <c r="BM3" s="477" t="str">
        <f>+Worksheet!CO3</f>
        <v>4Q23</v>
      </c>
      <c r="BN3" s="477" t="str">
        <f>+Worksheet!CP3</f>
        <v>1Q24</v>
      </c>
      <c r="BO3" s="477" t="str">
        <f>+Worksheet!CQ3</f>
        <v>2Q24</v>
      </c>
      <c r="BP3" s="477" t="str">
        <f>+Worksheet!CR3</f>
        <v>3Q24</v>
      </c>
      <c r="BQ3" s="477" t="str">
        <f>+Worksheet!CS3</f>
        <v>4Q24</v>
      </c>
      <c r="BR3" s="477" t="str">
        <f>+Worksheet!CT3</f>
        <v>1Q25</v>
      </c>
      <c r="BS3" s="477" t="str">
        <f>+Worksheet!CU3</f>
        <v>2Q25</v>
      </c>
      <c r="BT3" s="477" t="str">
        <f>+Worksheet!CV3</f>
        <v>3Q25</v>
      </c>
      <c r="BU3" s="477" t="str">
        <f>+Worksheet!CW3</f>
        <v>4Q25</v>
      </c>
      <c r="BV3" s="477" t="str">
        <f>+Worksheet!CX3</f>
        <v>1Q26</v>
      </c>
      <c r="BW3" s="477" t="str">
        <f>+Worksheet!CY3</f>
        <v>2Q26E</v>
      </c>
      <c r="BX3" s="477" t="str">
        <f>+Worksheet!CZ3</f>
        <v>3Q26E</v>
      </c>
      <c r="BY3" s="477" t="str">
        <f>+Worksheet!DA3</f>
        <v>4Q26E</v>
      </c>
      <c r="BZ3" s="477" t="str">
        <f>+Worksheet!DB3</f>
        <v>1Q27E</v>
      </c>
      <c r="CA3" s="477" t="str">
        <f>+Worksheet!DC3</f>
        <v>2Q27E</v>
      </c>
      <c r="CB3" s="477" t="str">
        <f>+Worksheet!DD3</f>
        <v>3Q27E</v>
      </c>
      <c r="CC3" s="477" t="str">
        <f>+Worksheet!DE3</f>
        <v>4Q27E</v>
      </c>
      <c r="CD3" s="477" t="str">
        <f>+Worksheet!DF3</f>
        <v>1Q28E</v>
      </c>
      <c r="CE3" s="477" t="str">
        <f>+Worksheet!DG3</f>
        <v>2Q28E</v>
      </c>
      <c r="CF3" s="477" t="str">
        <f>+Worksheet!DH3</f>
        <v>3Q28E</v>
      </c>
      <c r="CG3" s="477" t="str">
        <f>+Worksheet!DI3</f>
        <v>4Q28E</v>
      </c>
      <c r="CH3" s="477" t="str">
        <f>+Worksheet!DJ3</f>
        <v>1Q29E</v>
      </c>
      <c r="CI3" s="477" t="str">
        <f>+Worksheet!DK3</f>
        <v>2Q29E</v>
      </c>
      <c r="CJ3" s="477" t="str">
        <f>+Worksheet!DL3</f>
        <v>3Q29E</v>
      </c>
      <c r="CK3" s="477" t="str">
        <f>+Worksheet!DM3</f>
        <v>4Q29E</v>
      </c>
      <c r="CL3" s="477" t="str">
        <f>+Worksheet!DN3</f>
        <v>1Q30E</v>
      </c>
      <c r="CM3" s="477" t="str">
        <f>+Worksheet!DO3</f>
        <v>2Q30E</v>
      </c>
      <c r="CN3" s="477" t="str">
        <f>+Worksheet!DP3</f>
        <v>3Q30E</v>
      </c>
      <c r="CO3" s="477" t="str">
        <f>+Worksheet!DQ3</f>
        <v>4Q30E</v>
      </c>
      <c r="CR3" s="477">
        <v>2008</v>
      </c>
      <c r="CS3" s="477">
        <v>2009</v>
      </c>
      <c r="CT3" s="477">
        <v>2010</v>
      </c>
      <c r="CU3" s="477">
        <v>2011</v>
      </c>
      <c r="CV3" s="477">
        <v>2012</v>
      </c>
      <c r="CW3" s="477">
        <v>2013</v>
      </c>
      <c r="CX3" s="477">
        <v>2014</v>
      </c>
      <c r="CY3" s="477">
        <v>2015</v>
      </c>
      <c r="CZ3" s="477">
        <v>2016</v>
      </c>
      <c r="DA3" s="477">
        <v>2017</v>
      </c>
      <c r="DB3" s="477">
        <v>2018</v>
      </c>
      <c r="DC3" s="477">
        <v>2019</v>
      </c>
      <c r="DD3" s="477">
        <v>2020</v>
      </c>
      <c r="DE3" s="477">
        <v>2021</v>
      </c>
      <c r="DF3" s="477">
        <v>2022</v>
      </c>
      <c r="DG3" s="477">
        <v>2023</v>
      </c>
      <c r="DH3" s="477">
        <v>2024</v>
      </c>
      <c r="DI3" s="477">
        <v>2025</v>
      </c>
      <c r="DJ3" s="477" t="s">
        <v>217</v>
      </c>
      <c r="DK3" s="477" t="s">
        <v>218</v>
      </c>
      <c r="DL3" s="477" t="s">
        <v>219</v>
      </c>
      <c r="DM3" s="477" t="s">
        <v>220</v>
      </c>
      <c r="DN3" s="477" t="s">
        <v>221</v>
      </c>
    </row>
    <row r="4" spans="1:119" s="545" customFormat="1" ht="15.75">
      <c r="A4" s="543" t="s">
        <v>598</v>
      </c>
      <c r="B4" s="477"/>
      <c r="C4" s="477"/>
      <c r="D4" s="477"/>
      <c r="E4" s="477"/>
      <c r="F4" s="477"/>
      <c r="G4" s="477"/>
      <c r="H4" s="477"/>
      <c r="I4" s="477"/>
      <c r="J4" s="477"/>
      <c r="K4" s="477"/>
      <c r="L4" s="477"/>
      <c r="M4" s="477"/>
      <c r="N4" s="477"/>
      <c r="O4" s="477"/>
      <c r="P4" s="477"/>
      <c r="Q4" s="477"/>
      <c r="R4" s="477"/>
      <c r="S4" s="477"/>
      <c r="T4" s="477"/>
      <c r="U4" s="477"/>
      <c r="V4" s="477"/>
      <c r="W4" s="477"/>
      <c r="X4" s="477"/>
      <c r="Y4" s="477"/>
      <c r="Z4" s="477"/>
      <c r="AA4" s="477"/>
      <c r="AB4" s="477"/>
      <c r="AC4" s="477"/>
      <c r="AD4" s="477"/>
      <c r="AE4" s="477"/>
      <c r="AF4" s="477"/>
      <c r="AG4" s="477"/>
      <c r="AH4" s="477"/>
      <c r="AI4" s="477"/>
      <c r="AJ4" s="477"/>
      <c r="AK4" s="477"/>
      <c r="AL4" s="544">
        <f>SUM(AI5:AL5)</f>
        <v>32452.707339427834</v>
      </c>
      <c r="AM4" s="544">
        <f t="shared" ref="AM4:AS4" si="0">SUM(AJ5:AM5)</f>
        <v>34476.010339850276</v>
      </c>
      <c r="AN4" s="544">
        <f t="shared" si="0"/>
        <v>36750.147598407493</v>
      </c>
      <c r="AO4" s="544">
        <f t="shared" si="0"/>
        <v>36998.371600908424</v>
      </c>
      <c r="AP4" s="544">
        <f t="shared" si="0"/>
        <v>40354.550549251326</v>
      </c>
      <c r="AQ4" s="544">
        <f t="shared" si="0"/>
        <v>39754.183898784038</v>
      </c>
      <c r="AR4" s="544">
        <f t="shared" si="0"/>
        <v>35868.290894140016</v>
      </c>
      <c r="AS4" s="544">
        <f t="shared" si="0"/>
        <v>32268.214221104237</v>
      </c>
      <c r="AT4" s="544">
        <f>SUM(AQ5:AT5)</f>
        <v>28555.967141927831</v>
      </c>
      <c r="AU4" s="544">
        <f>SUM(AR5:AU5)</f>
        <v>25771.33008953102</v>
      </c>
      <c r="AV4" s="544">
        <f>SUM(AS5:AV5)</f>
        <v>26258.363511654577</v>
      </c>
      <c r="AW4" s="544">
        <f>SUM(AT5:AW5)</f>
        <v>28264.646458924944</v>
      </c>
      <c r="AX4" s="544">
        <f>SUM(AU5:AX5)</f>
        <v>28354.829992848656</v>
      </c>
      <c r="AY4" s="477"/>
      <c r="AZ4" s="477"/>
      <c r="BA4" s="477"/>
      <c r="BB4" s="477"/>
      <c r="BC4" s="477"/>
      <c r="BD4" s="477"/>
      <c r="BE4" s="477"/>
      <c r="BF4" s="477"/>
      <c r="BG4" s="477"/>
      <c r="BH4" s="477"/>
      <c r="BI4" s="477"/>
      <c r="BJ4" s="477"/>
      <c r="BK4" s="477"/>
      <c r="BL4" s="477"/>
      <c r="BM4" s="477"/>
      <c r="BN4" s="477"/>
      <c r="BO4" s="477"/>
      <c r="BP4" s="477"/>
      <c r="BQ4" s="477"/>
      <c r="BR4" s="477"/>
      <c r="BS4" s="477"/>
      <c r="BT4" s="477"/>
      <c r="BU4" s="477"/>
      <c r="BV4" s="477"/>
      <c r="BW4" s="477"/>
      <c r="BX4" s="477"/>
      <c r="BY4" s="477"/>
      <c r="BZ4" s="477"/>
      <c r="CA4" s="477"/>
      <c r="CB4" s="477"/>
      <c r="CC4" s="477"/>
      <c r="CD4" s="477"/>
      <c r="CE4" s="477"/>
      <c r="CF4" s="477"/>
      <c r="CG4" s="477"/>
      <c r="CH4" s="477"/>
      <c r="CI4" s="477"/>
      <c r="CJ4" s="477"/>
      <c r="CK4" s="477"/>
      <c r="CL4" s="477"/>
      <c r="CM4" s="477"/>
      <c r="CN4" s="477"/>
      <c r="CO4" s="477"/>
      <c r="CP4" s="479"/>
      <c r="CQ4" s="479"/>
      <c r="CR4" s="477"/>
      <c r="CS4" s="477"/>
      <c r="CT4" s="477"/>
      <c r="CU4" s="477"/>
      <c r="CV4" s="477"/>
      <c r="CW4" s="477"/>
      <c r="CX4" s="477"/>
      <c r="CY4" s="477"/>
      <c r="CZ4" s="477"/>
      <c r="DA4" s="477"/>
      <c r="DB4" s="477"/>
      <c r="DC4" s="477"/>
      <c r="DD4" s="477"/>
      <c r="DE4" s="477"/>
      <c r="DF4" s="477">
        <v>2022</v>
      </c>
      <c r="DG4" s="477">
        <v>2023</v>
      </c>
      <c r="DH4" s="477"/>
      <c r="DI4" s="477"/>
      <c r="DJ4" s="477"/>
      <c r="DK4" s="477"/>
      <c r="DL4" s="477"/>
      <c r="DM4" s="477"/>
      <c r="DN4" s="477"/>
      <c r="DO4" s="479"/>
    </row>
    <row r="5" spans="1:119">
      <c r="A5" s="482" t="s">
        <v>599</v>
      </c>
      <c r="B5" s="485">
        <v>15575</v>
      </c>
      <c r="C5" s="485">
        <v>11400</v>
      </c>
      <c r="D5" s="485">
        <v>12950</v>
      </c>
      <c r="E5" s="485">
        <v>9600</v>
      </c>
      <c r="F5" s="485">
        <v>11160</v>
      </c>
      <c r="G5" s="485">
        <v>11720</v>
      </c>
      <c r="H5" s="485">
        <v>12770</v>
      </c>
      <c r="I5" s="485">
        <v>14100</v>
      </c>
      <c r="J5" s="485">
        <v>12700</v>
      </c>
      <c r="K5" s="485">
        <v>8550</v>
      </c>
      <c r="L5" s="485">
        <v>11000</v>
      </c>
      <c r="M5" s="485">
        <v>11450</v>
      </c>
      <c r="N5" s="485">
        <v>11250</v>
      </c>
      <c r="O5" s="485">
        <v>9520</v>
      </c>
      <c r="P5" s="485">
        <v>10500</v>
      </c>
      <c r="Q5" s="485">
        <v>10200</v>
      </c>
      <c r="R5" s="485">
        <v>9750</v>
      </c>
      <c r="S5" s="485">
        <v>8750</v>
      </c>
      <c r="T5" s="485">
        <v>11230</v>
      </c>
      <c r="U5" s="485">
        <v>9530</v>
      </c>
      <c r="V5" s="485">
        <v>9510</v>
      </c>
      <c r="W5" s="485">
        <v>8670</v>
      </c>
      <c r="X5" s="485">
        <v>9375</v>
      </c>
      <c r="Y5" s="485">
        <v>9720</v>
      </c>
      <c r="Z5" s="485">
        <v>9038.5152838427948</v>
      </c>
      <c r="AA5" s="485">
        <v>7106.8289557975659</v>
      </c>
      <c r="AB5" s="485">
        <v>8893.4883720930229</v>
      </c>
      <c r="AC5" s="485">
        <v>9344.5219638242888</v>
      </c>
      <c r="AD5" s="485">
        <v>8692.1567672833498</v>
      </c>
      <c r="AE5" s="485">
        <v>7653.1500872600345</v>
      </c>
      <c r="AF5" s="485">
        <v>9675.9892160929066</v>
      </c>
      <c r="AG5" s="485">
        <v>9036.9159795838241</v>
      </c>
      <c r="AH5" s="485">
        <v>9160.2922755741129</v>
      </c>
      <c r="AI5" s="485">
        <v>6567.4980959634422</v>
      </c>
      <c r="AJ5" s="485">
        <v>9158.4668192219688</v>
      </c>
      <c r="AK5" s="485">
        <v>9717.878787878788</v>
      </c>
      <c r="AL5" s="485">
        <v>7008.863636363636</v>
      </c>
      <c r="AM5" s="485">
        <v>8590.8010963858833</v>
      </c>
      <c r="AN5" s="485">
        <v>11432.60407777919</v>
      </c>
      <c r="AO5" s="485">
        <v>9966.1027903797149</v>
      </c>
      <c r="AP5" s="485">
        <v>10365.042584706536</v>
      </c>
      <c r="AQ5" s="485">
        <v>7990.4344459185941</v>
      </c>
      <c r="AR5" s="485">
        <v>7546.7110731351713</v>
      </c>
      <c r="AS5" s="485">
        <v>6366.0261173439349</v>
      </c>
      <c r="AT5" s="485">
        <v>6652.7955055301309</v>
      </c>
      <c r="AU5" s="485">
        <v>5205.7973935217806</v>
      </c>
      <c r="AV5" s="485">
        <v>8033.7444952587311</v>
      </c>
      <c r="AW5" s="485">
        <v>8372.3090646143028</v>
      </c>
      <c r="AX5" s="485">
        <v>6742.9790394538395</v>
      </c>
      <c r="AY5" s="485">
        <v>8061.764005667771</v>
      </c>
      <c r="AZ5" s="485">
        <v>8909.0095494950001</v>
      </c>
      <c r="BA5" s="485">
        <v>9258.2941811340461</v>
      </c>
      <c r="BB5" s="485">
        <v>8851.2997229103294</v>
      </c>
      <c r="BC5" s="485">
        <v>7948.7974135408776</v>
      </c>
      <c r="BD5" s="485">
        <v>10125.680974016439</v>
      </c>
      <c r="BE5" s="485">
        <v>9821.6534827060968</v>
      </c>
      <c r="BF5" s="485">
        <v>9464.1561002783001</v>
      </c>
      <c r="BG5" s="485">
        <v>7859.1397849462364</v>
      </c>
      <c r="BH5" s="485">
        <v>4838.8671875</v>
      </c>
      <c r="BI5" s="485">
        <v>5668.073878627968</v>
      </c>
      <c r="BJ5" s="485">
        <v>4889.3264733395699</v>
      </c>
      <c r="BK5" s="485">
        <v>4515.1952250903005</v>
      </c>
      <c r="BL5" s="485">
        <v>6349.5871327254308</v>
      </c>
      <c r="BM5" s="485">
        <v>6742.9755922469485</v>
      </c>
      <c r="BN5" s="485">
        <v>6563.4970639032817</v>
      </c>
      <c r="BO5" s="485">
        <v>7170.3132058077899</v>
      </c>
      <c r="BP5" s="485">
        <v>6760.9621162977764</v>
      </c>
      <c r="BQ5" s="485">
        <v>5539.3762724412363</v>
      </c>
      <c r="BR5" s="485">
        <v>8007.3542249580296</v>
      </c>
      <c r="BS5" s="485">
        <v>8941.5483183989563</v>
      </c>
      <c r="BT5" s="485">
        <v>8524.4595854371182</v>
      </c>
      <c r="BU5" s="485">
        <v>7205.2559485614765</v>
      </c>
      <c r="BV5" s="486">
        <f>BV8+BV11</f>
        <v>6628.8354726765583</v>
      </c>
      <c r="BW5" s="486">
        <f>BW8+BW11</f>
        <v>6628.8354726765583</v>
      </c>
      <c r="BX5" s="486">
        <f>BX8+BX11</f>
        <v>6827.7005368568553</v>
      </c>
      <c r="BY5" s="486">
        <f>BY8+BY11</f>
        <v>7032.5315529625614</v>
      </c>
      <c r="BZ5" s="486">
        <f t="shared" ref="BZ5:CO5" si="1">BZ8+BZ11</f>
        <v>6469.9290287255571</v>
      </c>
      <c r="CA5" s="486">
        <f t="shared" si="1"/>
        <v>6728.7261898745801</v>
      </c>
      <c r="CB5" s="486">
        <f t="shared" si="1"/>
        <v>7132.4497612670557</v>
      </c>
      <c r="CC5" s="486">
        <f t="shared" si="1"/>
        <v>7346.4232541050678</v>
      </c>
      <c r="CD5" s="486">
        <f t="shared" si="1"/>
        <v>6611.7809286945612</v>
      </c>
      <c r="CE5" s="486">
        <f t="shared" si="1"/>
        <v>6876.2521658423439</v>
      </c>
      <c r="CF5" s="486">
        <f t="shared" si="1"/>
        <v>7288.8272957928848</v>
      </c>
      <c r="CG5" s="486">
        <f t="shared" si="1"/>
        <v>7580.3803876246002</v>
      </c>
      <c r="CH5" s="486">
        <f t="shared" si="1"/>
        <v>6822.3423488621402</v>
      </c>
      <c r="CI5" s="486">
        <f t="shared" si="1"/>
        <v>7095.2360428166257</v>
      </c>
      <c r="CJ5" s="486">
        <f t="shared" si="1"/>
        <v>7520.950205385624</v>
      </c>
      <c r="CK5" s="486">
        <f t="shared" si="1"/>
        <v>7821.7882136010494</v>
      </c>
      <c r="CL5" s="486">
        <f t="shared" si="1"/>
        <v>7039.6093922409445</v>
      </c>
      <c r="CM5" s="486">
        <f t="shared" si="1"/>
        <v>7321.1937679305829</v>
      </c>
      <c r="CN5" s="486">
        <f t="shared" si="1"/>
        <v>7760.4653940064181</v>
      </c>
      <c r="CO5" s="486">
        <f t="shared" si="1"/>
        <v>8070.8840097666753</v>
      </c>
      <c r="CP5" s="548"/>
      <c r="CQ5" s="549"/>
      <c r="CR5" s="485">
        <f>SUM(B5:E5)</f>
        <v>49525</v>
      </c>
      <c r="CS5" s="485">
        <f>SUM(F5:I5)</f>
        <v>49750</v>
      </c>
      <c r="CT5" s="485">
        <f>SUM(J5:M5)</f>
        <v>43700</v>
      </c>
      <c r="CU5" s="485">
        <f>SUM(N5:Q5)</f>
        <v>41470</v>
      </c>
      <c r="CV5" s="485">
        <f>SUM(R5:U5)</f>
        <v>39260</v>
      </c>
      <c r="CW5" s="485">
        <f>SUM(V5:Y5)</f>
        <v>37275</v>
      </c>
      <c r="CX5" s="485">
        <f>SUM(Z5:AC5)</f>
        <v>34383.354575557678</v>
      </c>
      <c r="CY5" s="485">
        <f>SUM(AD5:AG5)</f>
        <v>35058.212050220114</v>
      </c>
      <c r="CZ5" s="485">
        <f>SUM(AH5:AK5)</f>
        <v>34604.135978638311</v>
      </c>
      <c r="DA5" s="485">
        <f>SUM(AL5:AO5)</f>
        <v>36998.371600908424</v>
      </c>
      <c r="DB5" s="485">
        <f>SUM(AP5:AS5)</f>
        <v>32268.214221104237</v>
      </c>
      <c r="DC5" s="485">
        <f>AT5+AU5+AV5+AW5</f>
        <v>28264.646458924944</v>
      </c>
      <c r="DD5" s="485">
        <f>AX5+AY5+AZ5+BA5</f>
        <v>32972.046775750656</v>
      </c>
      <c r="DE5" s="485">
        <f>BB5+BC5+BD5+BE5</f>
        <v>36747.431593173744</v>
      </c>
      <c r="DF5" s="485">
        <f>+SUM(BF5:BI5)</f>
        <v>27830.236951352505</v>
      </c>
      <c r="DG5" s="485">
        <f>+SUM(BJ5:BM5)</f>
        <v>22497.084423402252</v>
      </c>
      <c r="DH5" s="485">
        <f>+SUM(BN5:BQ5)</f>
        <v>26034.148658450085</v>
      </c>
      <c r="DI5" s="485">
        <f>+SUM(BR5:BU5)</f>
        <v>32678.618077355579</v>
      </c>
      <c r="DJ5" s="486">
        <f>SUM(BV5:BY5)</f>
        <v>27117.903035172534</v>
      </c>
      <c r="DK5" s="486">
        <f>SUM(BZ5:CC5)</f>
        <v>27677.528233972262</v>
      </c>
      <c r="DL5" s="486">
        <f>SUM(CD5:CG5)</f>
        <v>28357.240777954394</v>
      </c>
      <c r="DM5" s="486">
        <f>SUM(CH5:CK5)</f>
        <v>29260.316810665438</v>
      </c>
      <c r="DN5" s="486">
        <f>SUM(CL5:CO5)</f>
        <v>30192.152563944619</v>
      </c>
      <c r="DO5" s="548"/>
    </row>
    <row r="6" spans="1:119" s="551" customFormat="1">
      <c r="A6" s="92" t="s">
        <v>223</v>
      </c>
      <c r="B6" s="488"/>
      <c r="C6" s="488">
        <f t="shared" ref="C6:BN6" si="2">C5/B5-1</f>
        <v>-0.2680577849117175</v>
      </c>
      <c r="D6" s="488">
        <f t="shared" si="2"/>
        <v>0.13596491228070184</v>
      </c>
      <c r="E6" s="488">
        <f t="shared" si="2"/>
        <v>-0.25868725868725873</v>
      </c>
      <c r="F6" s="488">
        <f t="shared" si="2"/>
        <v>0.16250000000000009</v>
      </c>
      <c r="G6" s="488">
        <f t="shared" si="2"/>
        <v>5.017921146953408E-2</v>
      </c>
      <c r="H6" s="488">
        <f t="shared" si="2"/>
        <v>8.9590443686006882E-2</v>
      </c>
      <c r="I6" s="488">
        <f t="shared" si="2"/>
        <v>0.10415035238841042</v>
      </c>
      <c r="J6" s="488">
        <f t="shared" si="2"/>
        <v>-9.9290780141844004E-2</v>
      </c>
      <c r="K6" s="488">
        <f t="shared" si="2"/>
        <v>-0.32677165354330706</v>
      </c>
      <c r="L6" s="488">
        <f t="shared" si="2"/>
        <v>0.28654970760233911</v>
      </c>
      <c r="M6" s="488">
        <f t="shared" si="2"/>
        <v>4.0909090909091006E-2</v>
      </c>
      <c r="N6" s="488">
        <f t="shared" si="2"/>
        <v>-1.7467248908296984E-2</v>
      </c>
      <c r="O6" s="488">
        <f t="shared" si="2"/>
        <v>-0.15377777777777779</v>
      </c>
      <c r="P6" s="488">
        <f t="shared" si="2"/>
        <v>0.10294117647058831</v>
      </c>
      <c r="Q6" s="488">
        <f t="shared" si="2"/>
        <v>-2.8571428571428581E-2</v>
      </c>
      <c r="R6" s="488">
        <f t="shared" si="2"/>
        <v>-4.4117647058823484E-2</v>
      </c>
      <c r="S6" s="488">
        <f t="shared" si="2"/>
        <v>-0.10256410256410253</v>
      </c>
      <c r="T6" s="488">
        <f t="shared" si="2"/>
        <v>0.28342857142857136</v>
      </c>
      <c r="U6" s="488">
        <f t="shared" si="2"/>
        <v>-0.15138023152270708</v>
      </c>
      <c r="V6" s="488">
        <f t="shared" si="2"/>
        <v>-2.0986358866736943E-3</v>
      </c>
      <c r="W6" s="488">
        <f t="shared" si="2"/>
        <v>-8.8328075709779186E-2</v>
      </c>
      <c r="X6" s="488">
        <f t="shared" si="2"/>
        <v>8.1314878892733589E-2</v>
      </c>
      <c r="Y6" s="488">
        <f t="shared" si="2"/>
        <v>3.6799999999999944E-2</v>
      </c>
      <c r="Z6" s="488">
        <f t="shared" si="2"/>
        <v>-7.011159631246966E-2</v>
      </c>
      <c r="AA6" s="488">
        <f t="shared" si="2"/>
        <v>-0.21371721653204501</v>
      </c>
      <c r="AB6" s="488">
        <f t="shared" si="2"/>
        <v>0.25140036821034606</v>
      </c>
      <c r="AC6" s="488">
        <f t="shared" si="2"/>
        <v>5.0715036986675566E-2</v>
      </c>
      <c r="AD6" s="488">
        <f t="shared" si="2"/>
        <v>-6.9812581003764418E-2</v>
      </c>
      <c r="AE6" s="488">
        <f t="shared" si="2"/>
        <v>-0.11953381742193847</v>
      </c>
      <c r="AF6" s="488">
        <f t="shared" si="2"/>
        <v>0.26431457710469197</v>
      </c>
      <c r="AG6" s="488">
        <f t="shared" si="2"/>
        <v>-6.6047328313077136E-2</v>
      </c>
      <c r="AH6" s="488">
        <f t="shared" si="2"/>
        <v>1.3652477932628804E-2</v>
      </c>
      <c r="AI6" s="488">
        <f t="shared" si="2"/>
        <v>-0.28304710173106018</v>
      </c>
      <c r="AJ6" s="488">
        <f t="shared" si="2"/>
        <v>0.39451381414956233</v>
      </c>
      <c r="AK6" s="488">
        <f t="shared" si="2"/>
        <v>6.1081399288657634E-2</v>
      </c>
      <c r="AL6" s="488">
        <f t="shared" si="2"/>
        <v>-0.27876609810096986</v>
      </c>
      <c r="AM6" s="488">
        <f t="shared" si="2"/>
        <v>0.22570527008326757</v>
      </c>
      <c r="AN6" s="488">
        <f t="shared" si="2"/>
        <v>0.33079603979992522</v>
      </c>
      <c r="AO6" s="488">
        <f t="shared" si="2"/>
        <v>-0.12827360043455172</v>
      </c>
      <c r="AP6" s="488">
        <f t="shared" si="2"/>
        <v>4.0029668840253052E-2</v>
      </c>
      <c r="AQ6" s="488">
        <f t="shared" si="2"/>
        <v>-0.22909776967936823</v>
      </c>
      <c r="AR6" s="488">
        <f t="shared" si="2"/>
        <v>-5.5531820677168664E-2</v>
      </c>
      <c r="AS6" s="488">
        <f t="shared" si="2"/>
        <v>-0.1564502661290752</v>
      </c>
      <c r="AT6" s="488">
        <f t="shared" si="2"/>
        <v>4.5046844436422706E-2</v>
      </c>
      <c r="AU6" s="488">
        <f t="shared" si="2"/>
        <v>-0.21750226815261864</v>
      </c>
      <c r="AV6" s="488">
        <f t="shared" si="2"/>
        <v>0.54323034262841574</v>
      </c>
      <c r="AW6" s="488">
        <f t="shared" si="2"/>
        <v>4.2142810187127733E-2</v>
      </c>
      <c r="AX6" s="488">
        <f t="shared" si="2"/>
        <v>-0.19460939778810271</v>
      </c>
      <c r="AY6" s="488">
        <f t="shared" si="2"/>
        <v>0.1955789805214565</v>
      </c>
      <c r="AZ6" s="488">
        <f t="shared" si="2"/>
        <v>0.105094312266097</v>
      </c>
      <c r="BA6" s="488">
        <f t="shared" si="2"/>
        <v>3.9205775872004134E-2</v>
      </c>
      <c r="BB6" s="488">
        <f t="shared" si="2"/>
        <v>-4.3959983368541455E-2</v>
      </c>
      <c r="BC6" s="488">
        <f t="shared" si="2"/>
        <v>-0.10196268769810757</v>
      </c>
      <c r="BD6" s="488">
        <f t="shared" si="2"/>
        <v>0.27386325845557624</v>
      </c>
      <c r="BE6" s="488">
        <f t="shared" si="2"/>
        <v>-3.0025387140924953E-2</v>
      </c>
      <c r="BF6" s="488">
        <f t="shared" si="2"/>
        <v>-3.6398899946661345E-2</v>
      </c>
      <c r="BG6" s="488">
        <f t="shared" si="2"/>
        <v>-0.16958895207623081</v>
      </c>
      <c r="BH6" s="488">
        <f t="shared" si="2"/>
        <v>-0.38430065886236142</v>
      </c>
      <c r="BI6" s="488">
        <f t="shared" si="2"/>
        <v>0.17136380458426625</v>
      </c>
      <c r="BJ6" s="488">
        <f t="shared" si="2"/>
        <v>-0.13739189395973506</v>
      </c>
      <c r="BK6" s="488">
        <f t="shared" si="2"/>
        <v>-7.6519997240790838E-2</v>
      </c>
      <c r="BL6" s="488">
        <f t="shared" si="2"/>
        <v>0.40627078480276424</v>
      </c>
      <c r="BM6" s="488">
        <f t="shared" si="2"/>
        <v>6.195496672437395E-2</v>
      </c>
      <c r="BN6" s="488">
        <f t="shared" si="2"/>
        <v>-2.6617110782668485E-2</v>
      </c>
      <c r="BO6" s="488">
        <f t="shared" ref="BO6:CO6" si="3">BO5/BN5-1</f>
        <v>9.2453174884737033E-2</v>
      </c>
      <c r="BP6" s="488">
        <f t="shared" si="3"/>
        <v>-5.7089708323821653E-2</v>
      </c>
      <c r="BQ6" s="488">
        <f t="shared" si="3"/>
        <v>-0.18068224948514666</v>
      </c>
      <c r="BR6" s="488">
        <f t="shared" si="3"/>
        <v>0.44553354586059579</v>
      </c>
      <c r="BS6" s="488">
        <f t="shared" si="3"/>
        <v>0.11666701224845877</v>
      </c>
      <c r="BT6" s="488">
        <f t="shared" si="3"/>
        <v>-4.6646142044951877E-2</v>
      </c>
      <c r="BU6" s="488">
        <f t="shared" si="3"/>
        <v>-0.15475510484316468</v>
      </c>
      <c r="BV6" s="489">
        <f t="shared" si="3"/>
        <v>-7.999999999999996E-2</v>
      </c>
      <c r="BW6" s="489">
        <f t="shared" si="3"/>
        <v>0</v>
      </c>
      <c r="BX6" s="489">
        <f t="shared" si="3"/>
        <v>3.0000000000000027E-2</v>
      </c>
      <c r="BY6" s="489">
        <f t="shared" si="3"/>
        <v>3.0000000000000027E-2</v>
      </c>
      <c r="BZ6" s="489">
        <f t="shared" si="3"/>
        <v>-7.9999999999999849E-2</v>
      </c>
      <c r="CA6" s="489">
        <f t="shared" si="3"/>
        <v>4.0000000000000036E-2</v>
      </c>
      <c r="CB6" s="489">
        <f t="shared" si="3"/>
        <v>6.0000000000000053E-2</v>
      </c>
      <c r="CC6" s="489">
        <f t="shared" si="3"/>
        <v>3.0000000000000027E-2</v>
      </c>
      <c r="CD6" s="489">
        <f t="shared" si="3"/>
        <v>-9.9999999999999978E-2</v>
      </c>
      <c r="CE6" s="489">
        <f t="shared" si="3"/>
        <v>4.0000000000000036E-2</v>
      </c>
      <c r="CF6" s="489">
        <f t="shared" si="3"/>
        <v>6.0000000000000053E-2</v>
      </c>
      <c r="CG6" s="489">
        <f t="shared" si="3"/>
        <v>4.0000000000000036E-2</v>
      </c>
      <c r="CH6" s="489">
        <f t="shared" si="3"/>
        <v>-9.9999999999999978E-2</v>
      </c>
      <c r="CI6" s="489">
        <f t="shared" si="3"/>
        <v>4.0000000000000036E-2</v>
      </c>
      <c r="CJ6" s="489">
        <f t="shared" si="3"/>
        <v>6.0000000000000053E-2</v>
      </c>
      <c r="CK6" s="489">
        <f t="shared" si="3"/>
        <v>4.0000000000000036E-2</v>
      </c>
      <c r="CL6" s="489">
        <f t="shared" si="3"/>
        <v>-9.9999999999999978E-2</v>
      </c>
      <c r="CM6" s="489">
        <f t="shared" si="3"/>
        <v>4.0000000000000036E-2</v>
      </c>
      <c r="CN6" s="489">
        <f t="shared" si="3"/>
        <v>6.0000000000000053E-2</v>
      </c>
      <c r="CO6" s="489">
        <f t="shared" si="3"/>
        <v>4.0000000000000036E-2</v>
      </c>
      <c r="CP6" s="550"/>
      <c r="CQ6" s="92"/>
      <c r="CR6" s="493"/>
      <c r="CS6" s="493"/>
      <c r="CT6" s="493"/>
      <c r="CU6" s="493"/>
      <c r="CV6" s="493"/>
      <c r="CW6" s="493"/>
      <c r="CX6" s="493"/>
      <c r="CY6" s="493"/>
      <c r="CZ6" s="494"/>
      <c r="DA6" s="494"/>
      <c r="DB6" s="494"/>
      <c r="DC6" s="494"/>
      <c r="DD6" s="494"/>
      <c r="DE6" s="510"/>
      <c r="DF6" s="510"/>
      <c r="DG6" s="510"/>
      <c r="DH6" s="510"/>
      <c r="DI6" s="510"/>
      <c r="DJ6" s="494"/>
      <c r="DK6" s="494"/>
      <c r="DL6" s="494"/>
      <c r="DM6" s="494"/>
      <c r="DN6" s="494"/>
      <c r="DO6" s="550"/>
    </row>
    <row r="7" spans="1:119" s="551" customFormat="1">
      <c r="A7" s="92" t="s">
        <v>225</v>
      </c>
      <c r="B7" s="488"/>
      <c r="C7" s="488"/>
      <c r="D7" s="488"/>
      <c r="E7" s="488"/>
      <c r="F7" s="488">
        <f t="shared" ref="F7:BQ7" si="4">F5/B5-1</f>
        <v>-0.28346709470304976</v>
      </c>
      <c r="G7" s="488">
        <f t="shared" si="4"/>
        <v>2.8070175438596578E-2</v>
      </c>
      <c r="H7" s="488">
        <f t="shared" si="4"/>
        <v>-1.3899613899613916E-2</v>
      </c>
      <c r="I7" s="488">
        <f t="shared" si="4"/>
        <v>0.46875</v>
      </c>
      <c r="J7" s="488">
        <f t="shared" si="4"/>
        <v>0.13799283154121866</v>
      </c>
      <c r="K7" s="488">
        <f t="shared" si="4"/>
        <v>-0.27047781569965867</v>
      </c>
      <c r="L7" s="488">
        <f t="shared" si="4"/>
        <v>-0.13860610806577922</v>
      </c>
      <c r="M7" s="488">
        <f t="shared" si="4"/>
        <v>-0.18794326241134751</v>
      </c>
      <c r="N7" s="488">
        <f t="shared" si="4"/>
        <v>-0.11417322834645671</v>
      </c>
      <c r="O7" s="488">
        <f t="shared" si="4"/>
        <v>0.1134502923976608</v>
      </c>
      <c r="P7" s="488">
        <f t="shared" si="4"/>
        <v>-4.5454545454545414E-2</v>
      </c>
      <c r="Q7" s="488">
        <f t="shared" si="4"/>
        <v>-0.10917030567685593</v>
      </c>
      <c r="R7" s="488">
        <f t="shared" si="4"/>
        <v>-0.1333333333333333</v>
      </c>
      <c r="S7" s="488">
        <f t="shared" si="4"/>
        <v>-8.0882352941176516E-2</v>
      </c>
      <c r="T7" s="488">
        <f t="shared" si="4"/>
        <v>6.9523809523809543E-2</v>
      </c>
      <c r="U7" s="488">
        <f t="shared" si="4"/>
        <v>-6.568627450980391E-2</v>
      </c>
      <c r="V7" s="488">
        <f t="shared" si="4"/>
        <v>-2.4615384615384595E-2</v>
      </c>
      <c r="W7" s="488">
        <f t="shared" si="4"/>
        <v>-9.1428571428571193E-3</v>
      </c>
      <c r="X7" s="488">
        <f t="shared" si="4"/>
        <v>-0.16518254674977739</v>
      </c>
      <c r="Y7" s="488">
        <f t="shared" si="4"/>
        <v>1.9937040923399874E-2</v>
      </c>
      <c r="Z7" s="488">
        <f t="shared" si="4"/>
        <v>-4.9577782981830243E-2</v>
      </c>
      <c r="AA7" s="488">
        <f t="shared" si="4"/>
        <v>-0.18029654489070757</v>
      </c>
      <c r="AB7" s="488">
        <f t="shared" si="4"/>
        <v>-5.1361240310077605E-2</v>
      </c>
      <c r="AC7" s="488">
        <f t="shared" si="4"/>
        <v>-3.862942759009369E-2</v>
      </c>
      <c r="AD7" s="488">
        <f t="shared" si="4"/>
        <v>-3.8320288861887986E-2</v>
      </c>
      <c r="AE7" s="488">
        <f t="shared" si="4"/>
        <v>7.6872700167744279E-2</v>
      </c>
      <c r="AF7" s="488">
        <f t="shared" si="4"/>
        <v>8.7985817404934386E-2</v>
      </c>
      <c r="AG7" s="488">
        <f t="shared" si="4"/>
        <v>-3.2918322139035894E-2</v>
      </c>
      <c r="AH7" s="488">
        <f t="shared" si="4"/>
        <v>5.3857232540120759E-2</v>
      </c>
      <c r="AI7" s="488">
        <f t="shared" si="4"/>
        <v>-0.14185687970550109</v>
      </c>
      <c r="AJ7" s="488">
        <f t="shared" si="4"/>
        <v>-5.3485218442596572E-2</v>
      </c>
      <c r="AK7" s="488">
        <f t="shared" si="4"/>
        <v>7.5353451313854514E-2</v>
      </c>
      <c r="AL7" s="488">
        <f t="shared" si="4"/>
        <v>-0.23486462816773368</v>
      </c>
      <c r="AM7" s="488">
        <f t="shared" si="4"/>
        <v>0.3080782012964749</v>
      </c>
      <c r="AN7" s="488">
        <f t="shared" si="4"/>
        <v>0.24830982122293843</v>
      </c>
      <c r="AO7" s="488">
        <f t="shared" si="4"/>
        <v>2.5543023114317887E-2</v>
      </c>
      <c r="AP7" s="488">
        <f t="shared" si="4"/>
        <v>0.47884780222149748</v>
      </c>
      <c r="AQ7" s="488">
        <f t="shared" si="4"/>
        <v>-6.9884827239203751E-2</v>
      </c>
      <c r="AR7" s="488">
        <f t="shared" si="4"/>
        <v>-0.33989570339418784</v>
      </c>
      <c r="AS7" s="488">
        <f t="shared" si="4"/>
        <v>-0.36123214347246513</v>
      </c>
      <c r="AT7" s="488">
        <f t="shared" si="4"/>
        <v>-0.35815068282051921</v>
      </c>
      <c r="AU7" s="488">
        <f t="shared" si="4"/>
        <v>-0.34849632660701801</v>
      </c>
      <c r="AV7" s="488">
        <f t="shared" si="4"/>
        <v>6.4535851101720887E-2</v>
      </c>
      <c r="AW7" s="488">
        <f t="shared" si="4"/>
        <v>0.31515468367375155</v>
      </c>
      <c r="AX7" s="488">
        <f t="shared" si="4"/>
        <v>1.3555735156558502E-2</v>
      </c>
      <c r="AY7" s="488">
        <f t="shared" si="4"/>
        <v>0.54861270930367434</v>
      </c>
      <c r="AZ7" s="488">
        <f t="shared" si="4"/>
        <v>0.10894857992469431</v>
      </c>
      <c r="BA7" s="488">
        <f t="shared" si="4"/>
        <v>0.10582326926562868</v>
      </c>
      <c r="BB7" s="488">
        <f t="shared" si="4"/>
        <v>0.31266902523654561</v>
      </c>
      <c r="BC7" s="488">
        <f t="shared" si="4"/>
        <v>-1.4012639423266804E-2</v>
      </c>
      <c r="BD7" s="488">
        <f t="shared" si="4"/>
        <v>0.13656640704694323</v>
      </c>
      <c r="BE7" s="488">
        <f t="shared" si="4"/>
        <v>6.0849146781275065E-2</v>
      </c>
      <c r="BF7" s="488">
        <f t="shared" si="4"/>
        <v>6.9239139623944679E-2</v>
      </c>
      <c r="BG7" s="488">
        <f t="shared" si="4"/>
        <v>-1.12793953512903E-2</v>
      </c>
      <c r="BH7" s="488">
        <f t="shared" si="4"/>
        <v>-0.52211933203139216</v>
      </c>
      <c r="BI7" s="488">
        <f t="shared" si="4"/>
        <v>-0.4229002388845956</v>
      </c>
      <c r="BJ7" s="488">
        <f t="shared" si="4"/>
        <v>-0.48338484471998555</v>
      </c>
      <c r="BK7" s="488">
        <f t="shared" si="4"/>
        <v>-0.42548480512601183</v>
      </c>
      <c r="BL7" s="488">
        <f t="shared" si="4"/>
        <v>0.31220529241389317</v>
      </c>
      <c r="BM7" s="488">
        <f t="shared" si="4"/>
        <v>0.18964144374899616</v>
      </c>
      <c r="BN7" s="488">
        <f t="shared" si="4"/>
        <v>0.34241333641608884</v>
      </c>
      <c r="BO7" s="488">
        <f t="shared" si="4"/>
        <v>0.58804057152686884</v>
      </c>
      <c r="BP7" s="488">
        <f t="shared" si="4"/>
        <v>6.4787674375258453E-2</v>
      </c>
      <c r="BQ7" s="488">
        <f t="shared" si="4"/>
        <v>-0.1784967635341298</v>
      </c>
      <c r="BR7" s="488">
        <f t="shared" ref="BR7:CO7" si="5">BR5/BN5-1</f>
        <v>0.21998290652027697</v>
      </c>
      <c r="BS7" s="488">
        <f t="shared" si="5"/>
        <v>0.24702339517840111</v>
      </c>
      <c r="BT7" s="488">
        <f t="shared" si="5"/>
        <v>0.2608352833228138</v>
      </c>
      <c r="BU7" s="488">
        <f t="shared" si="5"/>
        <v>0.30073416106576878</v>
      </c>
      <c r="BV7" s="489">
        <f t="shared" si="5"/>
        <v>-0.17215658425410763</v>
      </c>
      <c r="BW7" s="489">
        <f t="shared" si="5"/>
        <v>-0.25864791682258725</v>
      </c>
      <c r="BX7" s="489">
        <f t="shared" si="5"/>
        <v>-0.19904593734938292</v>
      </c>
      <c r="BY7" s="489">
        <f t="shared" si="5"/>
        <v>-2.3971999999999882E-2</v>
      </c>
      <c r="BZ7" s="489">
        <f t="shared" si="5"/>
        <v>-2.3971999999999771E-2</v>
      </c>
      <c r="CA7" s="489">
        <f t="shared" si="5"/>
        <v>1.506912000000038E-2</v>
      </c>
      <c r="CB7" s="489">
        <f t="shared" si="5"/>
        <v>4.463424000000038E-2</v>
      </c>
      <c r="CC7" s="489">
        <f t="shared" si="5"/>
        <v>4.463424000000038E-2</v>
      </c>
      <c r="CD7" s="489">
        <f t="shared" si="5"/>
        <v>2.19248000000003E-2</v>
      </c>
      <c r="CE7" s="489">
        <f t="shared" si="5"/>
        <v>2.19248000000003E-2</v>
      </c>
      <c r="CF7" s="489">
        <f t="shared" si="5"/>
        <v>2.1924800000000078E-2</v>
      </c>
      <c r="CG7" s="489">
        <f t="shared" si="5"/>
        <v>3.1846400000000052E-2</v>
      </c>
      <c r="CH7" s="489">
        <f t="shared" si="5"/>
        <v>3.1846400000000052E-2</v>
      </c>
      <c r="CI7" s="489">
        <f t="shared" si="5"/>
        <v>3.1846400000000052E-2</v>
      </c>
      <c r="CJ7" s="489">
        <f t="shared" si="5"/>
        <v>3.1846400000000052E-2</v>
      </c>
      <c r="CK7" s="489">
        <f t="shared" si="5"/>
        <v>3.1846400000000052E-2</v>
      </c>
      <c r="CL7" s="489">
        <f t="shared" si="5"/>
        <v>3.1846400000000052E-2</v>
      </c>
      <c r="CM7" s="489">
        <f t="shared" si="5"/>
        <v>3.1846400000000274E-2</v>
      </c>
      <c r="CN7" s="489">
        <f t="shared" si="5"/>
        <v>3.1846400000000274E-2</v>
      </c>
      <c r="CO7" s="489">
        <f t="shared" si="5"/>
        <v>3.1846400000000274E-2</v>
      </c>
      <c r="CP7" s="550"/>
      <c r="CQ7" s="92"/>
      <c r="CR7" s="752"/>
      <c r="CS7" s="551">
        <f t="shared" ref="CS7:DK7" si="6">CS5/CR5-1</f>
        <v>4.5431600201917277E-3</v>
      </c>
      <c r="CT7" s="551">
        <f t="shared" si="6"/>
        <v>-0.12160804020100502</v>
      </c>
      <c r="CU7" s="551">
        <f t="shared" si="6"/>
        <v>-5.102974828375284E-2</v>
      </c>
      <c r="CV7" s="551">
        <f t="shared" si="6"/>
        <v>-5.3291536050156685E-2</v>
      </c>
      <c r="CW7" s="551">
        <f t="shared" si="6"/>
        <v>-5.0560366785532329E-2</v>
      </c>
      <c r="CX7" s="551">
        <f t="shared" si="6"/>
        <v>-7.7576000655729671E-2</v>
      </c>
      <c r="CY7" s="551">
        <f t="shared" si="6"/>
        <v>1.9627447146828958E-2</v>
      </c>
      <c r="CZ7" s="488">
        <f t="shared" si="6"/>
        <v>-1.2952060160151602E-2</v>
      </c>
      <c r="DA7" s="488">
        <f t="shared" si="6"/>
        <v>6.9189290660171654E-2</v>
      </c>
      <c r="DB7" s="488">
        <f t="shared" si="6"/>
        <v>-0.12784771802465078</v>
      </c>
      <c r="DC7" s="488">
        <f t="shared" si="6"/>
        <v>-0.12407156264510155</v>
      </c>
      <c r="DD7" s="488">
        <f t="shared" si="6"/>
        <v>0.16654729163751081</v>
      </c>
      <c r="DE7" s="488">
        <f t="shared" si="6"/>
        <v>0.11450259194099233</v>
      </c>
      <c r="DF7" s="488">
        <f t="shared" si="6"/>
        <v>-0.24266171145081361</v>
      </c>
      <c r="DG7" s="488">
        <f t="shared" si="6"/>
        <v>-0.19163158895386523</v>
      </c>
      <c r="DH7" s="488">
        <f t="shared" si="6"/>
        <v>0.15722322806276434</v>
      </c>
      <c r="DI7" s="488">
        <f t="shared" si="6"/>
        <v>0.25522130591156666</v>
      </c>
      <c r="DJ7" s="497">
        <f t="shared" si="6"/>
        <v>-0.17016371466565483</v>
      </c>
      <c r="DK7" s="497">
        <f t="shared" si="6"/>
        <v>2.063674311667385E-2</v>
      </c>
      <c r="DL7" s="497">
        <f>DL5/DK5-1</f>
        <v>2.4558282019845779E-2</v>
      </c>
      <c r="DM7" s="497">
        <f>DM5/DL5-1</f>
        <v>3.184639999999983E-2</v>
      </c>
      <c r="DN7" s="497">
        <f>DN5/DM5-1</f>
        <v>3.1846400000000274E-2</v>
      </c>
      <c r="DO7" s="550"/>
    </row>
    <row r="8" spans="1:119" s="551" customFormat="1">
      <c r="A8" s="496" t="s">
        <v>257</v>
      </c>
      <c r="B8" s="488"/>
      <c r="C8" s="488"/>
      <c r="D8" s="488"/>
      <c r="E8" s="488"/>
      <c r="F8" s="488"/>
      <c r="G8" s="488"/>
      <c r="H8" s="488"/>
      <c r="I8" s="488"/>
      <c r="J8" s="488"/>
      <c r="K8" s="488"/>
      <c r="L8" s="488"/>
      <c r="M8" s="488"/>
      <c r="N8" s="488"/>
      <c r="O8" s="488"/>
      <c r="P8" s="488"/>
      <c r="Q8" s="488"/>
      <c r="R8" s="488"/>
      <c r="S8" s="488"/>
      <c r="T8" s="488"/>
      <c r="U8" s="488"/>
      <c r="V8" s="488"/>
      <c r="W8" s="488"/>
      <c r="X8" s="488"/>
      <c r="Y8" s="488"/>
      <c r="Z8" s="485">
        <f t="shared" ref="Z8:BU8" si="7">Z5-Z11</f>
        <v>9038.5152838427948</v>
      </c>
      <c r="AA8" s="485">
        <f t="shared" si="7"/>
        <v>7106.8289557975659</v>
      </c>
      <c r="AB8" s="485">
        <f t="shared" si="7"/>
        <v>8893.4883720930229</v>
      </c>
      <c r="AC8" s="485">
        <f t="shared" si="7"/>
        <v>9344.5219638242888</v>
      </c>
      <c r="AD8" s="485">
        <f t="shared" si="7"/>
        <v>8692.1567672833498</v>
      </c>
      <c r="AE8" s="485">
        <f t="shared" si="7"/>
        <v>7653.1500872600345</v>
      </c>
      <c r="AF8" s="485">
        <f t="shared" si="7"/>
        <v>9675.9892160929066</v>
      </c>
      <c r="AG8" s="485">
        <f t="shared" si="7"/>
        <v>9036.9159795838241</v>
      </c>
      <c r="AH8" s="485">
        <f t="shared" si="7"/>
        <v>9160.2922755741129</v>
      </c>
      <c r="AI8" s="485">
        <f t="shared" si="7"/>
        <v>6567.4980959634422</v>
      </c>
      <c r="AJ8" s="485">
        <f t="shared" si="7"/>
        <v>9158.4668192219688</v>
      </c>
      <c r="AK8" s="485">
        <f t="shared" si="7"/>
        <v>9717.878787878788</v>
      </c>
      <c r="AL8" s="485">
        <f t="shared" si="7"/>
        <v>7008.863636363636</v>
      </c>
      <c r="AM8" s="485">
        <f t="shared" si="7"/>
        <v>8590.8010963858833</v>
      </c>
      <c r="AN8" s="485">
        <f t="shared" si="7"/>
        <v>11200.045938244306</v>
      </c>
      <c r="AO8" s="485">
        <f t="shared" si="7"/>
        <v>9268.4283717750641</v>
      </c>
      <c r="AP8" s="485">
        <f t="shared" si="7"/>
        <v>9899.926305636769</v>
      </c>
      <c r="AQ8" s="485">
        <f t="shared" si="7"/>
        <v>7990.4344459185941</v>
      </c>
      <c r="AR8" s="485">
        <f t="shared" si="7"/>
        <v>7546.7110731351713</v>
      </c>
      <c r="AS8" s="485">
        <f t="shared" si="7"/>
        <v>6366.0261173439349</v>
      </c>
      <c r="AT8" s="485">
        <f t="shared" si="7"/>
        <v>6652.7955055301309</v>
      </c>
      <c r="AU8" s="485">
        <f t="shared" si="7"/>
        <v>5205.7973935217806</v>
      </c>
      <c r="AV8" s="485">
        <f t="shared" si="7"/>
        <v>8033.7444952587311</v>
      </c>
      <c r="AW8" s="485">
        <f t="shared" si="7"/>
        <v>8372.3090646143028</v>
      </c>
      <c r="AX8" s="485">
        <f t="shared" si="7"/>
        <v>6742.9790394538395</v>
      </c>
      <c r="AY8" s="485">
        <f t="shared" si="7"/>
        <v>8061.764005667771</v>
      </c>
      <c r="AZ8" s="485">
        <f t="shared" si="7"/>
        <v>8909.0095494950001</v>
      </c>
      <c r="BA8" s="485">
        <f t="shared" si="7"/>
        <v>8590.2941811340461</v>
      </c>
      <c r="BB8" s="485">
        <f t="shared" si="7"/>
        <v>7685.6397229103295</v>
      </c>
      <c r="BC8" s="485">
        <f t="shared" si="7"/>
        <v>6783.1374135408778</v>
      </c>
      <c r="BD8" s="485">
        <f t="shared" si="7"/>
        <v>9542.8509740164391</v>
      </c>
      <c r="BE8" s="485">
        <f t="shared" si="7"/>
        <v>9675.9459827060964</v>
      </c>
      <c r="BF8" s="485">
        <f t="shared" si="7"/>
        <v>9464.1561002783001</v>
      </c>
      <c r="BG8" s="485">
        <f t="shared" si="7"/>
        <v>7859.1397849462364</v>
      </c>
      <c r="BH8" s="485">
        <f t="shared" si="7"/>
        <v>4838.8671875</v>
      </c>
      <c r="BI8" s="485">
        <f t="shared" si="7"/>
        <v>5668.073878627968</v>
      </c>
      <c r="BJ8" s="485">
        <f t="shared" si="7"/>
        <v>4889.3264733395699</v>
      </c>
      <c r="BK8" s="485">
        <f t="shared" si="7"/>
        <v>4515.1952250903005</v>
      </c>
      <c r="BL8" s="485">
        <f t="shared" si="7"/>
        <v>6349.5871327254308</v>
      </c>
      <c r="BM8" s="485">
        <f t="shared" si="7"/>
        <v>6742.9755922469485</v>
      </c>
      <c r="BN8" s="485">
        <f t="shared" si="7"/>
        <v>6563.4970639032817</v>
      </c>
      <c r="BO8" s="485">
        <f t="shared" si="7"/>
        <v>7170.3132058077899</v>
      </c>
      <c r="BP8" s="485">
        <f t="shared" si="7"/>
        <v>6760.9621162977764</v>
      </c>
      <c r="BQ8" s="485">
        <f t="shared" si="7"/>
        <v>5539.3762724412363</v>
      </c>
      <c r="BR8" s="485">
        <f t="shared" si="7"/>
        <v>8007.3542249580296</v>
      </c>
      <c r="BS8" s="485">
        <f t="shared" si="7"/>
        <v>8941.5483183989563</v>
      </c>
      <c r="BT8" s="485">
        <f t="shared" si="7"/>
        <v>8524.4595854371182</v>
      </c>
      <c r="BU8" s="485">
        <f t="shared" si="7"/>
        <v>7205.2559485614765</v>
      </c>
      <c r="BV8" s="486">
        <f>BU8*(1+BV9)</f>
        <v>6628.8354726765583</v>
      </c>
      <c r="BW8" s="486">
        <f>BV8*(1+BW9)</f>
        <v>6628.8354726765583</v>
      </c>
      <c r="BX8" s="486">
        <f>BW8*(1+BX9)</f>
        <v>6827.7005368568553</v>
      </c>
      <c r="BY8" s="486">
        <f>BX8*(1+BY9)</f>
        <v>7032.5315529625614</v>
      </c>
      <c r="BZ8" s="486">
        <f t="shared" ref="BZ8:CO8" si="8">BY8*(1+BZ9)</f>
        <v>6469.9290287255571</v>
      </c>
      <c r="CA8" s="486">
        <f t="shared" si="8"/>
        <v>6728.7261898745801</v>
      </c>
      <c r="CB8" s="486">
        <f t="shared" si="8"/>
        <v>7132.4497612670557</v>
      </c>
      <c r="CC8" s="486">
        <f t="shared" si="8"/>
        <v>7346.4232541050678</v>
      </c>
      <c r="CD8" s="486">
        <f t="shared" si="8"/>
        <v>6611.7809286945612</v>
      </c>
      <c r="CE8" s="486">
        <f t="shared" si="8"/>
        <v>6876.2521658423439</v>
      </c>
      <c r="CF8" s="486">
        <f t="shared" si="8"/>
        <v>7288.8272957928848</v>
      </c>
      <c r="CG8" s="486">
        <f t="shared" si="8"/>
        <v>7580.3803876246002</v>
      </c>
      <c r="CH8" s="486">
        <f t="shared" si="8"/>
        <v>6822.3423488621402</v>
      </c>
      <c r="CI8" s="486">
        <f t="shared" si="8"/>
        <v>7095.2360428166257</v>
      </c>
      <c r="CJ8" s="486">
        <f t="shared" si="8"/>
        <v>7520.950205385624</v>
      </c>
      <c r="CK8" s="486">
        <f t="shared" si="8"/>
        <v>7821.7882136010494</v>
      </c>
      <c r="CL8" s="486">
        <f t="shared" si="8"/>
        <v>7039.6093922409445</v>
      </c>
      <c r="CM8" s="486">
        <f t="shared" si="8"/>
        <v>7321.1937679305829</v>
      </c>
      <c r="CN8" s="486">
        <f t="shared" si="8"/>
        <v>7760.4653940064181</v>
      </c>
      <c r="CO8" s="486">
        <f t="shared" si="8"/>
        <v>8070.8840097666753</v>
      </c>
      <c r="CP8" s="550"/>
      <c r="CQ8" s="92"/>
      <c r="CX8" s="485">
        <f>SUM(Z8:AC8)</f>
        <v>34383.354575557678</v>
      </c>
      <c r="CY8" s="485">
        <f>SUM(AD8:AG8)</f>
        <v>35058.212050220114</v>
      </c>
      <c r="CZ8" s="485">
        <f>SUM(AH8:AK8)</f>
        <v>34604.135978638311</v>
      </c>
      <c r="DA8" s="485">
        <f>SUM(AL8:AO8)</f>
        <v>36068.139042768889</v>
      </c>
      <c r="DB8" s="485">
        <f>SUM(AP8:AS8)</f>
        <v>31803.09794203447</v>
      </c>
      <c r="DC8" s="485">
        <f>AT8+AU8+AV8+AW8</f>
        <v>28264.646458924944</v>
      </c>
      <c r="DD8" s="485">
        <f>AX8+AY8+AZ8+BA8</f>
        <v>32304.046775750656</v>
      </c>
      <c r="DE8" s="485">
        <f>BB8+BC8+BD8+BE8</f>
        <v>33687.574093173738</v>
      </c>
      <c r="DF8" s="485">
        <f>+SUM(BF8:BI8)</f>
        <v>27830.236951352505</v>
      </c>
      <c r="DG8" s="485">
        <f>+SUM(BJ8:BM8)</f>
        <v>22497.084423402252</v>
      </c>
      <c r="DH8" s="485">
        <f>+SUM(BN8:BQ8)</f>
        <v>26034.148658450085</v>
      </c>
      <c r="DI8" s="485">
        <f>+SUM(BR8:BU8)</f>
        <v>32678.618077355579</v>
      </c>
      <c r="DJ8" s="486">
        <f>SUM(BV8:BY8)</f>
        <v>27117.903035172534</v>
      </c>
      <c r="DK8" s="486">
        <f>SUM(BZ8:CC8)</f>
        <v>27677.528233972262</v>
      </c>
      <c r="DL8" s="486">
        <f>SUM(CD8:CG8)</f>
        <v>28357.240777954394</v>
      </c>
      <c r="DM8" s="486">
        <f>SUM(CH8:CK8)</f>
        <v>29260.316810665438</v>
      </c>
      <c r="DN8" s="486">
        <f>SUM(CL8:CO8)</f>
        <v>30192.152563944619</v>
      </c>
      <c r="DO8" s="550"/>
    </row>
    <row r="9" spans="1:119" s="551" customFormat="1">
      <c r="A9" s="552" t="s">
        <v>223</v>
      </c>
      <c r="B9" s="488"/>
      <c r="C9" s="488"/>
      <c r="D9" s="488"/>
      <c r="E9" s="488"/>
      <c r="F9" s="488"/>
      <c r="G9" s="488"/>
      <c r="H9" s="488"/>
      <c r="I9" s="488"/>
      <c r="J9" s="488"/>
      <c r="K9" s="488"/>
      <c r="L9" s="488"/>
      <c r="M9" s="488"/>
      <c r="N9" s="488"/>
      <c r="O9" s="488"/>
      <c r="P9" s="488"/>
      <c r="Q9" s="488"/>
      <c r="R9" s="488"/>
      <c r="S9" s="488"/>
      <c r="T9" s="488"/>
      <c r="U9" s="488"/>
      <c r="V9" s="488"/>
      <c r="W9" s="488"/>
      <c r="X9" s="488"/>
      <c r="Y9" s="488"/>
      <c r="Z9" s="489"/>
      <c r="AA9" s="488">
        <f t="shared" ref="AA9:BU9" si="9">AA8/Z8-1</f>
        <v>-0.21371721653204501</v>
      </c>
      <c r="AB9" s="488">
        <f t="shared" si="9"/>
        <v>0.25140036821034606</v>
      </c>
      <c r="AC9" s="488">
        <f t="shared" si="9"/>
        <v>5.0715036986675566E-2</v>
      </c>
      <c r="AD9" s="488">
        <f t="shared" si="9"/>
        <v>-6.9812581003764418E-2</v>
      </c>
      <c r="AE9" s="488">
        <f t="shared" si="9"/>
        <v>-0.11953381742193847</v>
      </c>
      <c r="AF9" s="488">
        <f t="shared" si="9"/>
        <v>0.26431457710469197</v>
      </c>
      <c r="AG9" s="488">
        <f t="shared" si="9"/>
        <v>-6.6047328313077136E-2</v>
      </c>
      <c r="AH9" s="488">
        <f t="shared" si="9"/>
        <v>1.3652477932628804E-2</v>
      </c>
      <c r="AI9" s="488">
        <f t="shared" si="9"/>
        <v>-0.28304710173106018</v>
      </c>
      <c r="AJ9" s="488">
        <f t="shared" si="9"/>
        <v>0.39451381414956233</v>
      </c>
      <c r="AK9" s="488">
        <f t="shared" si="9"/>
        <v>6.1081399288657634E-2</v>
      </c>
      <c r="AL9" s="488">
        <f t="shared" si="9"/>
        <v>-0.27876609810096986</v>
      </c>
      <c r="AM9" s="488">
        <f t="shared" si="9"/>
        <v>0.22570527008326757</v>
      </c>
      <c r="AN9" s="488">
        <f t="shared" si="9"/>
        <v>0.30372543987267053</v>
      </c>
      <c r="AO9" s="488">
        <f t="shared" si="9"/>
        <v>-0.17246514676099967</v>
      </c>
      <c r="AP9" s="488">
        <f t="shared" si="9"/>
        <v>6.8134305896433434E-2</v>
      </c>
      <c r="AQ9" s="488">
        <f t="shared" si="9"/>
        <v>-0.19287940139826676</v>
      </c>
      <c r="AR9" s="488">
        <f t="shared" si="9"/>
        <v>-5.5531820677168664E-2</v>
      </c>
      <c r="AS9" s="488">
        <f t="shared" si="9"/>
        <v>-0.1564502661290752</v>
      </c>
      <c r="AT9" s="488">
        <f t="shared" si="9"/>
        <v>4.5046844436422706E-2</v>
      </c>
      <c r="AU9" s="488">
        <f t="shared" si="9"/>
        <v>-0.21750226815261864</v>
      </c>
      <c r="AV9" s="488">
        <f t="shared" si="9"/>
        <v>0.54323034262841574</v>
      </c>
      <c r="AW9" s="488">
        <f t="shared" si="9"/>
        <v>4.2142810187127733E-2</v>
      </c>
      <c r="AX9" s="488">
        <f t="shared" si="9"/>
        <v>-0.19460939778810271</v>
      </c>
      <c r="AY9" s="488">
        <f t="shared" si="9"/>
        <v>0.1955789805214565</v>
      </c>
      <c r="AZ9" s="488">
        <f t="shared" si="9"/>
        <v>0.105094312266097</v>
      </c>
      <c r="BA9" s="488">
        <f t="shared" si="9"/>
        <v>-3.5774500699577771E-2</v>
      </c>
      <c r="BB9" s="488">
        <f t="shared" si="9"/>
        <v>-0.10531123139071463</v>
      </c>
      <c r="BC9" s="488">
        <f t="shared" si="9"/>
        <v>-0.1174270902497756</v>
      </c>
      <c r="BD9" s="488">
        <f t="shared" si="9"/>
        <v>0.40684913075274975</v>
      </c>
      <c r="BE9" s="488">
        <f t="shared" si="9"/>
        <v>1.3947090764809378E-2</v>
      </c>
      <c r="BF9" s="488">
        <f t="shared" si="9"/>
        <v>-2.1888286975385141E-2</v>
      </c>
      <c r="BG9" s="488">
        <f t="shared" si="9"/>
        <v>-0.16958895207623081</v>
      </c>
      <c r="BH9" s="488">
        <f t="shared" si="9"/>
        <v>-0.38430065886236142</v>
      </c>
      <c r="BI9" s="488">
        <f t="shared" si="9"/>
        <v>0.17136380458426625</v>
      </c>
      <c r="BJ9" s="488">
        <f t="shared" si="9"/>
        <v>-0.13739189395973506</v>
      </c>
      <c r="BK9" s="488">
        <f t="shared" si="9"/>
        <v>-7.6519997240790838E-2</v>
      </c>
      <c r="BL9" s="488">
        <f t="shared" si="9"/>
        <v>0.40627078480276424</v>
      </c>
      <c r="BM9" s="488">
        <f t="shared" si="9"/>
        <v>6.195496672437395E-2</v>
      </c>
      <c r="BN9" s="488">
        <f t="shared" si="9"/>
        <v>-2.6617110782668485E-2</v>
      </c>
      <c r="BO9" s="488">
        <f t="shared" si="9"/>
        <v>9.2453174884737033E-2</v>
      </c>
      <c r="BP9" s="488">
        <f t="shared" si="9"/>
        <v>-5.7089708323821653E-2</v>
      </c>
      <c r="BQ9" s="488">
        <f t="shared" si="9"/>
        <v>-0.18068224948514666</v>
      </c>
      <c r="BR9" s="488">
        <f t="shared" si="9"/>
        <v>0.44553354586059579</v>
      </c>
      <c r="BS9" s="488">
        <f t="shared" si="9"/>
        <v>0.11666701224845877</v>
      </c>
      <c r="BT9" s="488">
        <f t="shared" si="9"/>
        <v>-4.6646142044951877E-2</v>
      </c>
      <c r="BU9" s="488">
        <f t="shared" si="9"/>
        <v>-0.15475510484316468</v>
      </c>
      <c r="BV9" s="489">
        <v>-0.08</v>
      </c>
      <c r="BW9" s="489">
        <v>0</v>
      </c>
      <c r="BX9" s="489">
        <v>0.03</v>
      </c>
      <c r="BY9" s="489">
        <v>0.03</v>
      </c>
      <c r="BZ9" s="489">
        <v>-0.08</v>
      </c>
      <c r="CA9" s="489">
        <v>0.04</v>
      </c>
      <c r="CB9" s="489">
        <v>0.06</v>
      </c>
      <c r="CC9" s="489">
        <v>0.03</v>
      </c>
      <c r="CD9" s="489">
        <v>-0.1</v>
      </c>
      <c r="CE9" s="489">
        <v>0.04</v>
      </c>
      <c r="CF9" s="489">
        <v>0.06</v>
      </c>
      <c r="CG9" s="489">
        <v>0.04</v>
      </c>
      <c r="CH9" s="489">
        <v>-0.1</v>
      </c>
      <c r="CI9" s="489">
        <v>0.04</v>
      </c>
      <c r="CJ9" s="489">
        <v>0.06</v>
      </c>
      <c r="CK9" s="489">
        <v>0.04</v>
      </c>
      <c r="CL9" s="489">
        <v>-0.1</v>
      </c>
      <c r="CM9" s="489">
        <v>0.04</v>
      </c>
      <c r="CN9" s="489">
        <v>0.06</v>
      </c>
      <c r="CO9" s="489">
        <v>0.04</v>
      </c>
      <c r="CP9" s="550"/>
      <c r="CQ9" s="92"/>
      <c r="CX9" s="505"/>
      <c r="CY9" s="505"/>
      <c r="CZ9" s="505"/>
      <c r="DA9" s="494"/>
      <c r="DB9" s="494"/>
      <c r="DC9" s="494"/>
      <c r="DD9" s="494"/>
      <c r="DE9" s="553"/>
      <c r="DF9" s="553"/>
      <c r="DG9" s="553"/>
      <c r="DH9" s="553"/>
      <c r="DI9" s="553"/>
      <c r="DO9" s="550"/>
    </row>
    <row r="10" spans="1:119" s="551" customFormat="1">
      <c r="A10" s="552" t="s">
        <v>225</v>
      </c>
      <c r="B10" s="488"/>
      <c r="C10" s="488"/>
      <c r="D10" s="488"/>
      <c r="E10" s="488"/>
      <c r="F10" s="488"/>
      <c r="G10" s="488"/>
      <c r="H10" s="488"/>
      <c r="I10" s="488"/>
      <c r="J10" s="488"/>
      <c r="K10" s="488"/>
      <c r="L10" s="488"/>
      <c r="M10" s="488"/>
      <c r="N10" s="488"/>
      <c r="O10" s="488"/>
      <c r="P10" s="488"/>
      <c r="Q10" s="488"/>
      <c r="R10" s="488"/>
      <c r="S10" s="488"/>
      <c r="T10" s="488"/>
      <c r="U10" s="488"/>
      <c r="V10" s="488"/>
      <c r="W10" s="488"/>
      <c r="X10" s="488"/>
      <c r="Y10" s="488"/>
      <c r="Z10" s="489"/>
      <c r="AA10" s="488"/>
      <c r="AB10" s="488"/>
      <c r="AC10" s="488"/>
      <c r="AD10" s="488">
        <v>0.34</v>
      </c>
      <c r="AE10" s="488">
        <f t="shared" ref="AE10:CO10" si="10">AE8/AA8-1</f>
        <v>7.6872700167744279E-2</v>
      </c>
      <c r="AF10" s="488">
        <f t="shared" si="10"/>
        <v>8.7985817404934386E-2</v>
      </c>
      <c r="AG10" s="488">
        <f t="shared" si="10"/>
        <v>-3.2918322139035894E-2</v>
      </c>
      <c r="AH10" s="488">
        <f t="shared" si="10"/>
        <v>5.3857232540120759E-2</v>
      </c>
      <c r="AI10" s="488">
        <f t="shared" si="10"/>
        <v>-0.14185687970550109</v>
      </c>
      <c r="AJ10" s="488">
        <f t="shared" si="10"/>
        <v>-5.3485218442596572E-2</v>
      </c>
      <c r="AK10" s="488">
        <f t="shared" si="10"/>
        <v>7.5353451313854514E-2</v>
      </c>
      <c r="AL10" s="488">
        <f t="shared" si="10"/>
        <v>-0.23486462816773368</v>
      </c>
      <c r="AM10" s="488">
        <f t="shared" si="10"/>
        <v>0.3080782012964749</v>
      </c>
      <c r="AN10" s="488">
        <f t="shared" si="10"/>
        <v>0.22291712786876405</v>
      </c>
      <c r="AO10" s="488">
        <f t="shared" si="10"/>
        <v>-4.6249847926105869E-2</v>
      </c>
      <c r="AP10" s="488">
        <f t="shared" si="10"/>
        <v>0.41248664823119374</v>
      </c>
      <c r="AQ10" s="488">
        <f t="shared" si="10"/>
        <v>-6.9884827239203751E-2</v>
      </c>
      <c r="AR10" s="488">
        <f t="shared" si="10"/>
        <v>-0.32618927504879713</v>
      </c>
      <c r="AS10" s="488">
        <f t="shared" si="10"/>
        <v>-0.31314934291014751</v>
      </c>
      <c r="AT10" s="488">
        <f t="shared" si="10"/>
        <v>-0.32799545166894861</v>
      </c>
      <c r="AU10" s="488">
        <f t="shared" si="10"/>
        <v>-0.34849632660701801</v>
      </c>
      <c r="AV10" s="488">
        <f t="shared" si="10"/>
        <v>6.4535851101720887E-2</v>
      </c>
      <c r="AW10" s="488">
        <f t="shared" si="10"/>
        <v>0.31515468367375155</v>
      </c>
      <c r="AX10" s="488">
        <f t="shared" si="10"/>
        <v>1.3555735156558502E-2</v>
      </c>
      <c r="AY10" s="488">
        <f t="shared" si="10"/>
        <v>0.54861270930367434</v>
      </c>
      <c r="AZ10" s="488">
        <f t="shared" si="10"/>
        <v>0.10894857992469431</v>
      </c>
      <c r="BA10" s="488">
        <f t="shared" si="10"/>
        <v>2.6036439271103884E-2</v>
      </c>
      <c r="BB10" s="488">
        <f t="shared" si="10"/>
        <v>0.13979884527905084</v>
      </c>
      <c r="BC10" s="488">
        <f t="shared" si="10"/>
        <v>-0.15860382308734955</v>
      </c>
      <c r="BD10" s="488">
        <f t="shared" si="10"/>
        <v>7.1146115738238036E-2</v>
      </c>
      <c r="BE10" s="488">
        <f t="shared" si="10"/>
        <v>0.12638121334148855</v>
      </c>
      <c r="BF10" s="488">
        <f t="shared" si="10"/>
        <v>0.23140772160661438</v>
      </c>
      <c r="BG10" s="488">
        <f t="shared" si="10"/>
        <v>0.15862900982329831</v>
      </c>
      <c r="BH10" s="488">
        <f t="shared" si="10"/>
        <v>-0.49293275136797032</v>
      </c>
      <c r="BI10" s="488">
        <f t="shared" si="10"/>
        <v>-0.41420984689677198</v>
      </c>
      <c r="BJ10" s="488">
        <f t="shared" si="10"/>
        <v>-0.48338484471998555</v>
      </c>
      <c r="BK10" s="488">
        <f t="shared" si="10"/>
        <v>-0.42548480512601183</v>
      </c>
      <c r="BL10" s="488">
        <f t="shared" si="10"/>
        <v>0.31220529241389317</v>
      </c>
      <c r="BM10" s="488">
        <f t="shared" si="10"/>
        <v>0.18964144374899616</v>
      </c>
      <c r="BN10" s="488">
        <f t="shared" si="10"/>
        <v>0.34241333641608884</v>
      </c>
      <c r="BO10" s="488">
        <f t="shared" si="10"/>
        <v>0.58804057152686884</v>
      </c>
      <c r="BP10" s="488">
        <f t="shared" si="10"/>
        <v>6.4787674375258453E-2</v>
      </c>
      <c r="BQ10" s="488">
        <f t="shared" si="10"/>
        <v>-0.1784967635341298</v>
      </c>
      <c r="BR10" s="488">
        <f t="shared" si="10"/>
        <v>0.21998290652027697</v>
      </c>
      <c r="BS10" s="488">
        <f t="shared" si="10"/>
        <v>0.24702339517840111</v>
      </c>
      <c r="BT10" s="488">
        <f t="shared" si="10"/>
        <v>0.2608352833228138</v>
      </c>
      <c r="BU10" s="488">
        <f t="shared" si="10"/>
        <v>0.30073416106576878</v>
      </c>
      <c r="BV10" s="489">
        <f t="shared" si="10"/>
        <v>-0.17215658425410763</v>
      </c>
      <c r="BW10" s="489">
        <f t="shared" si="10"/>
        <v>-0.25864791682258725</v>
      </c>
      <c r="BX10" s="489">
        <f t="shared" si="10"/>
        <v>-0.19904593734938292</v>
      </c>
      <c r="BY10" s="489">
        <f t="shared" si="10"/>
        <v>-2.3971999999999882E-2</v>
      </c>
      <c r="BZ10" s="489">
        <f t="shared" si="10"/>
        <v>-2.3971999999999771E-2</v>
      </c>
      <c r="CA10" s="489">
        <f t="shared" si="10"/>
        <v>1.506912000000038E-2</v>
      </c>
      <c r="CB10" s="489">
        <f t="shared" si="10"/>
        <v>4.463424000000038E-2</v>
      </c>
      <c r="CC10" s="489">
        <f t="shared" si="10"/>
        <v>4.463424000000038E-2</v>
      </c>
      <c r="CD10" s="489">
        <f t="shared" si="10"/>
        <v>2.19248000000003E-2</v>
      </c>
      <c r="CE10" s="489">
        <f t="shared" si="10"/>
        <v>2.19248000000003E-2</v>
      </c>
      <c r="CF10" s="489">
        <f t="shared" si="10"/>
        <v>2.1924800000000078E-2</v>
      </c>
      <c r="CG10" s="489">
        <f t="shared" si="10"/>
        <v>3.1846400000000052E-2</v>
      </c>
      <c r="CH10" s="489">
        <f t="shared" si="10"/>
        <v>3.1846400000000052E-2</v>
      </c>
      <c r="CI10" s="489">
        <f t="shared" si="10"/>
        <v>3.1846400000000052E-2</v>
      </c>
      <c r="CJ10" s="489">
        <f t="shared" si="10"/>
        <v>3.1846400000000052E-2</v>
      </c>
      <c r="CK10" s="489">
        <f t="shared" si="10"/>
        <v>3.1846400000000052E-2</v>
      </c>
      <c r="CL10" s="489">
        <f t="shared" si="10"/>
        <v>3.1846400000000052E-2</v>
      </c>
      <c r="CM10" s="489">
        <f t="shared" si="10"/>
        <v>3.1846400000000274E-2</v>
      </c>
      <c r="CN10" s="489">
        <f t="shared" si="10"/>
        <v>3.1846400000000274E-2</v>
      </c>
      <c r="CO10" s="489">
        <f t="shared" si="10"/>
        <v>3.1846400000000274E-2</v>
      </c>
      <c r="CP10" s="550"/>
      <c r="CQ10" s="92"/>
      <c r="CX10" s="505"/>
      <c r="CY10" s="488">
        <f t="shared" ref="CY10:DK10" si="11">CY8/CX8-1</f>
        <v>1.9627447146828958E-2</v>
      </c>
      <c r="CZ10" s="488">
        <f t="shared" si="11"/>
        <v>-1.2952060160151602E-2</v>
      </c>
      <c r="DA10" s="488">
        <f t="shared" si="11"/>
        <v>4.2307170016738116E-2</v>
      </c>
      <c r="DB10" s="488">
        <f t="shared" si="11"/>
        <v>-0.1182495469388376</v>
      </c>
      <c r="DC10" s="488">
        <f t="shared" si="11"/>
        <v>-0.11126122019807128</v>
      </c>
      <c r="DD10" s="488">
        <f t="shared" si="11"/>
        <v>0.14291352706979343</v>
      </c>
      <c r="DE10" s="488">
        <f t="shared" si="11"/>
        <v>4.2828297241745084E-2</v>
      </c>
      <c r="DF10" s="488">
        <f t="shared" si="11"/>
        <v>-0.17387233422094739</v>
      </c>
      <c r="DG10" s="488">
        <f t="shared" si="11"/>
        <v>-0.19163158895386523</v>
      </c>
      <c r="DH10" s="488">
        <f t="shared" si="11"/>
        <v>0.15722322806276434</v>
      </c>
      <c r="DI10" s="488">
        <f t="shared" si="11"/>
        <v>0.25522130591156666</v>
      </c>
      <c r="DJ10" s="497">
        <f t="shared" si="11"/>
        <v>-0.17016371466565483</v>
      </c>
      <c r="DK10" s="497">
        <f t="shared" si="11"/>
        <v>2.063674311667385E-2</v>
      </c>
      <c r="DL10" s="497">
        <f>DL8/DK8-1</f>
        <v>2.4558282019845779E-2</v>
      </c>
      <c r="DM10" s="497">
        <f>DM8/DL8-1</f>
        <v>3.184639999999983E-2</v>
      </c>
      <c r="DN10" s="497">
        <f>DN8/DM8-1</f>
        <v>3.1846400000000274E-2</v>
      </c>
      <c r="DO10" s="550"/>
    </row>
    <row r="11" spans="1:119" s="551" customFormat="1">
      <c r="A11" s="496" t="s">
        <v>259</v>
      </c>
      <c r="B11" s="488"/>
      <c r="C11" s="488"/>
      <c r="D11" s="488"/>
      <c r="E11" s="488"/>
      <c r="F11" s="488"/>
      <c r="G11" s="488"/>
      <c r="H11" s="488"/>
      <c r="I11" s="488"/>
      <c r="J11" s="488"/>
      <c r="K11" s="488"/>
      <c r="L11" s="488"/>
      <c r="M11" s="488"/>
      <c r="N11" s="488"/>
      <c r="O11" s="488"/>
      <c r="P11" s="488"/>
      <c r="Q11" s="488"/>
      <c r="R11" s="488"/>
      <c r="S11" s="488"/>
      <c r="T11" s="488"/>
      <c r="U11" s="488"/>
      <c r="V11" s="488"/>
      <c r="W11" s="488"/>
      <c r="X11" s="488"/>
      <c r="Y11" s="488"/>
      <c r="Z11" s="489"/>
      <c r="AA11" s="489"/>
      <c r="AB11" s="489"/>
      <c r="AC11" s="489"/>
      <c r="AD11" s="489"/>
      <c r="AE11" s="489"/>
      <c r="AF11" s="489"/>
      <c r="AG11" s="489"/>
      <c r="AH11" s="489"/>
      <c r="AI11" s="489"/>
      <c r="AJ11" s="489"/>
      <c r="AK11" s="489"/>
      <c r="AL11" s="485">
        <f t="shared" ref="AL11:AQ11" si="12">AL30/AL21*1000</f>
        <v>0</v>
      </c>
      <c r="AM11" s="485">
        <f t="shared" si="12"/>
        <v>0</v>
      </c>
      <c r="AN11" s="485">
        <f t="shared" si="12"/>
        <v>232.55813953488371</v>
      </c>
      <c r="AO11" s="485">
        <f t="shared" si="12"/>
        <v>697.67441860465124</v>
      </c>
      <c r="AP11" s="485">
        <f t="shared" si="12"/>
        <v>465.11627906976742</v>
      </c>
      <c r="AQ11" s="485">
        <f t="shared" si="12"/>
        <v>0</v>
      </c>
      <c r="AR11" s="485">
        <f t="shared" ref="AR11:BB11" si="13">AQ11*(1+AR12)</f>
        <v>0</v>
      </c>
      <c r="AS11" s="485">
        <f t="shared" si="13"/>
        <v>0</v>
      </c>
      <c r="AT11" s="485">
        <f t="shared" si="13"/>
        <v>0</v>
      </c>
      <c r="AU11" s="485">
        <f t="shared" si="13"/>
        <v>0</v>
      </c>
      <c r="AV11" s="485">
        <f t="shared" si="13"/>
        <v>0</v>
      </c>
      <c r="AW11" s="485">
        <f t="shared" si="13"/>
        <v>0</v>
      </c>
      <c r="AX11" s="485">
        <f t="shared" si="13"/>
        <v>0</v>
      </c>
      <c r="AY11" s="485">
        <f t="shared" si="13"/>
        <v>0</v>
      </c>
      <c r="AZ11" s="485">
        <f t="shared" si="13"/>
        <v>0</v>
      </c>
      <c r="BA11" s="485">
        <v>668</v>
      </c>
      <c r="BB11" s="485">
        <f t="shared" si="13"/>
        <v>1165.6600000000001</v>
      </c>
      <c r="BC11" s="485">
        <f>BB11*(1+BC12)</f>
        <v>1165.6600000000001</v>
      </c>
      <c r="BD11" s="485">
        <f>BC11*(1+BD12)</f>
        <v>582.83000000000004</v>
      </c>
      <c r="BE11" s="485">
        <f>BD11*(1+BE12)</f>
        <v>145.70750000000001</v>
      </c>
      <c r="BF11" s="485">
        <f t="shared" ref="BF11:CO11" si="14">BE11*(1+BF12)</f>
        <v>0</v>
      </c>
      <c r="BG11" s="485">
        <f t="shared" si="14"/>
        <v>0</v>
      </c>
      <c r="BH11" s="485">
        <f t="shared" si="14"/>
        <v>0</v>
      </c>
      <c r="BI11" s="485">
        <f t="shared" si="14"/>
        <v>0</v>
      </c>
      <c r="BJ11" s="485">
        <f t="shared" si="14"/>
        <v>0</v>
      </c>
      <c r="BK11" s="485">
        <f t="shared" si="14"/>
        <v>0</v>
      </c>
      <c r="BL11" s="485">
        <f t="shared" si="14"/>
        <v>0</v>
      </c>
      <c r="BM11" s="485">
        <f t="shared" si="14"/>
        <v>0</v>
      </c>
      <c r="BN11" s="485">
        <f t="shared" si="14"/>
        <v>0</v>
      </c>
      <c r="BO11" s="485">
        <f t="shared" si="14"/>
        <v>0</v>
      </c>
      <c r="BP11" s="485">
        <f t="shared" si="14"/>
        <v>0</v>
      </c>
      <c r="BQ11" s="485">
        <f t="shared" si="14"/>
        <v>0</v>
      </c>
      <c r="BR11" s="485">
        <f t="shared" si="14"/>
        <v>0</v>
      </c>
      <c r="BS11" s="485">
        <f t="shared" si="14"/>
        <v>0</v>
      </c>
      <c r="BT11" s="485">
        <f t="shared" si="14"/>
        <v>0</v>
      </c>
      <c r="BU11" s="485">
        <f t="shared" si="14"/>
        <v>0</v>
      </c>
      <c r="BV11" s="486">
        <f t="shared" si="14"/>
        <v>0</v>
      </c>
      <c r="BW11" s="486">
        <f t="shared" si="14"/>
        <v>0</v>
      </c>
      <c r="BX11" s="486">
        <f t="shared" si="14"/>
        <v>0</v>
      </c>
      <c r="BY11" s="486">
        <f t="shared" si="14"/>
        <v>0</v>
      </c>
      <c r="BZ11" s="486">
        <f t="shared" si="14"/>
        <v>0</v>
      </c>
      <c r="CA11" s="486">
        <f t="shared" si="14"/>
        <v>0</v>
      </c>
      <c r="CB11" s="486">
        <f t="shared" si="14"/>
        <v>0</v>
      </c>
      <c r="CC11" s="486">
        <f t="shared" si="14"/>
        <v>0</v>
      </c>
      <c r="CD11" s="486">
        <f t="shared" si="14"/>
        <v>0</v>
      </c>
      <c r="CE11" s="486">
        <f t="shared" si="14"/>
        <v>0</v>
      </c>
      <c r="CF11" s="486">
        <f t="shared" si="14"/>
        <v>0</v>
      </c>
      <c r="CG11" s="486">
        <f t="shared" si="14"/>
        <v>0</v>
      </c>
      <c r="CH11" s="486">
        <f t="shared" si="14"/>
        <v>0</v>
      </c>
      <c r="CI11" s="486">
        <f t="shared" si="14"/>
        <v>0</v>
      </c>
      <c r="CJ11" s="486">
        <f t="shared" si="14"/>
        <v>0</v>
      </c>
      <c r="CK11" s="486">
        <f t="shared" si="14"/>
        <v>0</v>
      </c>
      <c r="CL11" s="486">
        <f t="shared" si="14"/>
        <v>0</v>
      </c>
      <c r="CM11" s="486">
        <f t="shared" si="14"/>
        <v>0</v>
      </c>
      <c r="CN11" s="486">
        <f t="shared" si="14"/>
        <v>0</v>
      </c>
      <c r="CO11" s="486">
        <f t="shared" si="14"/>
        <v>0</v>
      </c>
      <c r="CP11" s="550"/>
      <c r="CQ11" s="92"/>
      <c r="CX11" s="485">
        <f>SUM(Z11:AC11)</f>
        <v>0</v>
      </c>
      <c r="CY11" s="485">
        <f>SUM(AD11:AG11)</f>
        <v>0</v>
      </c>
      <c r="CZ11" s="485">
        <f>SUM(AH11:AK11)</f>
        <v>0</v>
      </c>
      <c r="DA11" s="485">
        <f>SUM(AL11:AO11)</f>
        <v>930.23255813953494</v>
      </c>
      <c r="DB11" s="485">
        <f>SUM(AP11:AS11)</f>
        <v>465.11627906976742</v>
      </c>
      <c r="DC11" s="485">
        <f>AT11+AU11+AV11+AW11</f>
        <v>0</v>
      </c>
      <c r="DD11" s="485">
        <f>AX11+AY11+AZ11+BA11</f>
        <v>668</v>
      </c>
      <c r="DE11" s="485">
        <f>BB11+BC11+BD11+BE11</f>
        <v>3059.8575000000001</v>
      </c>
      <c r="DF11" s="485">
        <f>+SUM(BF11:BI11)</f>
        <v>0</v>
      </c>
      <c r="DG11" s="485">
        <f>+SUM(BJ11:BM11)</f>
        <v>0</v>
      </c>
      <c r="DH11" s="485">
        <f>+SUM(BN11:BQ11)</f>
        <v>0</v>
      </c>
      <c r="DI11" s="485">
        <f>+SUM(BR11:BU11)</f>
        <v>0</v>
      </c>
      <c r="DJ11" s="486">
        <f>SUM(BV11:BY11)</f>
        <v>0</v>
      </c>
      <c r="DK11" s="486">
        <f>SUM(BZ11:CC11)</f>
        <v>0</v>
      </c>
      <c r="DL11" s="486">
        <f>SUM(CD11:CG11)</f>
        <v>0</v>
      </c>
      <c r="DM11" s="486">
        <f>SUM(CH11:CK11)</f>
        <v>0</v>
      </c>
      <c r="DN11" s="486">
        <f>SUM(CL11:CO11)</f>
        <v>0</v>
      </c>
      <c r="DO11" s="550"/>
    </row>
    <row r="12" spans="1:119" s="551" customFormat="1">
      <c r="A12" s="552" t="s">
        <v>223</v>
      </c>
      <c r="B12" s="488"/>
      <c r="C12" s="488"/>
      <c r="D12" s="488"/>
      <c r="E12" s="488"/>
      <c r="F12" s="488"/>
      <c r="G12" s="488"/>
      <c r="H12" s="488"/>
      <c r="I12" s="488"/>
      <c r="J12" s="488"/>
      <c r="K12" s="488"/>
      <c r="L12" s="488"/>
      <c r="M12" s="488"/>
      <c r="N12" s="488"/>
      <c r="O12" s="488"/>
      <c r="P12" s="488"/>
      <c r="Q12" s="488"/>
      <c r="R12" s="488"/>
      <c r="S12" s="488"/>
      <c r="T12" s="488"/>
      <c r="U12" s="488"/>
      <c r="V12" s="488"/>
      <c r="W12" s="488"/>
      <c r="X12" s="488"/>
      <c r="Y12" s="488"/>
      <c r="Z12" s="489"/>
      <c r="AA12" s="489"/>
      <c r="AB12" s="489"/>
      <c r="AC12" s="489"/>
      <c r="AD12" s="489"/>
      <c r="AE12" s="489"/>
      <c r="AF12" s="489"/>
      <c r="AG12" s="489"/>
      <c r="AH12" s="489"/>
      <c r="AI12" s="489"/>
      <c r="AJ12" s="489"/>
      <c r="AK12" s="489"/>
      <c r="AL12" s="488"/>
      <c r="AM12" s="488"/>
      <c r="AN12" s="488"/>
      <c r="AO12" s="488">
        <f>AO11/AN11-1</f>
        <v>2.0000000000000004</v>
      </c>
      <c r="AP12" s="488">
        <f>AP11/AO11-1</f>
        <v>-0.33333333333333348</v>
      </c>
      <c r="AQ12" s="488">
        <f>AQ11/AP11-1</f>
        <v>-1</v>
      </c>
      <c r="AR12" s="488">
        <v>-1</v>
      </c>
      <c r="AS12" s="488">
        <v>0</v>
      </c>
      <c r="AT12" s="488">
        <v>0</v>
      </c>
      <c r="AU12" s="488">
        <v>0</v>
      </c>
      <c r="AV12" s="488">
        <v>0</v>
      </c>
      <c r="AW12" s="488">
        <v>0</v>
      </c>
      <c r="AX12" s="488">
        <v>0</v>
      </c>
      <c r="AY12" s="488">
        <v>0</v>
      </c>
      <c r="AZ12" s="488">
        <v>0</v>
      </c>
      <c r="BA12" s="488">
        <v>0</v>
      </c>
      <c r="BB12" s="488">
        <v>0.745</v>
      </c>
      <c r="BC12" s="488">
        <v>0</v>
      </c>
      <c r="BD12" s="488">
        <v>-0.5</v>
      </c>
      <c r="BE12" s="488">
        <v>-0.75</v>
      </c>
      <c r="BF12" s="488">
        <v>-1</v>
      </c>
      <c r="BG12" s="488">
        <v>0</v>
      </c>
      <c r="BH12" s="488">
        <v>0</v>
      </c>
      <c r="BI12" s="488">
        <v>0</v>
      </c>
      <c r="BJ12" s="488">
        <v>0</v>
      </c>
      <c r="BK12" s="488">
        <v>0</v>
      </c>
      <c r="BL12" s="488">
        <v>0</v>
      </c>
      <c r="BM12" s="488">
        <v>0</v>
      </c>
      <c r="BN12" s="488">
        <v>0</v>
      </c>
      <c r="BO12" s="488">
        <v>0</v>
      </c>
      <c r="BP12" s="488">
        <v>0</v>
      </c>
      <c r="BQ12" s="488">
        <v>0</v>
      </c>
      <c r="BR12" s="488">
        <v>0</v>
      </c>
      <c r="BS12" s="488">
        <v>0</v>
      </c>
      <c r="BT12" s="488">
        <v>0</v>
      </c>
      <c r="BU12" s="488">
        <v>0</v>
      </c>
      <c r="BV12" s="489">
        <v>0</v>
      </c>
      <c r="BW12" s="489">
        <v>0</v>
      </c>
      <c r="BX12" s="489">
        <v>0</v>
      </c>
      <c r="BY12" s="489">
        <v>0</v>
      </c>
      <c r="BZ12" s="489">
        <v>0</v>
      </c>
      <c r="CA12" s="489">
        <v>0</v>
      </c>
      <c r="CB12" s="489">
        <v>0</v>
      </c>
      <c r="CC12" s="489">
        <v>0</v>
      </c>
      <c r="CD12" s="489">
        <v>0</v>
      </c>
      <c r="CE12" s="489">
        <v>0</v>
      </c>
      <c r="CF12" s="489">
        <v>0</v>
      </c>
      <c r="CG12" s="489">
        <v>0</v>
      </c>
      <c r="CH12" s="489">
        <v>0</v>
      </c>
      <c r="CI12" s="489">
        <v>0</v>
      </c>
      <c r="CJ12" s="489">
        <v>0</v>
      </c>
      <c r="CK12" s="489">
        <v>0</v>
      </c>
      <c r="CL12" s="489">
        <v>0</v>
      </c>
      <c r="CM12" s="489">
        <v>0</v>
      </c>
      <c r="CN12" s="489">
        <v>0</v>
      </c>
      <c r="CO12" s="489">
        <v>0</v>
      </c>
      <c r="CP12" s="550"/>
      <c r="CQ12" s="92"/>
      <c r="CX12" s="505"/>
      <c r="CY12" s="505"/>
      <c r="CZ12" s="505"/>
      <c r="DA12" s="505"/>
      <c r="DB12" s="505"/>
      <c r="DC12" s="505"/>
      <c r="DD12" s="505"/>
      <c r="DE12" s="760"/>
      <c r="DF12" s="760"/>
      <c r="DG12" s="760"/>
      <c r="DH12" s="760"/>
      <c r="DI12" s="760"/>
      <c r="DJ12" s="760"/>
      <c r="DK12" s="760"/>
      <c r="DL12" s="760"/>
      <c r="DM12" s="760"/>
      <c r="DN12" s="760"/>
      <c r="DO12" s="550"/>
    </row>
    <row r="13" spans="1:119" s="551" customFormat="1">
      <c r="A13" s="552" t="s">
        <v>225</v>
      </c>
      <c r="B13" s="488"/>
      <c r="C13" s="488"/>
      <c r="D13" s="488"/>
      <c r="E13" s="488"/>
      <c r="F13" s="488"/>
      <c r="G13" s="488"/>
      <c r="H13" s="488"/>
      <c r="I13" s="488"/>
      <c r="J13" s="488"/>
      <c r="K13" s="488"/>
      <c r="L13" s="488"/>
      <c r="M13" s="488"/>
      <c r="N13" s="488"/>
      <c r="O13" s="488"/>
      <c r="P13" s="488"/>
      <c r="Q13" s="488"/>
      <c r="R13" s="488"/>
      <c r="S13" s="488"/>
      <c r="T13" s="488"/>
      <c r="U13" s="488"/>
      <c r="V13" s="488"/>
      <c r="W13" s="488"/>
      <c r="X13" s="488"/>
      <c r="Y13" s="488"/>
      <c r="Z13" s="489"/>
      <c r="AA13" s="489"/>
      <c r="AB13" s="489"/>
      <c r="AC13" s="489"/>
      <c r="AD13" s="489"/>
      <c r="AE13" s="489"/>
      <c r="AF13" s="489"/>
      <c r="AG13" s="489"/>
      <c r="AH13" s="489"/>
      <c r="AI13" s="489"/>
      <c r="AJ13" s="489"/>
      <c r="AK13" s="489"/>
      <c r="AL13" s="488"/>
      <c r="AM13" s="488"/>
      <c r="AN13" s="488"/>
      <c r="AO13" s="488"/>
      <c r="AP13" s="489"/>
      <c r="AQ13" s="489"/>
      <c r="AR13" s="488">
        <f>AR11/AN11-1</f>
        <v>-1</v>
      </c>
      <c r="AS13" s="488">
        <f>AS11/AO11-1</f>
        <v>-1</v>
      </c>
      <c r="AT13" s="488">
        <f>AT11/AP11-1</f>
        <v>-1</v>
      </c>
      <c r="AU13" s="488"/>
      <c r="AV13" s="489"/>
      <c r="AW13" s="489"/>
      <c r="AX13" s="489"/>
      <c r="AY13" s="489"/>
      <c r="AZ13" s="489"/>
      <c r="BA13" s="489"/>
      <c r="BB13" s="489"/>
      <c r="BC13" s="489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  <c r="CI13" s="37"/>
      <c r="CJ13" s="37"/>
      <c r="CK13" s="37"/>
      <c r="CL13" s="37"/>
      <c r="CM13" s="37"/>
      <c r="CN13" s="37"/>
      <c r="CO13" s="37"/>
      <c r="CP13" s="550"/>
      <c r="CQ13" s="92"/>
      <c r="CX13" s="505"/>
      <c r="CY13" s="488"/>
      <c r="CZ13" s="488"/>
      <c r="DA13" s="488"/>
      <c r="DB13" s="488">
        <f>DB11/DA11-1</f>
        <v>-0.5</v>
      </c>
      <c r="DC13" s="488">
        <f>DC11/DB11-1</f>
        <v>-1</v>
      </c>
      <c r="DD13" s="488"/>
      <c r="DE13" s="489"/>
      <c r="DF13" s="489"/>
      <c r="DG13" s="489"/>
      <c r="DH13" s="489"/>
      <c r="DI13" s="489"/>
      <c r="DJ13" s="489"/>
      <c r="DK13" s="489"/>
      <c r="DL13" s="489"/>
      <c r="DM13" s="489"/>
      <c r="DN13" s="489"/>
      <c r="DO13" s="550"/>
    </row>
    <row r="14" spans="1:119">
      <c r="A14" s="504" t="s">
        <v>600</v>
      </c>
      <c r="B14" s="558"/>
      <c r="C14" s="558"/>
      <c r="D14" s="558"/>
      <c r="E14" s="558"/>
      <c r="F14" s="558"/>
      <c r="G14" s="558"/>
      <c r="H14" s="558"/>
      <c r="I14" s="558"/>
      <c r="J14" s="558"/>
      <c r="K14" s="558"/>
      <c r="L14" s="558"/>
      <c r="M14" s="558"/>
      <c r="N14" s="558"/>
      <c r="O14" s="558"/>
      <c r="P14" s="558"/>
      <c r="Q14" s="558"/>
      <c r="R14" s="558"/>
      <c r="S14" s="558"/>
      <c r="T14" s="558"/>
      <c r="U14" s="558"/>
      <c r="V14" s="558"/>
      <c r="W14" s="558"/>
      <c r="X14" s="558"/>
      <c r="Y14" s="558"/>
      <c r="Z14" s="546">
        <f t="shared" ref="Z14:BE14" si="15">+Z24/Z5*1000</f>
        <v>42.192770385830656</v>
      </c>
      <c r="AA14" s="546">
        <f t="shared" si="15"/>
        <v>43.943328584717889</v>
      </c>
      <c r="AB14" s="546">
        <f t="shared" si="15"/>
        <v>46.617252921918301</v>
      </c>
      <c r="AC14" s="546">
        <f t="shared" si="15"/>
        <v>54.689958216476775</v>
      </c>
      <c r="AD14" s="546">
        <f t="shared" si="15"/>
        <v>56.626084609963257</v>
      </c>
      <c r="AE14" s="546">
        <f t="shared" si="15"/>
        <v>75.465354946802236</v>
      </c>
      <c r="AF14" s="546">
        <f t="shared" si="15"/>
        <v>69.649085667573246</v>
      </c>
      <c r="AG14" s="546">
        <f t="shared" si="15"/>
        <v>74.560245722230377</v>
      </c>
      <c r="AH14" s="546">
        <f t="shared" si="15"/>
        <v>65.510918874096063</v>
      </c>
      <c r="AI14" s="546">
        <f t="shared" si="15"/>
        <v>97.066032934920074</v>
      </c>
      <c r="AJ14" s="546">
        <f t="shared" si="15"/>
        <v>103.96145817046397</v>
      </c>
      <c r="AK14" s="546">
        <f t="shared" si="15"/>
        <v>104.49892774415991</v>
      </c>
      <c r="AL14" s="546">
        <f t="shared" si="15"/>
        <v>99.826632267842839</v>
      </c>
      <c r="AM14" s="546">
        <f t="shared" si="15"/>
        <v>96.863982762425621</v>
      </c>
      <c r="AN14" s="546">
        <f t="shared" si="15"/>
        <v>93.503550873434833</v>
      </c>
      <c r="AO14" s="546">
        <f t="shared" si="15"/>
        <v>115.01167489370597</v>
      </c>
      <c r="AP14" s="546">
        <f t="shared" si="15"/>
        <v>117.87632247457292</v>
      </c>
      <c r="AQ14" s="546">
        <f t="shared" si="15"/>
        <v>147.12965965885141</v>
      </c>
      <c r="AR14" s="546">
        <f t="shared" si="15"/>
        <v>156.56126725391698</v>
      </c>
      <c r="AS14" s="546">
        <f t="shared" si="15"/>
        <v>97.39162364357226</v>
      </c>
      <c r="AT14" s="546">
        <f t="shared" si="15"/>
        <v>111.65508703861616</v>
      </c>
      <c r="AU14" s="546">
        <f t="shared" si="15"/>
        <v>127.35137895760842</v>
      </c>
      <c r="AV14" s="546">
        <f t="shared" si="15"/>
        <v>105.95901730590967</v>
      </c>
      <c r="AW14" s="546">
        <f t="shared" si="15"/>
        <v>108.37451013656106</v>
      </c>
      <c r="AX14" s="546">
        <f t="shared" si="15"/>
        <v>101.29246110688301</v>
      </c>
      <c r="AY14" s="546">
        <f t="shared" si="15"/>
        <v>98.21034229280815</v>
      </c>
      <c r="AZ14" s="546">
        <f t="shared" si="15"/>
        <v>135.97194559790177</v>
      </c>
      <c r="BA14" s="546">
        <f t="shared" si="15"/>
        <v>172.83565078983011</v>
      </c>
      <c r="BB14" s="546">
        <f t="shared" si="15"/>
        <v>195.14487223529258</v>
      </c>
      <c r="BC14" s="546">
        <f t="shared" si="15"/>
        <v>209.82758110553408</v>
      </c>
      <c r="BD14" s="546">
        <f t="shared" si="15"/>
        <v>181.27877869830493</v>
      </c>
      <c r="BE14" s="546">
        <f t="shared" si="15"/>
        <v>206.14816372707429</v>
      </c>
      <c r="BF14" s="546">
        <f t="shared" ref="BF14:CO14" si="16">+BF24/BF5*1000</f>
        <v>208.82957133487866</v>
      </c>
      <c r="BG14" s="546">
        <f t="shared" si="16"/>
        <v>125</v>
      </c>
      <c r="BH14" s="546">
        <f t="shared" si="16"/>
        <v>125</v>
      </c>
      <c r="BI14" s="546">
        <f t="shared" si="16"/>
        <v>167.5</v>
      </c>
      <c r="BJ14" s="546">
        <f t="shared" si="16"/>
        <v>217.74999999999997</v>
      </c>
      <c r="BK14" s="546">
        <f t="shared" si="16"/>
        <v>232.99250000000001</v>
      </c>
      <c r="BL14" s="546">
        <f t="shared" si="16"/>
        <v>216.68302499999999</v>
      </c>
      <c r="BM14" s="546">
        <f t="shared" si="16"/>
        <v>223.55187689249999</v>
      </c>
      <c r="BN14" s="546">
        <f t="shared" si="16"/>
        <v>232.49395196820001</v>
      </c>
      <c r="BO14" s="546">
        <f t="shared" si="16"/>
        <v>225.51913340915399</v>
      </c>
      <c r="BP14" s="546">
        <f t="shared" si="16"/>
        <v>251.88232010468408</v>
      </c>
      <c r="BQ14" s="546">
        <f t="shared" si="16"/>
        <v>234.25055769735616</v>
      </c>
      <c r="BR14" s="546">
        <f t="shared" si="16"/>
        <v>300.54346552570792</v>
      </c>
      <c r="BS14" s="546">
        <f t="shared" si="16"/>
        <v>303.54890018096501</v>
      </c>
      <c r="BT14" s="546">
        <f t="shared" si="16"/>
        <v>293.38001202490273</v>
      </c>
      <c r="BU14" s="546">
        <f t="shared" si="16"/>
        <v>302.18141238564976</v>
      </c>
      <c r="BV14" s="547">
        <f t="shared" si="16"/>
        <v>305.20322650950629</v>
      </c>
      <c r="BW14" s="547">
        <f t="shared" si="16"/>
        <v>308.25525877460137</v>
      </c>
      <c r="BX14" s="547">
        <f t="shared" si="16"/>
        <v>311.3378113623474</v>
      </c>
      <c r="BY14" s="547">
        <f t="shared" si="16"/>
        <v>317.56456758959428</v>
      </c>
      <c r="BZ14" s="547">
        <f t="shared" si="16"/>
        <v>320.7402132654903</v>
      </c>
      <c r="CA14" s="547">
        <f t="shared" si="16"/>
        <v>323.94761539814522</v>
      </c>
      <c r="CB14" s="547">
        <f t="shared" si="16"/>
        <v>327.18709155212667</v>
      </c>
      <c r="CC14" s="547">
        <f t="shared" si="16"/>
        <v>330.45896246764795</v>
      </c>
      <c r="CD14" s="547">
        <f t="shared" si="16"/>
        <v>337.06814171700097</v>
      </c>
      <c r="CE14" s="547">
        <f t="shared" si="16"/>
        <v>340.43882313417089</v>
      </c>
      <c r="CF14" s="547">
        <f t="shared" si="16"/>
        <v>347.24759959685429</v>
      </c>
      <c r="CG14" s="547">
        <f t="shared" si="16"/>
        <v>350.72007559282287</v>
      </c>
      <c r="CH14" s="547">
        <f t="shared" si="16"/>
        <v>357.7344771046794</v>
      </c>
      <c r="CI14" s="547">
        <f t="shared" si="16"/>
        <v>361.31182187572614</v>
      </c>
      <c r="CJ14" s="547">
        <f t="shared" si="16"/>
        <v>368.53805831324064</v>
      </c>
      <c r="CK14" s="547">
        <f t="shared" si="16"/>
        <v>372.22343889637312</v>
      </c>
      <c r="CL14" s="547">
        <f t="shared" si="16"/>
        <v>379.66790767430052</v>
      </c>
      <c r="CM14" s="547">
        <f t="shared" si="16"/>
        <v>383.46458675104356</v>
      </c>
      <c r="CN14" s="547">
        <f t="shared" si="16"/>
        <v>391.13387848606448</v>
      </c>
      <c r="CO14" s="547">
        <f t="shared" si="16"/>
        <v>395.04521727092509</v>
      </c>
      <c r="CQ14" s="511"/>
      <c r="CR14" s="558"/>
      <c r="CS14" s="558"/>
      <c r="CT14" s="558"/>
      <c r="CU14" s="558"/>
      <c r="CV14" s="558"/>
      <c r="CW14" s="558"/>
      <c r="CX14" s="546">
        <f t="shared" ref="CX14:DN14" si="17">+CX24/CX5*1000</f>
        <v>47.0954405858241</v>
      </c>
      <c r="CY14" s="546">
        <f t="shared" si="17"/>
        <v>68.955854529021622</v>
      </c>
      <c r="CZ14" s="546">
        <f t="shared" si="17"/>
        <v>92.625217719718961</v>
      </c>
      <c r="DA14" s="546">
        <f t="shared" si="17"/>
        <v>101.27520620808485</v>
      </c>
      <c r="DB14" s="546">
        <f t="shared" si="17"/>
        <v>130.12629837198801</v>
      </c>
      <c r="DC14" s="546">
        <f t="shared" si="17"/>
        <v>111.95528336260688</v>
      </c>
      <c r="DD14" s="546">
        <f t="shared" si="17"/>
        <v>129.99800211148448</v>
      </c>
      <c r="DE14" s="546">
        <f t="shared" si="17"/>
        <v>197.44099883036333</v>
      </c>
      <c r="DF14" s="546">
        <f t="shared" si="17"/>
        <v>162.16350998312762</v>
      </c>
      <c r="DG14" s="546">
        <f t="shared" si="17"/>
        <v>222.24702391913536</v>
      </c>
      <c r="DH14" s="546">
        <f t="shared" si="17"/>
        <v>235.98178981275393</v>
      </c>
      <c r="DI14" s="546">
        <f t="shared" si="17"/>
        <v>299.85832320227865</v>
      </c>
      <c r="DJ14" s="547">
        <f t="shared" si="17"/>
        <v>310.69952351392749</v>
      </c>
      <c r="DK14" s="547">
        <f t="shared" si="17"/>
        <v>325.76095826095099</v>
      </c>
      <c r="DL14" s="547">
        <f t="shared" si="17"/>
        <v>344.15137027313784</v>
      </c>
      <c r="DM14" s="547">
        <f t="shared" si="17"/>
        <v>365.25199285337936</v>
      </c>
      <c r="DN14" s="547">
        <f t="shared" si="17"/>
        <v>387.64633764928539</v>
      </c>
    </row>
    <row r="15" spans="1:119" s="500" customFormat="1">
      <c r="A15" s="92" t="s">
        <v>223</v>
      </c>
      <c r="B15" s="505"/>
      <c r="C15" s="505"/>
      <c r="D15" s="505"/>
      <c r="E15" s="505"/>
      <c r="F15" s="505"/>
      <c r="G15" s="505"/>
      <c r="H15" s="505"/>
      <c r="I15" s="505"/>
      <c r="J15" s="505"/>
      <c r="K15" s="505"/>
      <c r="L15" s="505"/>
      <c r="M15" s="505"/>
      <c r="N15" s="505"/>
      <c r="O15" s="505"/>
      <c r="P15" s="505"/>
      <c r="Q15" s="505"/>
      <c r="R15" s="505"/>
      <c r="S15" s="505"/>
      <c r="T15" s="505"/>
      <c r="U15" s="505"/>
      <c r="V15" s="505"/>
      <c r="W15" s="505"/>
      <c r="X15" s="505"/>
      <c r="Y15" s="505"/>
      <c r="Z15" s="505"/>
      <c r="AA15" s="554">
        <f t="shared" ref="AA15:CL15" si="18">AA14/Z14-1</f>
        <v>4.1489529672484204E-2</v>
      </c>
      <c r="AB15" s="554">
        <f t="shared" si="18"/>
        <v>6.0849380857560309E-2</v>
      </c>
      <c r="AC15" s="554">
        <f t="shared" si="18"/>
        <v>0.17316990574455082</v>
      </c>
      <c r="AD15" s="554">
        <f t="shared" si="18"/>
        <v>3.5401862729951272E-2</v>
      </c>
      <c r="AE15" s="554">
        <f t="shared" si="18"/>
        <v>0.33269597335932066</v>
      </c>
      <c r="AF15" s="554">
        <f t="shared" si="18"/>
        <v>-7.7072045620524166E-2</v>
      </c>
      <c r="AG15" s="554">
        <f t="shared" si="18"/>
        <v>7.051291495910661E-2</v>
      </c>
      <c r="AH15" s="554">
        <f t="shared" si="18"/>
        <v>-0.12136932705193904</v>
      </c>
      <c r="AI15" s="554">
        <f t="shared" si="18"/>
        <v>0.48167717081589201</v>
      </c>
      <c r="AJ15" s="554">
        <f t="shared" si="18"/>
        <v>7.1038498505106018E-2</v>
      </c>
      <c r="AK15" s="554">
        <f t="shared" si="18"/>
        <v>5.1698926039942528E-3</v>
      </c>
      <c r="AL15" s="554">
        <f t="shared" si="18"/>
        <v>-4.4711420271756785E-2</v>
      </c>
      <c r="AM15" s="554">
        <f t="shared" si="18"/>
        <v>-2.9677947037902608E-2</v>
      </c>
      <c r="AN15" s="554">
        <f t="shared" si="18"/>
        <v>-3.4692274601518136E-2</v>
      </c>
      <c r="AO15" s="554">
        <f t="shared" si="18"/>
        <v>0.23002467627549517</v>
      </c>
      <c r="AP15" s="554">
        <f t="shared" si="18"/>
        <v>2.4907450339406445E-2</v>
      </c>
      <c r="AQ15" s="554">
        <f t="shared" si="18"/>
        <v>0.24816974749605647</v>
      </c>
      <c r="AR15" s="554">
        <f t="shared" si="18"/>
        <v>6.4104053641764525E-2</v>
      </c>
      <c r="AS15" s="554">
        <f t="shared" si="18"/>
        <v>-0.37793283516529763</v>
      </c>
      <c r="AT15" s="554">
        <f t="shared" si="18"/>
        <v>0.14645472435334295</v>
      </c>
      <c r="AU15" s="554">
        <f t="shared" si="18"/>
        <v>0.14057838594997163</v>
      </c>
      <c r="AV15" s="554">
        <f t="shared" si="18"/>
        <v>-0.16797903428136141</v>
      </c>
      <c r="AW15" s="554">
        <f t="shared" si="18"/>
        <v>2.2796481999051821E-2</v>
      </c>
      <c r="AX15" s="554">
        <f t="shared" si="18"/>
        <v>-6.5347921949119425E-2</v>
      </c>
      <c r="AY15" s="554">
        <f t="shared" si="18"/>
        <v>-3.0427919120482594E-2</v>
      </c>
      <c r="AZ15" s="554">
        <f t="shared" si="18"/>
        <v>0.38449721713126395</v>
      </c>
      <c r="BA15" s="554">
        <f t="shared" si="18"/>
        <v>0.27111258156842322</v>
      </c>
      <c r="BB15" s="554">
        <f t="shared" si="18"/>
        <v>0.12907766044512825</v>
      </c>
      <c r="BC15" s="554">
        <f t="shared" si="18"/>
        <v>7.5240044496470704E-2</v>
      </c>
      <c r="BD15" s="554">
        <f t="shared" si="18"/>
        <v>-0.13605838782876856</v>
      </c>
      <c r="BE15" s="554">
        <f t="shared" si="18"/>
        <v>0.13718861748378441</v>
      </c>
      <c r="BF15" s="554">
        <f t="shared" si="18"/>
        <v>1.3007186478529054E-2</v>
      </c>
      <c r="BG15" s="554">
        <f t="shared" si="18"/>
        <v>-0.40142576934398688</v>
      </c>
      <c r="BH15" s="554">
        <f t="shared" si="18"/>
        <v>0</v>
      </c>
      <c r="BI15" s="554">
        <f t="shared" si="18"/>
        <v>0.34000000000000008</v>
      </c>
      <c r="BJ15" s="554">
        <f t="shared" si="18"/>
        <v>0.29999999999999982</v>
      </c>
      <c r="BK15" s="554">
        <f t="shared" si="18"/>
        <v>7.0000000000000062E-2</v>
      </c>
      <c r="BL15" s="554">
        <f t="shared" si="18"/>
        <v>-7.0000000000000062E-2</v>
      </c>
      <c r="BM15" s="554">
        <f t="shared" si="18"/>
        <v>3.1700000000000061E-2</v>
      </c>
      <c r="BN15" s="554">
        <f t="shared" si="18"/>
        <v>4.0000000000000036E-2</v>
      </c>
      <c r="BO15" s="554">
        <f t="shared" si="18"/>
        <v>-3.0000000000000027E-2</v>
      </c>
      <c r="BP15" s="554">
        <f t="shared" si="18"/>
        <v>0.1169</v>
      </c>
      <c r="BQ15" s="554">
        <f t="shared" si="18"/>
        <v>-7.0000000000000173E-2</v>
      </c>
      <c r="BR15" s="554">
        <f t="shared" si="18"/>
        <v>0.28299999999999992</v>
      </c>
      <c r="BS15" s="554">
        <f t="shared" si="18"/>
        <v>1.0000000000000009E-2</v>
      </c>
      <c r="BT15" s="554">
        <f t="shared" si="18"/>
        <v>-3.3499999999999863E-2</v>
      </c>
      <c r="BU15" s="554">
        <f t="shared" si="18"/>
        <v>2.9999999999999805E-2</v>
      </c>
      <c r="BV15" s="559">
        <f t="shared" si="18"/>
        <v>1.0000000000000009E-2</v>
      </c>
      <c r="BW15" s="559">
        <f t="shared" si="18"/>
        <v>1.0000000000000009E-2</v>
      </c>
      <c r="BX15" s="559">
        <f t="shared" si="18"/>
        <v>1.0000000000000009E-2</v>
      </c>
      <c r="BY15" s="559">
        <f t="shared" si="18"/>
        <v>1.9999999999999796E-2</v>
      </c>
      <c r="BZ15" s="559">
        <f t="shared" si="18"/>
        <v>1.0000000000000231E-2</v>
      </c>
      <c r="CA15" s="559">
        <f t="shared" si="18"/>
        <v>1.0000000000000009E-2</v>
      </c>
      <c r="CB15" s="559">
        <f t="shared" si="18"/>
        <v>1.0000000000000009E-2</v>
      </c>
      <c r="CC15" s="559">
        <f t="shared" si="18"/>
        <v>1.0000000000000009E-2</v>
      </c>
      <c r="CD15" s="559">
        <f t="shared" si="18"/>
        <v>2.000000000000024E-2</v>
      </c>
      <c r="CE15" s="559">
        <f t="shared" si="18"/>
        <v>9.9999999999997868E-3</v>
      </c>
      <c r="CF15" s="559">
        <f t="shared" si="18"/>
        <v>2.0000000000000018E-2</v>
      </c>
      <c r="CG15" s="559">
        <f t="shared" si="18"/>
        <v>1.0000000000000009E-2</v>
      </c>
      <c r="CH15" s="559">
        <f t="shared" si="18"/>
        <v>2.000000000000024E-2</v>
      </c>
      <c r="CI15" s="559">
        <f t="shared" si="18"/>
        <v>9.9999999999997868E-3</v>
      </c>
      <c r="CJ15" s="559">
        <f t="shared" si="18"/>
        <v>2.0000000000000018E-2</v>
      </c>
      <c r="CK15" s="559">
        <f t="shared" si="18"/>
        <v>1.0000000000000231E-2</v>
      </c>
      <c r="CL15" s="559">
        <f t="shared" si="18"/>
        <v>1.9999999999999796E-2</v>
      </c>
      <c r="CM15" s="559">
        <f t="shared" ref="CM15:CO15" si="19">CM14/CL14-1</f>
        <v>1.0000000000000009E-2</v>
      </c>
      <c r="CN15" s="559">
        <f t="shared" si="19"/>
        <v>2.0000000000000018E-2</v>
      </c>
      <c r="CO15" s="559">
        <f t="shared" si="19"/>
        <v>1.0000000000000009E-2</v>
      </c>
      <c r="CQ15" s="511"/>
      <c r="CR15" s="505"/>
      <c r="CS15" s="505"/>
      <c r="CT15" s="505"/>
      <c r="CU15" s="505"/>
      <c r="CV15" s="505"/>
      <c r="CW15" s="505"/>
      <c r="CX15" s="505"/>
      <c r="CY15" s="505"/>
      <c r="CZ15" s="505"/>
      <c r="DA15" s="505"/>
      <c r="DB15" s="505"/>
      <c r="DC15" s="505"/>
      <c r="DD15" s="505"/>
      <c r="DE15" s="505"/>
      <c r="DF15" s="505"/>
      <c r="DG15" s="505"/>
      <c r="DH15" s="505"/>
      <c r="DI15" s="505"/>
      <c r="DJ15" s="506"/>
      <c r="DK15" s="506"/>
      <c r="DL15" s="506"/>
      <c r="DM15" s="506"/>
      <c r="DN15" s="506"/>
    </row>
    <row r="16" spans="1:119" s="500" customFormat="1">
      <c r="A16" s="92" t="s">
        <v>225</v>
      </c>
      <c r="B16" s="505"/>
      <c r="C16" s="505"/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505"/>
      <c r="P16" s="505"/>
      <c r="Q16" s="505"/>
      <c r="R16" s="505"/>
      <c r="S16" s="505"/>
      <c r="T16" s="505"/>
      <c r="U16" s="505"/>
      <c r="V16" s="505"/>
      <c r="W16" s="505"/>
      <c r="X16" s="505"/>
      <c r="Y16" s="505"/>
      <c r="Z16" s="505"/>
      <c r="AA16" s="554"/>
      <c r="AB16" s="554"/>
      <c r="AC16" s="554"/>
      <c r="AD16" s="554">
        <f t="shared" ref="AD16:CO16" si="20">AD14/Z14-1</f>
        <v>0.34208026854239604</v>
      </c>
      <c r="AE16" s="554">
        <f t="shared" si="20"/>
        <v>0.71733360619947928</v>
      </c>
      <c r="AF16" s="554">
        <f t="shared" si="20"/>
        <v>0.49406241899822323</v>
      </c>
      <c r="AG16" s="554">
        <f t="shared" si="20"/>
        <v>0.36332606850972438</v>
      </c>
      <c r="AH16" s="554">
        <f t="shared" si="20"/>
        <v>0.15690355999944128</v>
      </c>
      <c r="AI16" s="554">
        <f t="shared" si="20"/>
        <v>0.28623304035798669</v>
      </c>
      <c r="AJ16" s="554">
        <f t="shared" si="20"/>
        <v>0.49264641702059908</v>
      </c>
      <c r="AK16" s="554">
        <f t="shared" si="20"/>
        <v>0.40153679392989483</v>
      </c>
      <c r="AL16" s="554">
        <f t="shared" si="20"/>
        <v>0.52381670084184528</v>
      </c>
      <c r="AM16" s="554">
        <f t="shared" si="20"/>
        <v>-2.0815744332511876E-3</v>
      </c>
      <c r="AN16" s="554">
        <f t="shared" si="20"/>
        <v>-0.10059408054744168</v>
      </c>
      <c r="AO16" s="554">
        <f t="shared" si="20"/>
        <v>0.10060148344568609</v>
      </c>
      <c r="AP16" s="554">
        <f t="shared" si="20"/>
        <v>0.18081036890337354</v>
      </c>
      <c r="AQ16" s="554">
        <f t="shared" si="20"/>
        <v>0.51893051950703262</v>
      </c>
      <c r="AR16" s="554">
        <f t="shared" si="20"/>
        <v>0.6743884675121723</v>
      </c>
      <c r="AS16" s="554">
        <f t="shared" si="20"/>
        <v>-0.15320228373700495</v>
      </c>
      <c r="AT16" s="554">
        <f t="shared" si="20"/>
        <v>-5.2777651231007305E-2</v>
      </c>
      <c r="AU16" s="554">
        <f t="shared" si="20"/>
        <v>-0.13442755693925179</v>
      </c>
      <c r="AV16" s="554">
        <f t="shared" si="20"/>
        <v>-0.32321052860372335</v>
      </c>
      <c r="AW16" s="554">
        <f t="shared" si="20"/>
        <v>0.11277033981057016</v>
      </c>
      <c r="AX16" s="554">
        <f t="shared" si="20"/>
        <v>-9.280925935912987E-2</v>
      </c>
      <c r="AY16" s="554">
        <f t="shared" si="20"/>
        <v>-0.2288238800657233</v>
      </c>
      <c r="AZ16" s="554">
        <f t="shared" si="20"/>
        <v>0.2832503457949509</v>
      </c>
      <c r="BA16" s="554">
        <f t="shared" si="20"/>
        <v>0.59479983413113069</v>
      </c>
      <c r="BB16" s="554">
        <f t="shared" si="20"/>
        <v>0.92654882804532956</v>
      </c>
      <c r="BC16" s="554">
        <f t="shared" si="20"/>
        <v>1.1365120638715007</v>
      </c>
      <c r="BD16" s="554">
        <f t="shared" si="20"/>
        <v>0.33320721345258386</v>
      </c>
      <c r="BE16" s="554">
        <f t="shared" si="20"/>
        <v>0.19274098130224604</v>
      </c>
      <c r="BF16" s="554">
        <f t="shared" si="20"/>
        <v>7.0125845187907432E-2</v>
      </c>
      <c r="BG16" s="554">
        <f t="shared" si="20"/>
        <v>-0.40427278748864537</v>
      </c>
      <c r="BH16" s="554">
        <f t="shared" si="20"/>
        <v>-0.31045431297817527</v>
      </c>
      <c r="BI16" s="554">
        <f t="shared" si="20"/>
        <v>-0.18747760362416688</v>
      </c>
      <c r="BJ16" s="554">
        <f t="shared" si="20"/>
        <v>4.2716309802774743E-2</v>
      </c>
      <c r="BK16" s="554">
        <f t="shared" si="20"/>
        <v>0.86394000000000015</v>
      </c>
      <c r="BL16" s="554">
        <f t="shared" si="20"/>
        <v>0.73346419999999979</v>
      </c>
      <c r="BM16" s="554">
        <f t="shared" si="20"/>
        <v>0.33463807099999987</v>
      </c>
      <c r="BN16" s="554">
        <f t="shared" si="20"/>
        <v>6.7710456800000207E-2</v>
      </c>
      <c r="BO16" s="554">
        <f t="shared" si="20"/>
        <v>-3.2075567200000044E-2</v>
      </c>
      <c r="BP16" s="554">
        <f t="shared" si="20"/>
        <v>0.16244602042399992</v>
      </c>
      <c r="BQ16" s="554">
        <f t="shared" si="20"/>
        <v>4.7857709599999687E-2</v>
      </c>
      <c r="BR16" s="554">
        <f t="shared" si="20"/>
        <v>0.29269369366999953</v>
      </c>
      <c r="BS16" s="554">
        <f t="shared" si="20"/>
        <v>0.3460006501099997</v>
      </c>
      <c r="BT16" s="554">
        <f t="shared" si="20"/>
        <v>0.16475031634999993</v>
      </c>
      <c r="BU16" s="554">
        <f t="shared" si="20"/>
        <v>0.28999228584999992</v>
      </c>
      <c r="BV16" s="559">
        <f t="shared" si="20"/>
        <v>1.5504449500000073E-2</v>
      </c>
      <c r="BW16" s="559">
        <f t="shared" si="20"/>
        <v>1.5504449500000073E-2</v>
      </c>
      <c r="BX16" s="559">
        <f t="shared" si="20"/>
        <v>6.1210030000000026E-2</v>
      </c>
      <c r="BY16" s="559">
        <f t="shared" si="20"/>
        <v>5.0907019999999914E-2</v>
      </c>
      <c r="BZ16" s="559">
        <f t="shared" si="20"/>
        <v>5.0907020000000136E-2</v>
      </c>
      <c r="CA16" s="559">
        <f t="shared" si="20"/>
        <v>5.0907020000000136E-2</v>
      </c>
      <c r="CB16" s="559">
        <f t="shared" si="20"/>
        <v>5.0907020000000136E-2</v>
      </c>
      <c r="CC16" s="559">
        <f t="shared" si="20"/>
        <v>4.0604010000000246E-2</v>
      </c>
      <c r="CD16" s="559">
        <f t="shared" si="20"/>
        <v>5.0907020000000358E-2</v>
      </c>
      <c r="CE16" s="559">
        <f t="shared" si="20"/>
        <v>5.0907019999999914E-2</v>
      </c>
      <c r="CF16" s="559">
        <f t="shared" si="20"/>
        <v>6.131203999999979E-2</v>
      </c>
      <c r="CG16" s="559">
        <f t="shared" si="20"/>
        <v>6.1312040000000012E-2</v>
      </c>
      <c r="CH16" s="559">
        <f t="shared" si="20"/>
        <v>6.1312040000000012E-2</v>
      </c>
      <c r="CI16" s="559">
        <f t="shared" si="20"/>
        <v>6.1312040000000012E-2</v>
      </c>
      <c r="CJ16" s="559">
        <f t="shared" si="20"/>
        <v>6.1312040000000012E-2</v>
      </c>
      <c r="CK16" s="559">
        <f t="shared" si="20"/>
        <v>6.1312040000000234E-2</v>
      </c>
      <c r="CL16" s="559">
        <f t="shared" si="20"/>
        <v>6.131203999999979E-2</v>
      </c>
      <c r="CM16" s="559">
        <f t="shared" si="20"/>
        <v>6.1312040000000012E-2</v>
      </c>
      <c r="CN16" s="559">
        <f t="shared" si="20"/>
        <v>6.1312040000000234E-2</v>
      </c>
      <c r="CO16" s="559">
        <f t="shared" si="20"/>
        <v>6.1312040000000012E-2</v>
      </c>
      <c r="CQ16" s="511"/>
      <c r="CR16" s="505"/>
      <c r="CS16" s="505"/>
      <c r="CT16" s="505"/>
      <c r="CU16" s="505"/>
      <c r="CV16" s="505"/>
      <c r="CW16" s="505"/>
      <c r="CX16" s="488"/>
      <c r="CY16" s="551">
        <f t="shared" ref="CY16:DK16" si="21">CY14/CX14-1</f>
        <v>0.46417261780066221</v>
      </c>
      <c r="CZ16" s="488">
        <f t="shared" si="21"/>
        <v>0.34325385933308317</v>
      </c>
      <c r="DA16" s="488">
        <f t="shared" si="21"/>
        <v>9.3386970647027168E-2</v>
      </c>
      <c r="DB16" s="488">
        <f t="shared" si="21"/>
        <v>0.28487813793856254</v>
      </c>
      <c r="DC16" s="488">
        <f t="shared" si="21"/>
        <v>-0.13964137331745363</v>
      </c>
      <c r="DD16" s="488">
        <f t="shared" si="21"/>
        <v>0.16116004718097909</v>
      </c>
      <c r="DE16" s="488">
        <f t="shared" si="21"/>
        <v>0.51880025556885601</v>
      </c>
      <c r="DF16" s="488">
        <f t="shared" si="21"/>
        <v>-0.1786735736560231</v>
      </c>
      <c r="DG16" s="488">
        <f t="shared" si="21"/>
        <v>0.37051192307233083</v>
      </c>
      <c r="DH16" s="488">
        <f t="shared" si="21"/>
        <v>6.1799549219682559E-2</v>
      </c>
      <c r="DI16" s="488">
        <f t="shared" si="21"/>
        <v>0.27068416355435421</v>
      </c>
      <c r="DJ16" s="497">
        <f t="shared" si="21"/>
        <v>3.6154408508232594E-2</v>
      </c>
      <c r="DK16" s="497">
        <f t="shared" si="21"/>
        <v>4.8475886208909413E-2</v>
      </c>
      <c r="DL16" s="497">
        <f>DL14/DK14-1</f>
        <v>5.6453701850469162E-2</v>
      </c>
      <c r="DM16" s="497">
        <f>DM14/DL14-1</f>
        <v>6.1312040000000234E-2</v>
      </c>
      <c r="DN16" s="497">
        <f>DN14/DM14-1</f>
        <v>6.131203999999979E-2</v>
      </c>
    </row>
    <row r="17" spans="1:119" s="536" customFormat="1">
      <c r="A17" s="549" t="s">
        <v>257</v>
      </c>
      <c r="B17" s="485"/>
      <c r="C17" s="485"/>
      <c r="D17" s="485"/>
      <c r="E17" s="485"/>
      <c r="F17" s="485"/>
      <c r="G17" s="485"/>
      <c r="H17" s="485"/>
      <c r="I17" s="485"/>
      <c r="J17" s="485"/>
      <c r="K17" s="485"/>
      <c r="L17" s="485"/>
      <c r="M17" s="485"/>
      <c r="N17" s="485"/>
      <c r="O17" s="485"/>
      <c r="P17" s="485"/>
      <c r="Q17" s="485"/>
      <c r="R17" s="485"/>
      <c r="S17" s="485"/>
      <c r="T17" s="485"/>
      <c r="U17" s="485"/>
      <c r="V17" s="485"/>
      <c r="W17" s="485"/>
      <c r="X17" s="485"/>
      <c r="Y17" s="485"/>
      <c r="Z17" s="485">
        <v>42.192770385830656</v>
      </c>
      <c r="AA17" s="485">
        <v>43.943328584717889</v>
      </c>
      <c r="AB17" s="485">
        <v>46.617252921918308</v>
      </c>
      <c r="AC17" s="485">
        <v>54.689958216476775</v>
      </c>
      <c r="AD17" s="485">
        <v>56.626084609963264</v>
      </c>
      <c r="AE17" s="485">
        <v>75.465354946802222</v>
      </c>
      <c r="AF17" s="485">
        <v>69.649085667573246</v>
      </c>
      <c r="AG17" s="485">
        <v>74.560245722230363</v>
      </c>
      <c r="AH17" s="485">
        <v>65.510918874096063</v>
      </c>
      <c r="AI17" s="485">
        <v>97.066032934920074</v>
      </c>
      <c r="AJ17" s="485">
        <v>103.96145817046397</v>
      </c>
      <c r="AK17" s="485">
        <v>104.49892774415991</v>
      </c>
      <c r="AL17" s="485">
        <v>99.826632267842839</v>
      </c>
      <c r="AM17" s="485">
        <v>96.863982762425621</v>
      </c>
      <c r="AN17" s="485">
        <v>90.980794420044987</v>
      </c>
      <c r="AO17" s="485">
        <v>107.48512413584254</v>
      </c>
      <c r="AP17" s="485">
        <v>113.31327805327476</v>
      </c>
      <c r="AQ17" s="485">
        <v>147.12965965885141</v>
      </c>
      <c r="AR17" s="485">
        <v>156.56126725391698</v>
      </c>
      <c r="AS17" s="485">
        <v>97.39162364357226</v>
      </c>
      <c r="AT17" s="485">
        <v>111.65508703861616</v>
      </c>
      <c r="AU17" s="485">
        <v>127.35137895760842</v>
      </c>
      <c r="AV17" s="485">
        <v>105.95901730590967</v>
      </c>
      <c r="AW17" s="485">
        <v>108.37451013656106</v>
      </c>
      <c r="AX17" s="485">
        <v>101.29246110688302</v>
      </c>
      <c r="AY17" s="485">
        <v>98.210342292808136</v>
      </c>
      <c r="AZ17" s="485">
        <v>135.97194559790177</v>
      </c>
      <c r="BA17" s="485">
        <v>162.94707381199495</v>
      </c>
      <c r="BB17" s="485">
        <f>BA17*1.1</f>
        <v>179.24178119319447</v>
      </c>
      <c r="BC17" s="485">
        <v>194.33174556508109</v>
      </c>
      <c r="BD17" s="485">
        <v>174.02787542006334</v>
      </c>
      <c r="BE17" s="485">
        <v>204.73487385772418</v>
      </c>
      <c r="BF17" s="485">
        <v>208.82957133487866</v>
      </c>
      <c r="BG17" s="485">
        <v>125</v>
      </c>
      <c r="BH17" s="485">
        <f>BG17*1</f>
        <v>125</v>
      </c>
      <c r="BI17" s="485">
        <f t="shared" ref="BI17:CO17" si="22">BH17*(1+BI18)</f>
        <v>167.5</v>
      </c>
      <c r="BJ17" s="485">
        <f t="shared" si="22"/>
        <v>217.75</v>
      </c>
      <c r="BK17" s="485">
        <f t="shared" si="22"/>
        <v>232.99250000000001</v>
      </c>
      <c r="BL17" s="485">
        <f t="shared" si="22"/>
        <v>216.68302499999999</v>
      </c>
      <c r="BM17" s="485">
        <f t="shared" si="22"/>
        <v>223.55187689249999</v>
      </c>
      <c r="BN17" s="485">
        <f t="shared" si="22"/>
        <v>232.49395196820001</v>
      </c>
      <c r="BO17" s="485">
        <f t="shared" si="22"/>
        <v>225.51913340915399</v>
      </c>
      <c r="BP17" s="485">
        <f t="shared" si="22"/>
        <v>251.88232010468408</v>
      </c>
      <c r="BQ17" s="485">
        <f t="shared" si="22"/>
        <v>234.25055769735619</v>
      </c>
      <c r="BR17" s="485">
        <f t="shared" si="22"/>
        <v>300.54346552570797</v>
      </c>
      <c r="BS17" s="485">
        <f t="shared" si="22"/>
        <v>303.54890018096506</v>
      </c>
      <c r="BT17" s="485">
        <f t="shared" si="22"/>
        <v>293.38001202490273</v>
      </c>
      <c r="BU17" s="485">
        <f t="shared" si="22"/>
        <v>302.18141238564982</v>
      </c>
      <c r="BV17" s="486">
        <f t="shared" si="22"/>
        <v>305.20322650950629</v>
      </c>
      <c r="BW17" s="486">
        <f t="shared" si="22"/>
        <v>308.25525877460137</v>
      </c>
      <c r="BX17" s="486">
        <f t="shared" si="22"/>
        <v>311.3378113623474</v>
      </c>
      <c r="BY17" s="486">
        <f t="shared" si="22"/>
        <v>317.56456758959433</v>
      </c>
      <c r="BZ17" s="486">
        <f t="shared" si="22"/>
        <v>320.7402132654903</v>
      </c>
      <c r="CA17" s="486">
        <f t="shared" si="22"/>
        <v>323.94761539814522</v>
      </c>
      <c r="CB17" s="486">
        <f t="shared" si="22"/>
        <v>327.18709155212667</v>
      </c>
      <c r="CC17" s="486">
        <f t="shared" si="22"/>
        <v>330.45896246764795</v>
      </c>
      <c r="CD17" s="486">
        <f t="shared" si="22"/>
        <v>337.06814171700091</v>
      </c>
      <c r="CE17" s="486">
        <f t="shared" si="22"/>
        <v>340.43882313417095</v>
      </c>
      <c r="CF17" s="486">
        <f t="shared" si="22"/>
        <v>347.24759959685434</v>
      </c>
      <c r="CG17" s="486">
        <f t="shared" si="22"/>
        <v>350.72007559282287</v>
      </c>
      <c r="CH17" s="486">
        <f t="shared" si="22"/>
        <v>357.73447710467934</v>
      </c>
      <c r="CI17" s="486">
        <f t="shared" si="22"/>
        <v>361.31182187572614</v>
      </c>
      <c r="CJ17" s="486">
        <f t="shared" si="22"/>
        <v>368.53805831324064</v>
      </c>
      <c r="CK17" s="486">
        <f t="shared" si="22"/>
        <v>372.22343889637307</v>
      </c>
      <c r="CL17" s="486">
        <f t="shared" si="22"/>
        <v>379.66790767430052</v>
      </c>
      <c r="CM17" s="486">
        <f t="shared" si="22"/>
        <v>383.46458675104356</v>
      </c>
      <c r="CN17" s="486">
        <f t="shared" si="22"/>
        <v>391.13387848606442</v>
      </c>
      <c r="CO17" s="486">
        <f t="shared" si="22"/>
        <v>395.04521727092509</v>
      </c>
      <c r="CP17" s="560"/>
      <c r="CQ17" s="561"/>
      <c r="CR17" s="485"/>
      <c r="CS17" s="485"/>
      <c r="CT17" s="485"/>
      <c r="CU17" s="485"/>
      <c r="CV17" s="485"/>
      <c r="CW17" s="485"/>
      <c r="CX17" s="485">
        <f t="shared" ref="CX17:DN17" si="23">+CX27/CX8*1000</f>
        <v>47.0954405858241</v>
      </c>
      <c r="CY17" s="485">
        <f t="shared" si="23"/>
        <v>68.955854529021622</v>
      </c>
      <c r="CZ17" s="485">
        <f t="shared" si="23"/>
        <v>92.625217719718961</v>
      </c>
      <c r="DA17" s="485">
        <f t="shared" si="23"/>
        <v>98.342132624013871</v>
      </c>
      <c r="DB17" s="485">
        <f t="shared" si="23"/>
        <v>128.8850312361873</v>
      </c>
      <c r="DC17" s="485">
        <f t="shared" si="23"/>
        <v>111.95528336260688</v>
      </c>
      <c r="DD17" s="485">
        <f t="shared" si="23"/>
        <v>126.48261175256592</v>
      </c>
      <c r="DE17" s="485">
        <f t="shared" si="23"/>
        <v>188.12551864608344</v>
      </c>
      <c r="DF17" s="485">
        <f t="shared" si="23"/>
        <v>162.16350998312762</v>
      </c>
      <c r="DG17" s="485">
        <f t="shared" si="23"/>
        <v>222.24702391913536</v>
      </c>
      <c r="DH17" s="485">
        <f t="shared" si="23"/>
        <v>235.98178981275393</v>
      </c>
      <c r="DI17" s="485">
        <f t="shared" si="23"/>
        <v>299.85832320227865</v>
      </c>
      <c r="DJ17" s="486">
        <f t="shared" si="23"/>
        <v>310.69952351392749</v>
      </c>
      <c r="DK17" s="486">
        <f t="shared" si="23"/>
        <v>325.76095826095099</v>
      </c>
      <c r="DL17" s="486">
        <f t="shared" si="23"/>
        <v>344.15137027313784</v>
      </c>
      <c r="DM17" s="486">
        <f t="shared" si="23"/>
        <v>365.25199285337936</v>
      </c>
      <c r="DN17" s="486">
        <f t="shared" si="23"/>
        <v>387.64633764928539</v>
      </c>
      <c r="DO17" s="560"/>
    </row>
    <row r="18" spans="1:119" s="551" customFormat="1">
      <c r="A18" s="552" t="s">
        <v>223</v>
      </c>
      <c r="B18" s="488"/>
      <c r="C18" s="488"/>
      <c r="D18" s="488"/>
      <c r="E18" s="488"/>
      <c r="F18" s="488"/>
      <c r="G18" s="488"/>
      <c r="H18" s="488"/>
      <c r="I18" s="488"/>
      <c r="J18" s="488"/>
      <c r="K18" s="488"/>
      <c r="L18" s="488"/>
      <c r="M18" s="488"/>
      <c r="N18" s="488"/>
      <c r="O18" s="488"/>
      <c r="P18" s="488"/>
      <c r="Q18" s="488"/>
      <c r="R18" s="488"/>
      <c r="S18" s="488"/>
      <c r="T18" s="488"/>
      <c r="U18" s="488"/>
      <c r="V18" s="488"/>
      <c r="W18" s="488"/>
      <c r="X18" s="488"/>
      <c r="Y18" s="488"/>
      <c r="Z18" s="488"/>
      <c r="AA18" s="554">
        <f t="shared" ref="AA18:BH18" si="24">AA17/Z17-1</f>
        <v>4.1489529672484204E-2</v>
      </c>
      <c r="AB18" s="554">
        <f t="shared" si="24"/>
        <v>6.0849380857560309E-2</v>
      </c>
      <c r="AC18" s="554">
        <f t="shared" si="24"/>
        <v>0.1731699057445506</v>
      </c>
      <c r="AD18" s="554">
        <f t="shared" si="24"/>
        <v>3.5401862729951494E-2</v>
      </c>
      <c r="AE18" s="554">
        <f t="shared" si="24"/>
        <v>0.33269597335932044</v>
      </c>
      <c r="AF18" s="554">
        <f t="shared" si="24"/>
        <v>-7.7072045620523943E-2</v>
      </c>
      <c r="AG18" s="554">
        <f t="shared" si="24"/>
        <v>7.051291495910661E-2</v>
      </c>
      <c r="AH18" s="554">
        <f t="shared" si="24"/>
        <v>-0.12136932705193881</v>
      </c>
      <c r="AI18" s="554">
        <f t="shared" si="24"/>
        <v>0.48167717081589201</v>
      </c>
      <c r="AJ18" s="554">
        <f t="shared" si="24"/>
        <v>7.1038498505106018E-2</v>
      </c>
      <c r="AK18" s="554">
        <f t="shared" si="24"/>
        <v>5.1698926039942528E-3</v>
      </c>
      <c r="AL18" s="554">
        <f t="shared" si="24"/>
        <v>-4.4711420271756785E-2</v>
      </c>
      <c r="AM18" s="554">
        <f t="shared" si="24"/>
        <v>-2.9677947037902608E-2</v>
      </c>
      <c r="AN18" s="554">
        <f t="shared" si="24"/>
        <v>-6.073659346436433E-2</v>
      </c>
      <c r="AO18" s="554">
        <f t="shared" si="24"/>
        <v>0.18140454610232881</v>
      </c>
      <c r="AP18" s="554">
        <f t="shared" si="24"/>
        <v>5.422288864891156E-2</v>
      </c>
      <c r="AQ18" s="554">
        <f t="shared" si="24"/>
        <v>0.29843264784624557</v>
      </c>
      <c r="AR18" s="554">
        <f t="shared" si="24"/>
        <v>6.4104053641764525E-2</v>
      </c>
      <c r="AS18" s="554">
        <f t="shared" si="24"/>
        <v>-0.37793283516529763</v>
      </c>
      <c r="AT18" s="554">
        <f t="shared" si="24"/>
        <v>0.14645472435334295</v>
      </c>
      <c r="AU18" s="554">
        <f t="shared" si="24"/>
        <v>0.14057838594997163</v>
      </c>
      <c r="AV18" s="554">
        <f t="shared" si="24"/>
        <v>-0.16797903428136141</v>
      </c>
      <c r="AW18" s="554">
        <f t="shared" si="24"/>
        <v>2.2796481999051821E-2</v>
      </c>
      <c r="AX18" s="554">
        <f t="shared" si="24"/>
        <v>-6.5347921949119314E-2</v>
      </c>
      <c r="AY18" s="554">
        <f t="shared" si="24"/>
        <v>-3.0427919120482816E-2</v>
      </c>
      <c r="AZ18" s="554">
        <f t="shared" si="24"/>
        <v>0.38449721713126417</v>
      </c>
      <c r="BA18" s="554">
        <f t="shared" si="24"/>
        <v>0.19838745482001441</v>
      </c>
      <c r="BB18" s="554">
        <f t="shared" si="24"/>
        <v>0.10000000000000009</v>
      </c>
      <c r="BC18" s="554">
        <f t="shared" si="24"/>
        <v>8.4187761756406632E-2</v>
      </c>
      <c r="BD18" s="554">
        <f t="shared" si="24"/>
        <v>-0.10448045987534271</v>
      </c>
      <c r="BE18" s="554">
        <f t="shared" si="24"/>
        <v>0.17644873479918766</v>
      </c>
      <c r="BF18" s="554">
        <f t="shared" si="24"/>
        <v>2.0000000000000018E-2</v>
      </c>
      <c r="BG18" s="554">
        <f t="shared" si="24"/>
        <v>-0.40142576934398688</v>
      </c>
      <c r="BH18" s="554">
        <f t="shared" si="24"/>
        <v>0</v>
      </c>
      <c r="BI18" s="554">
        <v>0.34</v>
      </c>
      <c r="BJ18" s="554">
        <v>0.3</v>
      </c>
      <c r="BK18" s="554">
        <v>7.0000000000000007E-2</v>
      </c>
      <c r="BL18" s="554">
        <v>-7.0000000000000007E-2</v>
      </c>
      <c r="BM18" s="554">
        <v>3.1699999999999999E-2</v>
      </c>
      <c r="BN18" s="554">
        <v>0.04</v>
      </c>
      <c r="BO18" s="554">
        <v>-0.03</v>
      </c>
      <c r="BP18" s="554">
        <v>0.1169</v>
      </c>
      <c r="BQ18" s="554">
        <v>-7.0000000000000007E-2</v>
      </c>
      <c r="BR18" s="554">
        <v>0.28299999999999997</v>
      </c>
      <c r="BS18" s="554">
        <v>0.01</v>
      </c>
      <c r="BT18" s="554">
        <v>-3.3500000000000002E-2</v>
      </c>
      <c r="BU18" s="554">
        <v>0.03</v>
      </c>
      <c r="BV18" s="489">
        <v>0.01</v>
      </c>
      <c r="BW18" s="489">
        <v>0.01</v>
      </c>
      <c r="BX18" s="489">
        <v>0.01</v>
      </c>
      <c r="BY18" s="489">
        <v>0.02</v>
      </c>
      <c r="BZ18" s="489">
        <v>0.01</v>
      </c>
      <c r="CA18" s="489">
        <v>0.01</v>
      </c>
      <c r="CB18" s="489">
        <v>0.01</v>
      </c>
      <c r="CC18" s="489">
        <v>0.01</v>
      </c>
      <c r="CD18" s="489">
        <v>0.02</v>
      </c>
      <c r="CE18" s="489">
        <v>0.01</v>
      </c>
      <c r="CF18" s="489">
        <v>0.02</v>
      </c>
      <c r="CG18" s="489">
        <v>0.01</v>
      </c>
      <c r="CH18" s="489">
        <v>0.02</v>
      </c>
      <c r="CI18" s="489">
        <v>0.01</v>
      </c>
      <c r="CJ18" s="489">
        <v>0.02</v>
      </c>
      <c r="CK18" s="489">
        <v>0.01</v>
      </c>
      <c r="CL18" s="489">
        <v>0.02</v>
      </c>
      <c r="CM18" s="489">
        <v>0.01</v>
      </c>
      <c r="CN18" s="489">
        <v>0.02</v>
      </c>
      <c r="CO18" s="489">
        <v>0.01</v>
      </c>
      <c r="CP18" s="550"/>
      <c r="CQ18" s="511"/>
      <c r="CR18" s="489"/>
      <c r="CS18" s="489"/>
      <c r="CT18" s="489"/>
      <c r="CU18" s="489"/>
      <c r="CV18" s="489"/>
      <c r="CW18" s="489"/>
      <c r="CX18" s="489"/>
      <c r="CY18" s="489"/>
      <c r="CZ18" s="490"/>
      <c r="DA18" s="494"/>
      <c r="DB18" s="494"/>
      <c r="DC18" s="494"/>
      <c r="DD18" s="494"/>
      <c r="DE18" s="510"/>
      <c r="DF18" s="510"/>
      <c r="DG18" s="510"/>
      <c r="DH18" s="510"/>
      <c r="DI18" s="510"/>
      <c r="DJ18" s="494"/>
      <c r="DK18" s="494"/>
      <c r="DL18" s="494"/>
      <c r="DM18" s="494"/>
      <c r="DN18" s="494"/>
      <c r="DO18" s="550"/>
    </row>
    <row r="19" spans="1:119" s="551" customFormat="1">
      <c r="A19" s="552" t="s">
        <v>225</v>
      </c>
      <c r="B19" s="488"/>
      <c r="C19" s="488"/>
      <c r="D19" s="488"/>
      <c r="E19" s="488"/>
      <c r="F19" s="488"/>
      <c r="G19" s="488"/>
      <c r="H19" s="488"/>
      <c r="I19" s="488"/>
      <c r="J19" s="488"/>
      <c r="K19" s="488"/>
      <c r="L19" s="488"/>
      <c r="M19" s="488"/>
      <c r="N19" s="488"/>
      <c r="O19" s="488"/>
      <c r="P19" s="488"/>
      <c r="Q19" s="488"/>
      <c r="R19" s="488"/>
      <c r="S19" s="488"/>
      <c r="T19" s="488"/>
      <c r="U19" s="488"/>
      <c r="V19" s="488"/>
      <c r="W19" s="488"/>
      <c r="X19" s="488"/>
      <c r="Y19" s="488"/>
      <c r="Z19" s="488"/>
      <c r="AA19" s="554"/>
      <c r="AB19" s="554"/>
      <c r="AC19" s="554"/>
      <c r="AD19" s="554">
        <f t="shared" ref="AD19:CO19" si="25">AD17/Z17-1</f>
        <v>0.34208026854239604</v>
      </c>
      <c r="AE19" s="554">
        <f t="shared" si="25"/>
        <v>0.71733360619947906</v>
      </c>
      <c r="AF19" s="554">
        <f t="shared" si="25"/>
        <v>0.49406241899822301</v>
      </c>
      <c r="AG19" s="554">
        <f t="shared" si="25"/>
        <v>0.36332606850972415</v>
      </c>
      <c r="AH19" s="554">
        <f t="shared" si="25"/>
        <v>0.15690355999944106</v>
      </c>
      <c r="AI19" s="554">
        <f t="shared" si="25"/>
        <v>0.28623304035798691</v>
      </c>
      <c r="AJ19" s="554">
        <f t="shared" si="25"/>
        <v>0.49264641702059908</v>
      </c>
      <c r="AK19" s="554">
        <f t="shared" si="25"/>
        <v>0.40153679392989505</v>
      </c>
      <c r="AL19" s="554">
        <f t="shared" si="25"/>
        <v>0.52381670084184528</v>
      </c>
      <c r="AM19" s="554">
        <f t="shared" si="25"/>
        <v>-2.0815744332511876E-3</v>
      </c>
      <c r="AN19" s="554">
        <f t="shared" si="25"/>
        <v>-0.12486034708300064</v>
      </c>
      <c r="AO19" s="554">
        <f t="shared" si="25"/>
        <v>2.8576335242344264E-2</v>
      </c>
      <c r="AP19" s="554">
        <f t="shared" si="25"/>
        <v>0.13510067883734833</v>
      </c>
      <c r="AQ19" s="554">
        <f t="shared" si="25"/>
        <v>0.51893051950703262</v>
      </c>
      <c r="AR19" s="554">
        <f t="shared" si="25"/>
        <v>0.72081666523042842</v>
      </c>
      <c r="AS19" s="554">
        <f t="shared" si="25"/>
        <v>-9.3906022562841751E-2</v>
      </c>
      <c r="AT19" s="554">
        <f t="shared" si="25"/>
        <v>-1.4633686741274854E-2</v>
      </c>
      <c r="AU19" s="554">
        <f t="shared" si="25"/>
        <v>-0.13442755693925179</v>
      </c>
      <c r="AV19" s="554">
        <f t="shared" si="25"/>
        <v>-0.32321052860372335</v>
      </c>
      <c r="AW19" s="554">
        <f t="shared" si="25"/>
        <v>0.11277033981057016</v>
      </c>
      <c r="AX19" s="554">
        <f t="shared" si="25"/>
        <v>-9.2809259359129759E-2</v>
      </c>
      <c r="AY19" s="554">
        <f t="shared" si="25"/>
        <v>-0.22882388006572341</v>
      </c>
      <c r="AZ19" s="554">
        <f t="shared" si="25"/>
        <v>0.2832503457949509</v>
      </c>
      <c r="BA19" s="554">
        <f t="shared" si="25"/>
        <v>0.5035553434720752</v>
      </c>
      <c r="BB19" s="554">
        <f t="shared" si="25"/>
        <v>0.76954710384675051</v>
      </c>
      <c r="BC19" s="554">
        <f t="shared" si="25"/>
        <v>0.97872994868191032</v>
      </c>
      <c r="BD19" s="554">
        <f t="shared" si="25"/>
        <v>0.27988074786177686</v>
      </c>
      <c r="BE19" s="554">
        <f t="shared" si="25"/>
        <v>0.25645014094541607</v>
      </c>
      <c r="BF19" s="554">
        <f t="shared" si="25"/>
        <v>0.16507194887665833</v>
      </c>
      <c r="BG19" s="554">
        <f>BG17/BC17-1</f>
        <v>-0.35677004476791518</v>
      </c>
      <c r="BH19" s="554">
        <f>BH17/BD17-1</f>
        <v>-0.281724265734563</v>
      </c>
      <c r="BI19" s="554">
        <f t="shared" si="25"/>
        <v>-0.18186874153936128</v>
      </c>
      <c r="BJ19" s="554">
        <f t="shared" si="25"/>
        <v>4.2716309802774743E-2</v>
      </c>
      <c r="BK19" s="554">
        <f t="shared" si="25"/>
        <v>0.86394000000000015</v>
      </c>
      <c r="BL19" s="554">
        <f t="shared" si="25"/>
        <v>0.73346419999999979</v>
      </c>
      <c r="BM19" s="554">
        <f t="shared" si="25"/>
        <v>0.33463807099999987</v>
      </c>
      <c r="BN19" s="554">
        <f t="shared" si="25"/>
        <v>6.7710456799999985E-2</v>
      </c>
      <c r="BO19" s="554">
        <f t="shared" si="25"/>
        <v>-3.2075567200000044E-2</v>
      </c>
      <c r="BP19" s="554">
        <f t="shared" si="25"/>
        <v>0.16244602042399992</v>
      </c>
      <c r="BQ19" s="554">
        <f t="shared" si="25"/>
        <v>4.7857709599999909E-2</v>
      </c>
      <c r="BR19" s="554">
        <f t="shared" si="25"/>
        <v>0.29269369366999975</v>
      </c>
      <c r="BS19" s="554">
        <f t="shared" si="25"/>
        <v>0.34600065010999992</v>
      </c>
      <c r="BT19" s="554">
        <f t="shared" si="25"/>
        <v>0.16475031634999993</v>
      </c>
      <c r="BU19" s="554">
        <f t="shared" si="25"/>
        <v>0.28999228584999992</v>
      </c>
      <c r="BV19" s="489">
        <f t="shared" si="25"/>
        <v>1.5504449500000073E-2</v>
      </c>
      <c r="BW19" s="489">
        <f t="shared" si="25"/>
        <v>1.5504449500000073E-2</v>
      </c>
      <c r="BX19" s="489">
        <f t="shared" si="25"/>
        <v>6.1210030000000026E-2</v>
      </c>
      <c r="BY19" s="489">
        <f t="shared" si="25"/>
        <v>5.0907019999999914E-2</v>
      </c>
      <c r="BZ19" s="489">
        <f t="shared" si="25"/>
        <v>5.0907020000000136E-2</v>
      </c>
      <c r="CA19" s="489">
        <f t="shared" si="25"/>
        <v>5.0907020000000136E-2</v>
      </c>
      <c r="CB19" s="489">
        <f t="shared" si="25"/>
        <v>5.0907020000000136E-2</v>
      </c>
      <c r="CC19" s="489">
        <f t="shared" si="25"/>
        <v>4.0604010000000246E-2</v>
      </c>
      <c r="CD19" s="489">
        <f t="shared" si="25"/>
        <v>5.0907020000000136E-2</v>
      </c>
      <c r="CE19" s="489">
        <f t="shared" si="25"/>
        <v>5.0907020000000136E-2</v>
      </c>
      <c r="CF19" s="489">
        <f t="shared" si="25"/>
        <v>6.1312040000000012E-2</v>
      </c>
      <c r="CG19" s="489">
        <f t="shared" si="25"/>
        <v>6.1312040000000012E-2</v>
      </c>
      <c r="CH19" s="489">
        <f t="shared" si="25"/>
        <v>6.1312040000000012E-2</v>
      </c>
      <c r="CI19" s="489">
        <f t="shared" si="25"/>
        <v>6.1312040000000012E-2</v>
      </c>
      <c r="CJ19" s="489">
        <f t="shared" si="25"/>
        <v>6.1312040000000012E-2</v>
      </c>
      <c r="CK19" s="489">
        <f t="shared" si="25"/>
        <v>6.1312040000000012E-2</v>
      </c>
      <c r="CL19" s="489">
        <f t="shared" si="25"/>
        <v>6.1312040000000012E-2</v>
      </c>
      <c r="CM19" s="489">
        <f t="shared" si="25"/>
        <v>6.1312040000000012E-2</v>
      </c>
      <c r="CN19" s="489">
        <f t="shared" si="25"/>
        <v>6.1312040000000012E-2</v>
      </c>
      <c r="CO19" s="489">
        <f t="shared" si="25"/>
        <v>6.1312040000000012E-2</v>
      </c>
      <c r="CP19" s="550"/>
      <c r="CQ19" s="511"/>
      <c r="CR19" s="488"/>
      <c r="CS19" s="488"/>
      <c r="CT19" s="488"/>
      <c r="CU19" s="488"/>
      <c r="CV19" s="488"/>
      <c r="CW19" s="488"/>
      <c r="CX19" s="488"/>
      <c r="CY19" s="488">
        <f t="shared" ref="CY19:DK19" si="26">CY17/CX17-1</f>
        <v>0.46417261780066221</v>
      </c>
      <c r="CZ19" s="488">
        <f t="shared" si="26"/>
        <v>0.34325385933308317</v>
      </c>
      <c r="DA19" s="488">
        <f t="shared" si="26"/>
        <v>6.1720933510721832E-2</v>
      </c>
      <c r="DB19" s="488">
        <f t="shared" si="26"/>
        <v>0.31057795674359068</v>
      </c>
      <c r="DC19" s="488">
        <f t="shared" si="26"/>
        <v>-0.13135542359885022</v>
      </c>
      <c r="DD19" s="488">
        <f t="shared" si="26"/>
        <v>0.12976009665311761</v>
      </c>
      <c r="DE19" s="488">
        <f t="shared" si="26"/>
        <v>0.48736269783950759</v>
      </c>
      <c r="DF19" s="488">
        <f t="shared" si="26"/>
        <v>-0.13800365229449596</v>
      </c>
      <c r="DG19" s="488">
        <f t="shared" si="26"/>
        <v>0.37051192307233083</v>
      </c>
      <c r="DH19" s="488">
        <f t="shared" si="26"/>
        <v>6.1799549219682559E-2</v>
      </c>
      <c r="DI19" s="488">
        <f t="shared" si="26"/>
        <v>0.27068416355435421</v>
      </c>
      <c r="DJ19" s="497">
        <f t="shared" si="26"/>
        <v>3.6154408508232594E-2</v>
      </c>
      <c r="DK19" s="497">
        <f t="shared" si="26"/>
        <v>4.8475886208909413E-2</v>
      </c>
      <c r="DL19" s="497">
        <f>DL17/DK17-1</f>
        <v>5.6453701850469162E-2</v>
      </c>
      <c r="DM19" s="497">
        <f>DM17/DL17-1</f>
        <v>6.1312040000000234E-2</v>
      </c>
      <c r="DN19" s="497">
        <f>DN17/DM17-1</f>
        <v>6.131203999999979E-2</v>
      </c>
      <c r="DO19" s="550"/>
    </row>
    <row r="20" spans="1:119" s="551" customFormat="1">
      <c r="A20" s="552" t="s">
        <v>601</v>
      </c>
      <c r="B20" s="488"/>
      <c r="C20" s="488"/>
      <c r="D20" s="488"/>
      <c r="E20" s="488"/>
      <c r="F20" s="488"/>
      <c r="G20" s="488"/>
      <c r="H20" s="488"/>
      <c r="I20" s="488"/>
      <c r="J20" s="488"/>
      <c r="K20" s="488"/>
      <c r="L20" s="488"/>
      <c r="M20" s="488"/>
      <c r="N20" s="488"/>
      <c r="O20" s="488"/>
      <c r="P20" s="488"/>
      <c r="Q20" s="488"/>
      <c r="R20" s="488"/>
      <c r="S20" s="488"/>
      <c r="T20" s="488"/>
      <c r="U20" s="488"/>
      <c r="V20" s="488"/>
      <c r="W20" s="488"/>
      <c r="X20" s="488"/>
      <c r="Y20" s="488"/>
      <c r="Z20" s="488">
        <f t="shared" ref="Z20:BE20" si="27">Z17/Z38-1</f>
        <v>2.7338734854717397</v>
      </c>
      <c r="AA20" s="488">
        <f t="shared" si="27"/>
        <v>2.4438345285829066</v>
      </c>
      <c r="AB20" s="488">
        <f t="shared" si="27"/>
        <v>2.476823756109658</v>
      </c>
      <c r="AC20" s="488">
        <f t="shared" si="27"/>
        <v>2.4292271906432488</v>
      </c>
      <c r="AD20" s="488">
        <f t="shared" si="27"/>
        <v>2.9945566124460559</v>
      </c>
      <c r="AE20" s="488">
        <f t="shared" si="27"/>
        <v>3.7509354293053789</v>
      </c>
      <c r="AF20" s="488">
        <f t="shared" si="27"/>
        <v>3.8080842707887745</v>
      </c>
      <c r="AG20" s="488">
        <f t="shared" si="27"/>
        <v>3.357681291512729</v>
      </c>
      <c r="AH20" s="488">
        <f t="shared" si="27"/>
        <v>2.94995676355548</v>
      </c>
      <c r="AI20" s="488">
        <f t="shared" si="27"/>
        <v>3.2108588362416066</v>
      </c>
      <c r="AJ20" s="488">
        <f t="shared" si="27"/>
        <v>2.5280249742256871</v>
      </c>
      <c r="AK20" s="488">
        <f t="shared" si="27"/>
        <v>2.4405770161057534</v>
      </c>
      <c r="AL20" s="488">
        <f t="shared" si="27"/>
        <v>2.4487677216486583</v>
      </c>
      <c r="AM20" s="488">
        <f t="shared" si="27"/>
        <v>1.8959363829553721</v>
      </c>
      <c r="AN20" s="488">
        <f t="shared" si="27"/>
        <v>1.8719278731489917</v>
      </c>
      <c r="AO20" s="488">
        <f t="shared" si="27"/>
        <v>1.7144371472831113</v>
      </c>
      <c r="AP20" s="488">
        <f t="shared" si="27"/>
        <v>1.5315788926129503</v>
      </c>
      <c r="AQ20" s="488">
        <f t="shared" si="27"/>
        <v>1.6607422884856264</v>
      </c>
      <c r="AR20" s="488">
        <f t="shared" si="27"/>
        <v>2.1072172305307042</v>
      </c>
      <c r="AS20" s="488">
        <f t="shared" si="27"/>
        <v>1.209446919171389</v>
      </c>
      <c r="AT20" s="488">
        <f t="shared" si="27"/>
        <v>1.1108590489099819</v>
      </c>
      <c r="AU20" s="488">
        <f t="shared" si="27"/>
        <v>1.3391983204148703</v>
      </c>
      <c r="AV20" s="488">
        <f t="shared" si="27"/>
        <v>0.73503190548911657</v>
      </c>
      <c r="AW20" s="488">
        <f t="shared" si="27"/>
        <v>0.71777255516270677</v>
      </c>
      <c r="AX20" s="488">
        <f t="shared" si="27"/>
        <v>0.45348441742145007</v>
      </c>
      <c r="AY20" s="488">
        <f t="shared" si="27"/>
        <v>0.31180103122476477</v>
      </c>
      <c r="AZ20" s="488">
        <f t="shared" si="27"/>
        <v>0.65515609454402823</v>
      </c>
      <c r="BA20" s="488">
        <f t="shared" si="27"/>
        <v>0.66242415290089229</v>
      </c>
      <c r="BB20" s="488">
        <f t="shared" si="27"/>
        <v>0.72515713980281293</v>
      </c>
      <c r="BC20" s="488">
        <f t="shared" si="27"/>
        <v>0.62642978963556173</v>
      </c>
      <c r="BD20" s="488">
        <f t="shared" si="27"/>
        <v>0.5494677204888101</v>
      </c>
      <c r="BE20" s="488">
        <f t="shared" si="27"/>
        <v>0.65715394489203804</v>
      </c>
      <c r="BF20" s="488">
        <f t="shared" ref="BF20:CO20" si="28">BF17/BF38-1</f>
        <v>0.6098066893236942</v>
      </c>
      <c r="BG20" s="488">
        <f t="shared" si="28"/>
        <v>8.2684045580712073E-2</v>
      </c>
      <c r="BH20" s="488">
        <f t="shared" si="28"/>
        <v>0.15179153785182131</v>
      </c>
      <c r="BI20" s="488">
        <f t="shared" si="28"/>
        <v>0.16924292478896996</v>
      </c>
      <c r="BJ20" s="488">
        <f t="shared" si="28"/>
        <v>0.25104181253140823</v>
      </c>
      <c r="BK20" s="488">
        <f t="shared" si="28"/>
        <v>0.21251335091359302</v>
      </c>
      <c r="BL20" s="488">
        <f t="shared" si="28"/>
        <v>0.20602932229908166</v>
      </c>
      <c r="BM20" s="488">
        <f t="shared" si="28"/>
        <v>0.19640428059227166</v>
      </c>
      <c r="BN20" s="488">
        <f t="shared" si="28"/>
        <v>0.19022426995978803</v>
      </c>
      <c r="BO20" s="488">
        <f t="shared" si="28"/>
        <v>0.17484231389131399</v>
      </c>
      <c r="BP20" s="488">
        <f t="shared" si="28"/>
        <v>0.20383612879376933</v>
      </c>
      <c r="BQ20" s="488">
        <f t="shared" si="28"/>
        <v>0.21559999975918065</v>
      </c>
      <c r="BR20" s="488">
        <f t="shared" si="28"/>
        <v>0.25978578327223634</v>
      </c>
      <c r="BS20" s="488">
        <f t="shared" si="28"/>
        <v>0.24560317288786959</v>
      </c>
      <c r="BT20" s="488">
        <f t="shared" si="28"/>
        <v>0.18027006529031953</v>
      </c>
      <c r="BU20" s="488">
        <f t="shared" si="28"/>
        <v>0.19009120631329335</v>
      </c>
      <c r="BV20" s="489">
        <f t="shared" si="28"/>
        <v>0.19009120631329313</v>
      </c>
      <c r="BW20" s="489">
        <f t="shared" si="28"/>
        <v>0.1900912063132929</v>
      </c>
      <c r="BX20" s="489">
        <f t="shared" si="28"/>
        <v>0.19009120631329313</v>
      </c>
      <c r="BY20" s="489">
        <f t="shared" si="28"/>
        <v>0.2018742875639199</v>
      </c>
      <c r="BZ20" s="489">
        <f t="shared" si="28"/>
        <v>0.2018742875639199</v>
      </c>
      <c r="CA20" s="489">
        <f t="shared" si="28"/>
        <v>0.19009120631329313</v>
      </c>
      <c r="CB20" s="489">
        <f t="shared" si="28"/>
        <v>0.17842364546708445</v>
      </c>
      <c r="CC20" s="489">
        <f t="shared" si="28"/>
        <v>0.16687047247230891</v>
      </c>
      <c r="CD20" s="489">
        <f t="shared" si="28"/>
        <v>0.17842364546708422</v>
      </c>
      <c r="CE20" s="489">
        <f t="shared" si="28"/>
        <v>0.17842364546708445</v>
      </c>
      <c r="CF20" s="489">
        <f t="shared" si="28"/>
        <v>0.17842364546708422</v>
      </c>
      <c r="CG20" s="489">
        <f t="shared" si="28"/>
        <v>0.16687047247230891</v>
      </c>
      <c r="CH20" s="489">
        <f t="shared" si="28"/>
        <v>0.17842364546708422</v>
      </c>
      <c r="CI20" s="489">
        <f t="shared" si="28"/>
        <v>0.17842364546708445</v>
      </c>
      <c r="CJ20" s="489">
        <f t="shared" si="28"/>
        <v>0.17842364546708422</v>
      </c>
      <c r="CK20" s="489">
        <f t="shared" si="28"/>
        <v>0.16687047247230891</v>
      </c>
      <c r="CL20" s="489">
        <f t="shared" si="28"/>
        <v>0.17842364546708422</v>
      </c>
      <c r="CM20" s="489">
        <f t="shared" si="28"/>
        <v>0.17842364546708422</v>
      </c>
      <c r="CN20" s="489">
        <f t="shared" si="28"/>
        <v>0.17842364546708422</v>
      </c>
      <c r="CO20" s="489">
        <f t="shared" si="28"/>
        <v>0.16687047247230891</v>
      </c>
      <c r="CP20" s="550"/>
      <c r="CQ20" s="511"/>
      <c r="CR20" s="488"/>
      <c r="CS20" s="488"/>
      <c r="CT20" s="488"/>
      <c r="CU20" s="488"/>
      <c r="CV20" s="488"/>
      <c r="CW20" s="488"/>
      <c r="CX20" s="488">
        <f t="shared" ref="CX20:DN20" si="29">CX17/CX38-1</f>
        <v>2.5126787109188666</v>
      </c>
      <c r="CY20" s="488">
        <f t="shared" si="29"/>
        <v>3.4502335576450491</v>
      </c>
      <c r="CZ20" s="488">
        <f t="shared" si="29"/>
        <v>2.5983978238116836</v>
      </c>
      <c r="DA20" s="488">
        <f t="shared" si="29"/>
        <v>1.9183357801824346</v>
      </c>
      <c r="DB20" s="488">
        <f t="shared" si="29"/>
        <v>1.6418582278135427</v>
      </c>
      <c r="DC20" s="488">
        <f t="shared" si="29"/>
        <v>0.91296130478138071</v>
      </c>
      <c r="DD20" s="488">
        <f t="shared" si="29"/>
        <v>0.55712940415511447</v>
      </c>
      <c r="DE20" s="488">
        <f t="shared" si="29"/>
        <v>0.63475746421552137</v>
      </c>
      <c r="DF20" s="488">
        <f t="shared" si="29"/>
        <v>0.3129748874962679</v>
      </c>
      <c r="DG20" s="488">
        <f t="shared" si="29"/>
        <v>0.21152851446678334</v>
      </c>
      <c r="DH20" s="488">
        <f t="shared" si="29"/>
        <v>0.19240203006472556</v>
      </c>
      <c r="DI20" s="488">
        <f t="shared" si="29"/>
        <v>0.21705991752500742</v>
      </c>
      <c r="DJ20" s="489">
        <f t="shared" si="29"/>
        <v>0.19319188781852548</v>
      </c>
      <c r="DK20" s="489">
        <f t="shared" si="29"/>
        <v>0.18346990656997342</v>
      </c>
      <c r="DL20" s="489">
        <f t="shared" si="29"/>
        <v>0.17525372464927735</v>
      </c>
      <c r="DM20" s="489">
        <f t="shared" si="29"/>
        <v>0.17525372464927758</v>
      </c>
      <c r="DN20" s="489">
        <f t="shared" si="29"/>
        <v>0.17525372464927713</v>
      </c>
      <c r="DO20" s="550"/>
    </row>
    <row r="21" spans="1:119" s="551" customFormat="1">
      <c r="A21" s="496" t="s">
        <v>259</v>
      </c>
      <c r="B21" s="488"/>
      <c r="C21" s="488"/>
      <c r="D21" s="488"/>
      <c r="E21" s="488"/>
      <c r="F21" s="488"/>
      <c r="G21" s="488"/>
      <c r="H21" s="488"/>
      <c r="I21" s="488"/>
      <c r="J21" s="488"/>
      <c r="K21" s="488"/>
      <c r="L21" s="488"/>
      <c r="M21" s="488"/>
      <c r="N21" s="488"/>
      <c r="O21" s="488"/>
      <c r="P21" s="488"/>
      <c r="Q21" s="488"/>
      <c r="R21" s="488"/>
      <c r="S21" s="488"/>
      <c r="T21" s="488"/>
      <c r="U21" s="488"/>
      <c r="V21" s="488"/>
      <c r="W21" s="488"/>
      <c r="X21" s="488"/>
      <c r="Y21" s="488"/>
      <c r="Z21" s="488"/>
      <c r="AA21" s="488"/>
      <c r="AB21" s="488"/>
      <c r="AC21" s="488"/>
      <c r="AD21" s="488"/>
      <c r="AE21" s="488"/>
      <c r="AF21" s="488"/>
      <c r="AG21" s="488"/>
      <c r="AH21" s="488"/>
      <c r="AI21" s="488"/>
      <c r="AJ21" s="488"/>
      <c r="AK21" s="488"/>
      <c r="AL21" s="485">
        <v>215</v>
      </c>
      <c r="AM21" s="485">
        <f>AL21</f>
        <v>215</v>
      </c>
      <c r="AN21" s="485">
        <f t="shared" ref="AN21:AV21" si="30">AM21</f>
        <v>215</v>
      </c>
      <c r="AO21" s="485">
        <f t="shared" si="30"/>
        <v>215</v>
      </c>
      <c r="AP21" s="485">
        <f t="shared" si="30"/>
        <v>215</v>
      </c>
      <c r="AQ21" s="485">
        <f t="shared" si="30"/>
        <v>215</v>
      </c>
      <c r="AR21" s="485">
        <f t="shared" si="30"/>
        <v>215</v>
      </c>
      <c r="AS21" s="485">
        <f t="shared" si="30"/>
        <v>215</v>
      </c>
      <c r="AT21" s="485">
        <f t="shared" si="30"/>
        <v>215</v>
      </c>
      <c r="AU21" s="485">
        <f t="shared" si="30"/>
        <v>215</v>
      </c>
      <c r="AV21" s="485">
        <f t="shared" si="30"/>
        <v>215</v>
      </c>
      <c r="AW21" s="486"/>
      <c r="AX21" s="486"/>
      <c r="AY21" s="486"/>
      <c r="AZ21" s="486"/>
      <c r="BA21" s="486">
        <v>300</v>
      </c>
      <c r="BB21" s="486">
        <v>300</v>
      </c>
      <c r="BC21" s="486">
        <v>300</v>
      </c>
      <c r="BD21" s="486">
        <v>300</v>
      </c>
      <c r="BE21" s="486">
        <v>300</v>
      </c>
      <c r="BF21" s="486">
        <v>300</v>
      </c>
      <c r="BG21" s="486">
        <v>300</v>
      </c>
      <c r="BH21" s="486">
        <v>300</v>
      </c>
      <c r="BI21" s="486">
        <v>300</v>
      </c>
      <c r="BJ21" s="486">
        <v>300</v>
      </c>
      <c r="BK21" s="486">
        <v>300</v>
      </c>
      <c r="BL21" s="486">
        <v>300</v>
      </c>
      <c r="BM21" s="486">
        <v>300</v>
      </c>
      <c r="BN21" s="486">
        <v>300</v>
      </c>
      <c r="BO21" s="486">
        <v>300</v>
      </c>
      <c r="BP21" s="486">
        <v>300</v>
      </c>
      <c r="BQ21" s="486">
        <v>300</v>
      </c>
      <c r="BR21" s="486">
        <v>300</v>
      </c>
      <c r="BS21" s="486">
        <v>300</v>
      </c>
      <c r="BT21" s="486">
        <v>300</v>
      </c>
      <c r="BU21" s="486">
        <v>300</v>
      </c>
      <c r="BV21" s="486">
        <v>300</v>
      </c>
      <c r="BW21" s="486">
        <v>300</v>
      </c>
      <c r="BX21" s="486">
        <v>300</v>
      </c>
      <c r="BY21" s="486">
        <v>300</v>
      </c>
      <c r="BZ21" s="486">
        <v>300</v>
      </c>
      <c r="CA21" s="486">
        <v>300</v>
      </c>
      <c r="CB21" s="486">
        <v>300</v>
      </c>
      <c r="CC21" s="486">
        <v>300</v>
      </c>
      <c r="CD21" s="486">
        <v>300</v>
      </c>
      <c r="CE21" s="486">
        <v>300</v>
      </c>
      <c r="CF21" s="486">
        <v>300</v>
      </c>
      <c r="CG21" s="486">
        <v>300</v>
      </c>
      <c r="CH21" s="486">
        <v>300</v>
      </c>
      <c r="CI21" s="486">
        <v>300</v>
      </c>
      <c r="CJ21" s="486">
        <v>300</v>
      </c>
      <c r="CK21" s="486">
        <v>300</v>
      </c>
      <c r="CL21" s="486">
        <v>300</v>
      </c>
      <c r="CM21" s="486">
        <v>300</v>
      </c>
      <c r="CN21" s="486">
        <v>300</v>
      </c>
      <c r="CO21" s="486">
        <v>300</v>
      </c>
      <c r="CP21" s="550"/>
      <c r="CQ21" s="511"/>
      <c r="CR21" s="488"/>
      <c r="CS21" s="488"/>
      <c r="CT21" s="488"/>
      <c r="CU21" s="488"/>
      <c r="CV21" s="488"/>
      <c r="CW21" s="486"/>
      <c r="CX21" s="486"/>
      <c r="CY21" s="485"/>
      <c r="CZ21" s="488"/>
      <c r="DA21" s="485">
        <f t="shared" ref="DA21:DG21" si="31">DA30/DA11*1000</f>
        <v>215</v>
      </c>
      <c r="DB21" s="485">
        <f t="shared" si="31"/>
        <v>215.00000000000003</v>
      </c>
      <c r="DC21" s="485" t="e">
        <f t="shared" si="31"/>
        <v>#DIV/0!</v>
      </c>
      <c r="DD21" s="485">
        <f t="shared" si="31"/>
        <v>300</v>
      </c>
      <c r="DE21" s="485">
        <f t="shared" si="31"/>
        <v>179.77896029471961</v>
      </c>
      <c r="DF21" s="485" t="e">
        <f t="shared" si="31"/>
        <v>#DIV/0!</v>
      </c>
      <c r="DG21" s="485" t="e">
        <f t="shared" si="31"/>
        <v>#DIV/0!</v>
      </c>
      <c r="DH21" s="485"/>
      <c r="DI21" s="485"/>
      <c r="DJ21" s="485"/>
      <c r="DK21" s="485"/>
      <c r="DL21" s="485"/>
      <c r="DM21" s="485"/>
      <c r="DN21" s="485"/>
      <c r="DO21" s="486"/>
    </row>
    <row r="22" spans="1:119" s="551" customFormat="1">
      <c r="A22" s="552" t="s">
        <v>223</v>
      </c>
      <c r="B22" s="488"/>
      <c r="C22" s="488"/>
      <c r="D22" s="488"/>
      <c r="E22" s="488"/>
      <c r="F22" s="488"/>
      <c r="G22" s="488"/>
      <c r="H22" s="488"/>
      <c r="I22" s="488"/>
      <c r="J22" s="488"/>
      <c r="K22" s="488"/>
      <c r="L22" s="488"/>
      <c r="M22" s="488"/>
      <c r="N22" s="488"/>
      <c r="O22" s="488"/>
      <c r="P22" s="488"/>
      <c r="Q22" s="488"/>
      <c r="R22" s="488"/>
      <c r="S22" s="488"/>
      <c r="T22" s="488"/>
      <c r="U22" s="488"/>
      <c r="V22" s="488"/>
      <c r="W22" s="488"/>
      <c r="X22" s="488"/>
      <c r="Y22" s="488"/>
      <c r="Z22" s="488"/>
      <c r="AA22" s="488"/>
      <c r="AB22" s="488"/>
      <c r="AC22" s="488"/>
      <c r="AD22" s="488"/>
      <c r="AE22" s="488"/>
      <c r="AF22" s="488"/>
      <c r="AG22" s="488"/>
      <c r="AH22" s="488"/>
      <c r="AI22" s="488"/>
      <c r="AJ22" s="488"/>
      <c r="AK22" s="488"/>
      <c r="AL22" s="488"/>
      <c r="AM22" s="488">
        <f t="shared" ref="AM22:AV22" si="32">AM21/AL21-1</f>
        <v>0</v>
      </c>
      <c r="AN22" s="488">
        <f t="shared" si="32"/>
        <v>0</v>
      </c>
      <c r="AO22" s="488">
        <f t="shared" si="32"/>
        <v>0</v>
      </c>
      <c r="AP22" s="488">
        <f t="shared" si="32"/>
        <v>0</v>
      </c>
      <c r="AQ22" s="488">
        <f t="shared" si="32"/>
        <v>0</v>
      </c>
      <c r="AR22" s="488">
        <f t="shared" si="32"/>
        <v>0</v>
      </c>
      <c r="AS22" s="488">
        <f t="shared" si="32"/>
        <v>0</v>
      </c>
      <c r="AT22" s="488">
        <f t="shared" si="32"/>
        <v>0</v>
      </c>
      <c r="AU22" s="488">
        <f t="shared" si="32"/>
        <v>0</v>
      </c>
      <c r="AV22" s="488">
        <f t="shared" si="32"/>
        <v>0</v>
      </c>
      <c r="AW22" s="489"/>
      <c r="AX22" s="489"/>
      <c r="AY22" s="489"/>
      <c r="AZ22" s="489"/>
      <c r="BA22" s="489"/>
      <c r="BB22" s="489"/>
      <c r="BC22" s="489"/>
      <c r="BD22" s="37"/>
      <c r="BE22" s="37"/>
      <c r="BF22" s="37"/>
      <c r="BG22" s="37"/>
      <c r="BH22" s="761"/>
      <c r="BI22" s="761"/>
      <c r="BJ22" s="761"/>
      <c r="BK22" s="761"/>
      <c r="BL22" s="761"/>
      <c r="BM22" s="761"/>
      <c r="BN22" s="761"/>
      <c r="BO22" s="761"/>
      <c r="BP22" s="761"/>
      <c r="BQ22" s="761"/>
      <c r="BR22" s="761"/>
      <c r="BS22" s="761"/>
      <c r="BT22" s="761"/>
      <c r="BU22" s="761"/>
      <c r="BV22" s="761"/>
      <c r="BW22" s="761"/>
      <c r="BX22" s="761"/>
      <c r="BY22" s="761"/>
      <c r="BZ22" s="761"/>
      <c r="CA22" s="761"/>
      <c r="CB22" s="761"/>
      <c r="CC22" s="761"/>
      <c r="CD22" s="761"/>
      <c r="CE22" s="761"/>
      <c r="CF22" s="761"/>
      <c r="CG22" s="761"/>
      <c r="CH22" s="761"/>
      <c r="CI22" s="761"/>
      <c r="CJ22" s="761"/>
      <c r="CK22" s="761"/>
      <c r="CL22" s="761"/>
      <c r="CM22" s="761"/>
      <c r="CN22" s="761"/>
      <c r="CO22" s="761"/>
      <c r="CP22" s="550"/>
      <c r="CQ22" s="511"/>
      <c r="CR22" s="488"/>
      <c r="CS22" s="488"/>
      <c r="CT22" s="488"/>
      <c r="CU22" s="488"/>
      <c r="CV22" s="488"/>
      <c r="CW22" s="488"/>
      <c r="CX22" s="488"/>
      <c r="CY22" s="488"/>
      <c r="CZ22" s="488"/>
      <c r="DA22" s="488"/>
      <c r="DB22" s="488"/>
      <c r="DC22" s="488"/>
      <c r="DD22" s="488"/>
      <c r="DE22" s="488"/>
      <c r="DF22" s="488"/>
      <c r="DG22" s="488"/>
      <c r="DH22" s="488"/>
      <c r="DI22" s="488"/>
      <c r="DJ22" s="489"/>
      <c r="DK22" s="489"/>
      <c r="DL22" s="489"/>
      <c r="DM22" s="489"/>
      <c r="DN22" s="489"/>
      <c r="DO22" s="550"/>
    </row>
    <row r="23" spans="1:119" s="551" customFormat="1">
      <c r="A23" s="552" t="s">
        <v>225</v>
      </c>
      <c r="B23" s="488"/>
      <c r="C23" s="488"/>
      <c r="D23" s="488"/>
      <c r="E23" s="488"/>
      <c r="F23" s="488"/>
      <c r="G23" s="488"/>
      <c r="H23" s="488"/>
      <c r="I23" s="488"/>
      <c r="J23" s="488"/>
      <c r="K23" s="488"/>
      <c r="L23" s="488"/>
      <c r="M23" s="488"/>
      <c r="N23" s="488"/>
      <c r="O23" s="488"/>
      <c r="P23" s="488"/>
      <c r="Q23" s="488"/>
      <c r="R23" s="488"/>
      <c r="S23" s="488"/>
      <c r="T23" s="488"/>
      <c r="U23" s="488"/>
      <c r="V23" s="488"/>
      <c r="W23" s="488"/>
      <c r="X23" s="488"/>
      <c r="Y23" s="488"/>
      <c r="Z23" s="488"/>
      <c r="AA23" s="488"/>
      <c r="AB23" s="488"/>
      <c r="AC23" s="488"/>
      <c r="AD23" s="488"/>
      <c r="AE23" s="488"/>
      <c r="AF23" s="488"/>
      <c r="AG23" s="488"/>
      <c r="AH23" s="488"/>
      <c r="AI23" s="488"/>
      <c r="AJ23" s="488"/>
      <c r="AK23" s="488"/>
      <c r="AL23" s="488"/>
      <c r="AM23" s="488"/>
      <c r="AN23" s="488"/>
      <c r="AO23" s="488"/>
      <c r="AP23" s="488">
        <f t="shared" ref="AP23:AV23" si="33">AP21/AL21-1</f>
        <v>0</v>
      </c>
      <c r="AQ23" s="488">
        <f t="shared" si="33"/>
        <v>0</v>
      </c>
      <c r="AR23" s="488">
        <f t="shared" si="33"/>
        <v>0</v>
      </c>
      <c r="AS23" s="488">
        <f t="shared" si="33"/>
        <v>0</v>
      </c>
      <c r="AT23" s="488">
        <f t="shared" si="33"/>
        <v>0</v>
      </c>
      <c r="AU23" s="488">
        <f t="shared" si="33"/>
        <v>0</v>
      </c>
      <c r="AV23" s="488">
        <f t="shared" si="33"/>
        <v>0</v>
      </c>
      <c r="AW23" s="489"/>
      <c r="AX23" s="489"/>
      <c r="AY23" s="489"/>
      <c r="AZ23" s="489"/>
      <c r="BA23" s="489"/>
      <c r="BB23" s="489"/>
      <c r="BC23" s="489"/>
      <c r="BD23" s="489"/>
      <c r="BE23" s="489"/>
      <c r="BF23" s="489"/>
      <c r="BG23" s="484"/>
      <c r="BH23" s="484"/>
      <c r="BI23" s="484"/>
      <c r="BJ23" s="484"/>
      <c r="BK23" s="484"/>
      <c r="BL23" s="484"/>
      <c r="BM23" s="484"/>
      <c r="BN23" s="484"/>
      <c r="BO23" s="484"/>
      <c r="BP23" s="484"/>
      <c r="BQ23" s="484"/>
      <c r="BR23" s="484"/>
      <c r="BS23" s="484"/>
      <c r="BT23" s="484"/>
      <c r="BU23" s="484"/>
      <c r="BV23" s="489"/>
      <c r="BW23" s="489"/>
      <c r="BX23" s="489"/>
      <c r="BY23" s="489"/>
      <c r="BZ23" s="489"/>
      <c r="CA23" s="489"/>
      <c r="CB23" s="489"/>
      <c r="CC23" s="489"/>
      <c r="CD23" s="489"/>
      <c r="CE23" s="489"/>
      <c r="CF23" s="489"/>
      <c r="CG23" s="489"/>
      <c r="CH23" s="489"/>
      <c r="CI23" s="489"/>
      <c r="CJ23" s="489"/>
      <c r="CK23" s="489"/>
      <c r="CL23" s="489"/>
      <c r="CM23" s="489"/>
      <c r="CN23" s="489"/>
      <c r="CO23" s="489"/>
      <c r="CP23" s="550"/>
      <c r="CQ23" s="511"/>
      <c r="CR23" s="488"/>
      <c r="CS23" s="488"/>
      <c r="CT23" s="488"/>
      <c r="CU23" s="488"/>
      <c r="CV23" s="488"/>
      <c r="CW23" s="488"/>
      <c r="CX23" s="488"/>
      <c r="CY23" s="488"/>
      <c r="CZ23" s="488"/>
      <c r="DA23" s="488"/>
      <c r="DB23" s="488"/>
      <c r="DC23" s="488"/>
      <c r="DD23" s="488"/>
      <c r="DE23" s="488"/>
      <c r="DF23" s="488"/>
      <c r="DG23" s="488"/>
      <c r="DH23" s="488"/>
      <c r="DI23" s="488"/>
      <c r="DJ23" s="489"/>
      <c r="DK23" s="489"/>
      <c r="DL23" s="489"/>
      <c r="DM23" s="489"/>
      <c r="DN23" s="489"/>
      <c r="DO23" s="550"/>
    </row>
    <row r="24" spans="1:119">
      <c r="A24" s="504" t="s">
        <v>602</v>
      </c>
      <c r="B24" s="558"/>
      <c r="C24" s="558"/>
      <c r="D24" s="558"/>
      <c r="E24" s="558"/>
      <c r="F24" s="558"/>
      <c r="G24" s="558"/>
      <c r="H24" s="558"/>
      <c r="I24" s="558"/>
      <c r="J24" s="558"/>
      <c r="K24" s="558"/>
      <c r="L24" s="558"/>
      <c r="M24" s="558"/>
      <c r="N24" s="558"/>
      <c r="O24" s="558"/>
      <c r="P24" s="558"/>
      <c r="Q24" s="558"/>
      <c r="R24" s="558"/>
      <c r="S24" s="558"/>
      <c r="T24" s="558"/>
      <c r="U24" s="558"/>
      <c r="V24" s="558"/>
      <c r="W24" s="558"/>
      <c r="X24" s="558"/>
      <c r="Y24" s="558"/>
      <c r="Z24" s="546">
        <f t="shared" ref="Z24:CK24" si="34">+Z27+Z30</f>
        <v>381.36000000000007</v>
      </c>
      <c r="AA24" s="546">
        <f t="shared" si="34"/>
        <v>312.29771999999997</v>
      </c>
      <c r="AB24" s="546">
        <f t="shared" si="34"/>
        <v>414.58999679999994</v>
      </c>
      <c r="AC24" s="546">
        <f t="shared" si="34"/>
        <v>511.05151575449986</v>
      </c>
      <c r="AD24" s="546">
        <f t="shared" si="34"/>
        <v>492.20280454725173</v>
      </c>
      <c r="AE24" s="546">
        <f t="shared" si="34"/>
        <v>577.54768779622896</v>
      </c>
      <c r="AF24" s="546">
        <f t="shared" si="34"/>
        <v>673.92380183016974</v>
      </c>
      <c r="AG24" s="546">
        <f t="shared" si="34"/>
        <v>673.79467600892008</v>
      </c>
      <c r="AH24" s="546">
        <f t="shared" si="34"/>
        <v>600.09916412814448</v>
      </c>
      <c r="AI24" s="546">
        <f t="shared" si="34"/>
        <v>637.48098648281234</v>
      </c>
      <c r="AJ24" s="546">
        <f t="shared" si="34"/>
        <v>952.12756513212696</v>
      </c>
      <c r="AK24" s="546">
        <f t="shared" si="34"/>
        <v>1015.5079132810498</v>
      </c>
      <c r="AL24" s="546">
        <f t="shared" si="34"/>
        <v>699.67125284272845</v>
      </c>
      <c r="AM24" s="546">
        <f t="shared" si="34"/>
        <v>832.13920931574933</v>
      </c>
      <c r="AN24" s="546">
        <f t="shared" si="34"/>
        <v>1068.9890770024649</v>
      </c>
      <c r="AO24" s="546">
        <f t="shared" si="34"/>
        <v>1146.2181740844078</v>
      </c>
      <c r="AP24" s="546">
        <f t="shared" si="34"/>
        <v>1221.7931021775485</v>
      </c>
      <c r="AQ24" s="546">
        <f t="shared" si="34"/>
        <v>1175.6299005543658</v>
      </c>
      <c r="AR24" s="546">
        <f t="shared" si="34"/>
        <v>1181.5226492092102</v>
      </c>
      <c r="AS24" s="546">
        <f t="shared" si="34"/>
        <v>619.9976197255121</v>
      </c>
      <c r="AT24" s="546">
        <f t="shared" si="34"/>
        <v>742.81846122008119</v>
      </c>
      <c r="AU24" s="546">
        <f t="shared" si="34"/>
        <v>662.9654766389225</v>
      </c>
      <c r="AV24" s="546">
        <f t="shared" si="34"/>
        <v>851.24767200437645</v>
      </c>
      <c r="AW24" s="546">
        <f t="shared" si="34"/>
        <v>907.34489358946485</v>
      </c>
      <c r="AX24" s="546">
        <f t="shared" si="34"/>
        <v>683.01294209840546</v>
      </c>
      <c r="AY24" s="546">
        <f t="shared" si="34"/>
        <v>791.74860248047185</v>
      </c>
      <c r="AZ24" s="546">
        <f t="shared" si="34"/>
        <v>1211.3753617951215</v>
      </c>
      <c r="BA24" s="546">
        <f t="shared" si="34"/>
        <v>1600.1633000000002</v>
      </c>
      <c r="BB24" s="546">
        <f>+BB27+BB30</f>
        <v>1727.2857535436169</v>
      </c>
      <c r="BC24" s="546">
        <f>+BC27+BC30</f>
        <v>1667.8769339812079</v>
      </c>
      <c r="BD24" s="546">
        <f t="shared" si="34"/>
        <v>1835.571080458363</v>
      </c>
      <c r="BE24" s="546">
        <f t="shared" si="34"/>
        <v>2024.7158302234857</v>
      </c>
      <c r="BF24" s="546">
        <f t="shared" si="34"/>
        <v>1976.3956614674944</v>
      </c>
      <c r="BG24" s="546">
        <f>+BG27+BG30</f>
        <v>982.39247311827955</v>
      </c>
      <c r="BH24" s="546">
        <f>+BH27+BH30</f>
        <v>604.8583984375</v>
      </c>
      <c r="BI24" s="546">
        <f t="shared" si="34"/>
        <v>949.40237467018471</v>
      </c>
      <c r="BJ24" s="546">
        <f t="shared" si="34"/>
        <v>1064.6508395696912</v>
      </c>
      <c r="BK24" s="546">
        <f t="shared" si="34"/>
        <v>1052.0066234818519</v>
      </c>
      <c r="BL24" s="546">
        <f t="shared" si="34"/>
        <v>1375.8477474200226</v>
      </c>
      <c r="BM24" s="546">
        <f t="shared" si="34"/>
        <v>1507.4048494871222</v>
      </c>
      <c r="BN24" s="546">
        <f t="shared" si="34"/>
        <v>1525.9733711185513</v>
      </c>
      <c r="BO24" s="546">
        <f t="shared" si="34"/>
        <v>1617.0428204459856</v>
      </c>
      <c r="BP24" s="546">
        <f t="shared" si="34"/>
        <v>1702.9668239929588</v>
      </c>
      <c r="BQ24" s="546">
        <f t="shared" si="34"/>
        <v>1297.6019811148615</v>
      </c>
      <c r="BR24" s="546">
        <f t="shared" si="34"/>
        <v>2406.5579884608055</v>
      </c>
      <c r="BS24" s="546">
        <f t="shared" si="34"/>
        <v>2714.1971579649608</v>
      </c>
      <c r="BT24" s="546">
        <f t="shared" si="34"/>
        <v>2500.9060556813388</v>
      </c>
      <c r="BU24" s="546">
        <f t="shared" si="34"/>
        <v>2177.2944191364118</v>
      </c>
      <c r="BV24" s="547">
        <f t="shared" si="34"/>
        <v>2023.141974261554</v>
      </c>
      <c r="BW24" s="547">
        <f t="shared" si="34"/>
        <v>2043.3733940041693</v>
      </c>
      <c r="BX24" s="547">
        <f t="shared" si="34"/>
        <v>2125.7213417825378</v>
      </c>
      <c r="BY24" s="547">
        <f t="shared" si="34"/>
        <v>2233.2828416767338</v>
      </c>
      <c r="BZ24" s="547">
        <f t="shared" si="34"/>
        <v>2075.1664164860217</v>
      </c>
      <c r="CA24" s="547">
        <f t="shared" si="34"/>
        <v>2179.7548038769173</v>
      </c>
      <c r="CB24" s="547">
        <f t="shared" si="34"/>
        <v>2333.6454930306281</v>
      </c>
      <c r="CC24" s="547">
        <f t="shared" si="34"/>
        <v>2427.6914063997629</v>
      </c>
      <c r="CD24" s="547">
        <f t="shared" si="34"/>
        <v>2228.6207110749824</v>
      </c>
      <c r="CE24" s="547">
        <f t="shared" si="34"/>
        <v>2340.9431949131613</v>
      </c>
      <c r="CF24" s="547">
        <f t="shared" si="34"/>
        <v>2531.0277823401102</v>
      </c>
      <c r="CG24" s="547">
        <f t="shared" si="34"/>
        <v>2658.5915825700517</v>
      </c>
      <c r="CH24" s="547">
        <f t="shared" si="34"/>
        <v>2440.5870727993079</v>
      </c>
      <c r="CI24" s="547">
        <f t="shared" si="34"/>
        <v>2563.5926612683925</v>
      </c>
      <c r="CJ24" s="547">
        <f t="shared" si="34"/>
        <v>2771.7563853633865</v>
      </c>
      <c r="CK24" s="547">
        <f t="shared" si="34"/>
        <v>2911.4529071857014</v>
      </c>
      <c r="CL24" s="547">
        <f t="shared" ref="CL24:CO24" si="35">+CL27+CL30</f>
        <v>2672.7137687964737</v>
      </c>
      <c r="CM24" s="547">
        <f t="shared" si="35"/>
        <v>2807.4185427438165</v>
      </c>
      <c r="CN24" s="547">
        <f t="shared" si="35"/>
        <v>3035.3809284146146</v>
      </c>
      <c r="CO24" s="547">
        <f t="shared" si="35"/>
        <v>3188.3641272067116</v>
      </c>
      <c r="CP24" s="560"/>
      <c r="CQ24" s="561"/>
      <c r="CR24" s="546"/>
      <c r="CS24" s="546"/>
      <c r="CT24" s="546"/>
      <c r="CU24" s="546"/>
      <c r="CV24" s="546"/>
      <c r="CW24" s="546"/>
      <c r="CX24" s="546">
        <f>SUM(Z24:AC24)</f>
        <v>1619.2992325544999</v>
      </c>
      <c r="CY24" s="546">
        <f>SUM(AD24:AG24)</f>
        <v>2417.468970182571</v>
      </c>
      <c r="CZ24" s="546">
        <f>SUM(AH24:AK24)</f>
        <v>3205.2156290241337</v>
      </c>
      <c r="DA24" s="546">
        <f>SUM(AL24:AO24)</f>
        <v>3747.0177132453509</v>
      </c>
      <c r="DB24" s="546">
        <f>SUM(AP24:AS24)</f>
        <v>4198.943271666637</v>
      </c>
      <c r="DC24" s="546">
        <f>AT24+AU24+AV24+AW24</f>
        <v>3164.3765034528451</v>
      </c>
      <c r="DD24" s="546">
        <f>AX24+AY24+AZ24+BA24</f>
        <v>4286.3002063739987</v>
      </c>
      <c r="DE24" s="546">
        <f>BB24+BC24+BD24+BE24</f>
        <v>7255.4495982066737</v>
      </c>
      <c r="DF24" s="546">
        <f>+SUM(BF24:BI24)</f>
        <v>4513.0489076934591</v>
      </c>
      <c r="DG24" s="546">
        <f>+SUM(BJ24:BM24)</f>
        <v>4999.9100599586882</v>
      </c>
      <c r="DH24" s="546">
        <f>+SUM(BN24:BQ24)</f>
        <v>6143.5849966723572</v>
      </c>
      <c r="DI24" s="546">
        <f>+SUM(BR24:BU24)</f>
        <v>9798.9556212435164</v>
      </c>
      <c r="DJ24" s="547">
        <f>SUM(BV24:BY24)</f>
        <v>8425.519551724994</v>
      </c>
      <c r="DK24" s="547">
        <f>SUM(BZ24:CC24)</f>
        <v>9016.2581197933305</v>
      </c>
      <c r="DL24" s="547">
        <f>SUM(CD24:CG24)</f>
        <v>9759.1832708983056</v>
      </c>
      <c r="DM24" s="547">
        <f>SUM(CH24:CK24)</f>
        <v>10687.389026616787</v>
      </c>
      <c r="DN24" s="547">
        <f>SUM(CL24:CO24)</f>
        <v>11703.877367161615</v>
      </c>
    </row>
    <row r="25" spans="1:119" s="551" customFormat="1">
      <c r="A25" s="92" t="s">
        <v>223</v>
      </c>
      <c r="B25" s="488"/>
      <c r="C25" s="488"/>
      <c r="D25" s="488"/>
      <c r="E25" s="488"/>
      <c r="F25" s="488"/>
      <c r="G25" s="488"/>
      <c r="H25" s="488"/>
      <c r="I25" s="488"/>
      <c r="J25" s="488"/>
      <c r="K25" s="488"/>
      <c r="L25" s="488"/>
      <c r="M25" s="488"/>
      <c r="N25" s="488"/>
      <c r="O25" s="488"/>
      <c r="P25" s="488"/>
      <c r="Q25" s="488"/>
      <c r="R25" s="488"/>
      <c r="S25" s="488"/>
      <c r="T25" s="488"/>
      <c r="U25" s="488"/>
      <c r="V25" s="488"/>
      <c r="W25" s="488"/>
      <c r="X25" s="488"/>
      <c r="Y25" s="488"/>
      <c r="Z25" s="488"/>
      <c r="AA25" s="488">
        <f t="shared" ref="AA25:CL25" si="36">AA24/Z24-1</f>
        <v>-0.18109471365638785</v>
      </c>
      <c r="AB25" s="488">
        <f t="shared" si="36"/>
        <v>0.32754730582086866</v>
      </c>
      <c r="AC25" s="488">
        <f t="shared" si="36"/>
        <v>0.23266726090604006</v>
      </c>
      <c r="AD25" s="488">
        <f t="shared" si="36"/>
        <v>-3.6882213683331888E-2</v>
      </c>
      <c r="AE25" s="488">
        <f t="shared" si="36"/>
        <v>0.17339373620083487</v>
      </c>
      <c r="AF25" s="488">
        <f t="shared" si="36"/>
        <v>0.16687126633938543</v>
      </c>
      <c r="AG25" s="488">
        <f t="shared" si="36"/>
        <v>-1.9160299858678176E-4</v>
      </c>
      <c r="AH25" s="488">
        <f t="shared" si="36"/>
        <v>-0.10937384117858473</v>
      </c>
      <c r="AI25" s="488">
        <f t="shared" si="36"/>
        <v>6.2292741915376926E-2</v>
      </c>
      <c r="AJ25" s="488">
        <f t="shared" si="36"/>
        <v>0.4935779816513759</v>
      </c>
      <c r="AK25" s="488">
        <f t="shared" si="36"/>
        <v>6.6567076167076022E-2</v>
      </c>
      <c r="AL25" s="488">
        <f t="shared" si="36"/>
        <v>-0.31101349020301639</v>
      </c>
      <c r="AM25" s="488">
        <f t="shared" si="36"/>
        <v>0.18932885399365817</v>
      </c>
      <c r="AN25" s="488">
        <f t="shared" si="36"/>
        <v>0.28462769814857336</v>
      </c>
      <c r="AO25" s="488">
        <f t="shared" si="36"/>
        <v>7.2244982426293625E-2</v>
      </c>
      <c r="AP25" s="488">
        <f t="shared" si="36"/>
        <v>6.5934156168400815E-2</v>
      </c>
      <c r="AQ25" s="488">
        <f t="shared" si="36"/>
        <v>-3.7783157836550285E-2</v>
      </c>
      <c r="AR25" s="488">
        <f t="shared" si="36"/>
        <v>5.0124181530817324E-3</v>
      </c>
      <c r="AS25" s="488">
        <f t="shared" si="36"/>
        <v>-0.47525540865384608</v>
      </c>
      <c r="AT25" s="488">
        <f t="shared" si="36"/>
        <v>0.19809889197468999</v>
      </c>
      <c r="AU25" s="488">
        <f t="shared" si="36"/>
        <v>-0.10749999999999993</v>
      </c>
      <c r="AV25" s="488">
        <f t="shared" si="36"/>
        <v>0.28400000000000003</v>
      </c>
      <c r="AW25" s="488">
        <f t="shared" si="36"/>
        <v>6.590000000000007E-2</v>
      </c>
      <c r="AX25" s="488">
        <f t="shared" si="36"/>
        <v>-0.24724000000000013</v>
      </c>
      <c r="AY25" s="488">
        <f t="shared" si="36"/>
        <v>0.15920000000000045</v>
      </c>
      <c r="AZ25" s="488">
        <f t="shared" si="36"/>
        <v>0.52999999999999958</v>
      </c>
      <c r="BA25" s="488">
        <f t="shared" si="36"/>
        <v>0.32094753654947938</v>
      </c>
      <c r="BB25" s="488">
        <f t="shared" si="36"/>
        <v>7.9443425270168788E-2</v>
      </c>
      <c r="BC25" s="488">
        <f t="shared" si="36"/>
        <v>-3.4394320361022301E-2</v>
      </c>
      <c r="BD25" s="488">
        <f t="shared" si="36"/>
        <v>0.10054347719580869</v>
      </c>
      <c r="BE25" s="488">
        <f t="shared" si="36"/>
        <v>0.10304408899158024</v>
      </c>
      <c r="BF25" s="488">
        <f t="shared" si="36"/>
        <v>-2.3865160747351788E-2</v>
      </c>
      <c r="BG25" s="488">
        <f>BG24/BF24-1</f>
        <v>-0.50293734586077621</v>
      </c>
      <c r="BH25" s="488">
        <f>BH24/BG24-1</f>
        <v>-0.38430065886236142</v>
      </c>
      <c r="BI25" s="488">
        <f t="shared" si="36"/>
        <v>0.5696274981429168</v>
      </c>
      <c r="BJ25" s="488">
        <f t="shared" si="36"/>
        <v>0.1213905378523441</v>
      </c>
      <c r="BK25" s="488">
        <f t="shared" si="36"/>
        <v>-1.1876397047646092E-2</v>
      </c>
      <c r="BL25" s="488">
        <f t="shared" si="36"/>
        <v>0.30783182986657054</v>
      </c>
      <c r="BM25" s="488">
        <f t="shared" si="36"/>
        <v>9.5618939169537009E-2</v>
      </c>
      <c r="BN25" s="488">
        <f t="shared" si="36"/>
        <v>1.2318204786024634E-2</v>
      </c>
      <c r="BO25" s="488">
        <f t="shared" si="36"/>
        <v>5.9679579638194813E-2</v>
      </c>
      <c r="BP25" s="488">
        <f t="shared" si="36"/>
        <v>5.3136504773123372E-2</v>
      </c>
      <c r="BQ25" s="488">
        <f t="shared" si="36"/>
        <v>-0.23803449202118654</v>
      </c>
      <c r="BR25" s="488">
        <f t="shared" si="36"/>
        <v>0.85461953933914447</v>
      </c>
      <c r="BS25" s="488">
        <f t="shared" si="36"/>
        <v>0.12783368237094339</v>
      </c>
      <c r="BT25" s="488">
        <f t="shared" si="36"/>
        <v>-7.858349628644612E-2</v>
      </c>
      <c r="BU25" s="488">
        <f t="shared" si="36"/>
        <v>-0.12939775798845965</v>
      </c>
      <c r="BV25" s="489">
        <f t="shared" si="36"/>
        <v>-7.0799999999999974E-2</v>
      </c>
      <c r="BW25" s="489">
        <f t="shared" si="36"/>
        <v>1.0000000000000009E-2</v>
      </c>
      <c r="BX25" s="489">
        <f t="shared" si="36"/>
        <v>4.0300000000000225E-2</v>
      </c>
      <c r="BY25" s="489">
        <f t="shared" si="36"/>
        <v>5.0599999999999756E-2</v>
      </c>
      <c r="BZ25" s="489">
        <f t="shared" si="36"/>
        <v>-7.0799999999999752E-2</v>
      </c>
      <c r="CA25" s="489">
        <f t="shared" si="36"/>
        <v>5.04E-2</v>
      </c>
      <c r="CB25" s="489">
        <f t="shared" si="36"/>
        <v>7.0600000000000218E-2</v>
      </c>
      <c r="CC25" s="489">
        <f t="shared" si="36"/>
        <v>4.0300000000000225E-2</v>
      </c>
      <c r="CD25" s="489">
        <f t="shared" si="36"/>
        <v>-8.1999999999999962E-2</v>
      </c>
      <c r="CE25" s="489">
        <f t="shared" si="36"/>
        <v>5.04E-2</v>
      </c>
      <c r="CF25" s="489">
        <f t="shared" si="36"/>
        <v>8.1200000000000161E-2</v>
      </c>
      <c r="CG25" s="489">
        <f t="shared" si="36"/>
        <v>5.04E-2</v>
      </c>
      <c r="CH25" s="489">
        <f t="shared" si="36"/>
        <v>-8.1999999999999851E-2</v>
      </c>
      <c r="CI25" s="489">
        <f t="shared" si="36"/>
        <v>5.0399999999999778E-2</v>
      </c>
      <c r="CJ25" s="489">
        <f t="shared" si="36"/>
        <v>8.1200000000000161E-2</v>
      </c>
      <c r="CK25" s="489">
        <f t="shared" si="36"/>
        <v>5.04E-2</v>
      </c>
      <c r="CL25" s="489">
        <f t="shared" si="36"/>
        <v>-8.2000000000000073E-2</v>
      </c>
      <c r="CM25" s="489">
        <f t="shared" ref="CM25:CO25" si="37">CM24/CL24-1</f>
        <v>5.0400000000000222E-2</v>
      </c>
      <c r="CN25" s="489">
        <f t="shared" si="37"/>
        <v>8.1200000000000161E-2</v>
      </c>
      <c r="CO25" s="489">
        <f t="shared" si="37"/>
        <v>5.0400000000000222E-2</v>
      </c>
      <c r="CP25" s="500"/>
      <c r="CQ25" s="511"/>
      <c r="CR25" s="562"/>
      <c r="CS25" s="562"/>
      <c r="CT25" s="563"/>
      <c r="CU25" s="563"/>
      <c r="CV25" s="562"/>
      <c r="CW25" s="562"/>
      <c r="CX25" s="562"/>
      <c r="CY25" s="493"/>
      <c r="CZ25" s="490"/>
      <c r="DA25" s="494"/>
      <c r="DB25" s="494"/>
      <c r="DC25" s="494"/>
      <c r="DD25" s="494"/>
      <c r="DE25" s="510"/>
      <c r="DF25" s="510"/>
      <c r="DG25" s="510"/>
      <c r="DH25" s="510"/>
      <c r="DI25" s="510"/>
      <c r="DJ25" s="494"/>
      <c r="DK25" s="494"/>
      <c r="DL25" s="494"/>
      <c r="DM25" s="494"/>
      <c r="DN25" s="494"/>
      <c r="DO25" s="550"/>
    </row>
    <row r="26" spans="1:119" s="551" customFormat="1">
      <c r="A26" s="92" t="s">
        <v>225</v>
      </c>
      <c r="B26" s="488"/>
      <c r="C26" s="488"/>
      <c r="D26" s="488"/>
      <c r="E26" s="488"/>
      <c r="F26" s="488"/>
      <c r="G26" s="488"/>
      <c r="H26" s="488"/>
      <c r="I26" s="488"/>
      <c r="J26" s="488"/>
      <c r="K26" s="488"/>
      <c r="L26" s="488"/>
      <c r="M26" s="488"/>
      <c r="N26" s="488"/>
      <c r="O26" s="488"/>
      <c r="P26" s="488"/>
      <c r="Q26" s="488"/>
      <c r="R26" s="488"/>
      <c r="S26" s="488"/>
      <c r="T26" s="488"/>
      <c r="U26" s="488"/>
      <c r="V26" s="488"/>
      <c r="W26" s="488"/>
      <c r="X26" s="488"/>
      <c r="Y26" s="488"/>
      <c r="Z26" s="488"/>
      <c r="AA26" s="488"/>
      <c r="AB26" s="488"/>
      <c r="AC26" s="488"/>
      <c r="AD26" s="488">
        <f t="shared" ref="AD26:CO26" si="38">AD24/Z24-1</f>
        <v>0.29065136497601118</v>
      </c>
      <c r="AE26" s="488">
        <f t="shared" si="38"/>
        <v>0.84934967759684254</v>
      </c>
      <c r="AF26" s="488">
        <f t="shared" si="38"/>
        <v>0.62551872218777538</v>
      </c>
      <c r="AG26" s="488">
        <f t="shared" si="38"/>
        <v>0.31844766180597572</v>
      </c>
      <c r="AH26" s="488">
        <f t="shared" si="38"/>
        <v>0.21921118405682427</v>
      </c>
      <c r="AI26" s="488">
        <f t="shared" si="38"/>
        <v>0.10377203467868279</v>
      </c>
      <c r="AJ26" s="488">
        <f t="shared" si="38"/>
        <v>0.41281189734869339</v>
      </c>
      <c r="AK26" s="488">
        <f t="shared" si="38"/>
        <v>0.50714742849586703</v>
      </c>
      <c r="AL26" s="488">
        <f t="shared" si="38"/>
        <v>0.16592605800284277</v>
      </c>
      <c r="AM26" s="488">
        <f t="shared" si="38"/>
        <v>0.30535533915596291</v>
      </c>
      <c r="AN26" s="488">
        <f t="shared" si="38"/>
        <v>0.12273724251867568</v>
      </c>
      <c r="AO26" s="488">
        <f t="shared" si="38"/>
        <v>0.1287141725769918</v>
      </c>
      <c r="AP26" s="488">
        <f t="shared" si="38"/>
        <v>0.74623881889310972</v>
      </c>
      <c r="AQ26" s="488">
        <f t="shared" si="38"/>
        <v>0.41278032256292985</v>
      </c>
      <c r="AR26" s="488">
        <f t="shared" si="38"/>
        <v>0.1052710215920063</v>
      </c>
      <c r="AS26" s="488">
        <f t="shared" si="38"/>
        <v>-0.45909283787027499</v>
      </c>
      <c r="AT26" s="488">
        <f t="shared" si="38"/>
        <v>-0.39202598222547802</v>
      </c>
      <c r="AU26" s="488">
        <f t="shared" si="38"/>
        <v>-0.43607637375818487</v>
      </c>
      <c r="AV26" s="488">
        <f t="shared" si="38"/>
        <v>-0.2795333440504808</v>
      </c>
      <c r="AW26" s="488">
        <f t="shared" si="38"/>
        <v>0.46346512425510333</v>
      </c>
      <c r="AX26" s="488">
        <f t="shared" si="38"/>
        <v>-8.0511621942520151E-2</v>
      </c>
      <c r="AY26" s="488">
        <f t="shared" si="38"/>
        <v>0.19425314044171538</v>
      </c>
      <c r="AZ26" s="488">
        <f t="shared" si="38"/>
        <v>0.42305864865718368</v>
      </c>
      <c r="BA26" s="488">
        <f t="shared" si="38"/>
        <v>0.76356676640316912</v>
      </c>
      <c r="BB26" s="488">
        <f t="shared" si="38"/>
        <v>1.5289209721808716</v>
      </c>
      <c r="BC26" s="488">
        <f t="shared" si="38"/>
        <v>1.10657389069701</v>
      </c>
      <c r="BD26" s="488">
        <f t="shared" si="38"/>
        <v>0.51527853244287036</v>
      </c>
      <c r="BE26" s="488">
        <f t="shared" si="38"/>
        <v>0.2653182523455484</v>
      </c>
      <c r="BF26" s="488">
        <f t="shared" si="38"/>
        <v>0.1442204379980645</v>
      </c>
      <c r="BG26" s="488">
        <f>BG24/BC24-1</f>
        <v>-0.41099223024008302</v>
      </c>
      <c r="BH26" s="488">
        <f>BH24/BD24-1</f>
        <v>-0.67047944649113778</v>
      </c>
      <c r="BI26" s="488">
        <f t="shared" si="38"/>
        <v>-0.53109351915059078</v>
      </c>
      <c r="BJ26" s="488">
        <f t="shared" si="38"/>
        <v>-0.46131695169823594</v>
      </c>
      <c r="BK26" s="488">
        <f t="shared" si="38"/>
        <v>7.086185233342146E-2</v>
      </c>
      <c r="BL26" s="488">
        <f t="shared" si="38"/>
        <v>1.2746608974500151</v>
      </c>
      <c r="BM26" s="488">
        <f t="shared" si="38"/>
        <v>0.58774076166681533</v>
      </c>
      <c r="BN26" s="488">
        <f t="shared" si="38"/>
        <v>0.43330875663923463</v>
      </c>
      <c r="BO26" s="488">
        <f t="shared" si="38"/>
        <v>0.53710326945853226</v>
      </c>
      <c r="BP26" s="488">
        <f t="shared" si="38"/>
        <v>0.23775819467404502</v>
      </c>
      <c r="BQ26" s="488">
        <f t="shared" si="38"/>
        <v>-0.13918150020788633</v>
      </c>
      <c r="BR26" s="488">
        <f t="shared" si="38"/>
        <v>0.57706420964395888</v>
      </c>
      <c r="BS26" s="488">
        <f t="shared" si="38"/>
        <v>0.67849430061250726</v>
      </c>
      <c r="BT26" s="488">
        <f t="shared" si="38"/>
        <v>0.46855829511548919</v>
      </c>
      <c r="BU26" s="488">
        <f t="shared" si="38"/>
        <v>0.67793703371641301</v>
      </c>
      <c r="BV26" s="489">
        <f t="shared" si="38"/>
        <v>-0.1593213278207678</v>
      </c>
      <c r="BW26" s="489">
        <f t="shared" si="38"/>
        <v>-0.24715366088724333</v>
      </c>
      <c r="BX26" s="489">
        <f t="shared" si="38"/>
        <v>-0.15001951514591649</v>
      </c>
      <c r="BY26" s="489">
        <f t="shared" si="38"/>
        <v>2.5714676916559931E-2</v>
      </c>
      <c r="BZ26" s="489">
        <f t="shared" si="38"/>
        <v>2.5714676916560375E-2</v>
      </c>
      <c r="CA26" s="489">
        <f t="shared" si="38"/>
        <v>6.6743263993222834E-2</v>
      </c>
      <c r="CB26" s="489">
        <f t="shared" si="38"/>
        <v>9.781345614836523E-2</v>
      </c>
      <c r="CC26" s="489">
        <f t="shared" si="38"/>
        <v>8.7050579127303296E-2</v>
      </c>
      <c r="CD26" s="489">
        <f t="shared" si="38"/>
        <v>7.394794623209644E-2</v>
      </c>
      <c r="CE26" s="489">
        <f t="shared" si="38"/>
        <v>7.3947946232096218E-2</v>
      </c>
      <c r="CF26" s="489">
        <f t="shared" si="38"/>
        <v>8.4581094214592145E-2</v>
      </c>
      <c r="CG26" s="489">
        <f t="shared" si="38"/>
        <v>9.5111007750656062E-2</v>
      </c>
      <c r="CH26" s="489">
        <f t="shared" si="38"/>
        <v>9.5111007750656062E-2</v>
      </c>
      <c r="CI26" s="489">
        <f t="shared" si="38"/>
        <v>9.5111007750656062E-2</v>
      </c>
      <c r="CJ26" s="489">
        <f t="shared" si="38"/>
        <v>9.5111007750656062E-2</v>
      </c>
      <c r="CK26" s="489">
        <f t="shared" si="38"/>
        <v>9.5111007750656285E-2</v>
      </c>
      <c r="CL26" s="489">
        <f t="shared" si="38"/>
        <v>9.5111007750656062E-2</v>
      </c>
      <c r="CM26" s="489">
        <f t="shared" si="38"/>
        <v>9.5111007750656507E-2</v>
      </c>
      <c r="CN26" s="489">
        <f t="shared" si="38"/>
        <v>9.5111007750656285E-2</v>
      </c>
      <c r="CO26" s="489">
        <f t="shared" si="38"/>
        <v>9.5111007750656285E-2</v>
      </c>
      <c r="CP26" s="500"/>
      <c r="CQ26" s="511"/>
      <c r="CR26" s="562"/>
      <c r="CS26" s="562"/>
      <c r="CT26" s="562"/>
      <c r="CU26" s="563"/>
      <c r="CV26" s="562"/>
      <c r="CW26" s="562"/>
      <c r="CX26" s="562"/>
      <c r="CY26" s="488">
        <f t="shared" ref="CY26:DK26" si="39">CY24/CX24-1</f>
        <v>0.49291058847037861</v>
      </c>
      <c r="CZ26" s="488">
        <f t="shared" si="39"/>
        <v>0.32585595453664529</v>
      </c>
      <c r="DA26" s="488">
        <f t="shared" si="39"/>
        <v>0.16903763956316897</v>
      </c>
      <c r="DB26" s="488">
        <f t="shared" si="39"/>
        <v>0.12060940006335508</v>
      </c>
      <c r="DC26" s="488">
        <f t="shared" si="39"/>
        <v>-0.24638741256515084</v>
      </c>
      <c r="DD26" s="488">
        <f t="shared" si="39"/>
        <v>0.3545481081966555</v>
      </c>
      <c r="DE26" s="488">
        <f t="shared" si="39"/>
        <v>0.6927068214721317</v>
      </c>
      <c r="DF26" s="488">
        <f t="shared" si="39"/>
        <v>-0.37797804993243322</v>
      </c>
      <c r="DG26" s="488">
        <f t="shared" si="39"/>
        <v>0.10787854557376275</v>
      </c>
      <c r="DH26" s="488">
        <f t="shared" si="39"/>
        <v>0.2287391019035887</v>
      </c>
      <c r="DI26" s="488">
        <f t="shared" si="39"/>
        <v>0.59498983517784376</v>
      </c>
      <c r="DJ26" s="497">
        <f t="shared" si="39"/>
        <v>-0.14016147461072281</v>
      </c>
      <c r="DK26" s="497">
        <f t="shared" si="39"/>
        <v>7.0113013736629703E-2</v>
      </c>
      <c r="DL26" s="497">
        <f>DL24/DK24-1</f>
        <v>8.2398389801422889E-2</v>
      </c>
      <c r="DM26" s="497">
        <f>DM24/DL24-1</f>
        <v>9.5111007750656062E-2</v>
      </c>
      <c r="DN26" s="497">
        <f>DN24/DM24-1</f>
        <v>9.5111007750656285E-2</v>
      </c>
      <c r="DO26" s="550"/>
    </row>
    <row r="27" spans="1:119" s="551" customFormat="1">
      <c r="A27" s="496" t="s">
        <v>257</v>
      </c>
      <c r="B27" s="488"/>
      <c r="C27" s="488"/>
      <c r="D27" s="488"/>
      <c r="E27" s="488"/>
      <c r="F27" s="488"/>
      <c r="G27" s="488"/>
      <c r="H27" s="488"/>
      <c r="I27" s="488"/>
      <c r="J27" s="488"/>
      <c r="K27" s="488"/>
      <c r="L27" s="488"/>
      <c r="M27" s="488"/>
      <c r="N27" s="488"/>
      <c r="O27" s="488"/>
      <c r="P27" s="488"/>
      <c r="Q27" s="488"/>
      <c r="R27" s="488"/>
      <c r="S27" s="488"/>
      <c r="T27" s="488"/>
      <c r="U27" s="488"/>
      <c r="V27" s="488"/>
      <c r="W27" s="488"/>
      <c r="X27" s="488"/>
      <c r="Y27" s="488"/>
      <c r="Z27" s="485">
        <f t="shared" ref="Z27:BE27" si="40">+Z17*Z8/1000</f>
        <v>381.36000000000007</v>
      </c>
      <c r="AA27" s="485">
        <f t="shared" si="40"/>
        <v>312.29771999999997</v>
      </c>
      <c r="AB27" s="485">
        <f t="shared" si="40"/>
        <v>414.58999679999994</v>
      </c>
      <c r="AC27" s="485">
        <f t="shared" si="40"/>
        <v>511.05151575449986</v>
      </c>
      <c r="AD27" s="485">
        <f t="shared" si="40"/>
        <v>492.20280454725173</v>
      </c>
      <c r="AE27" s="485">
        <f t="shared" si="40"/>
        <v>577.54768779622896</v>
      </c>
      <c r="AF27" s="485">
        <f t="shared" si="40"/>
        <v>673.92380183016974</v>
      </c>
      <c r="AG27" s="485">
        <f t="shared" si="40"/>
        <v>673.79467600892008</v>
      </c>
      <c r="AH27" s="485">
        <f t="shared" si="40"/>
        <v>600.09916412814448</v>
      </c>
      <c r="AI27" s="485">
        <f t="shared" si="40"/>
        <v>637.48098648281234</v>
      </c>
      <c r="AJ27" s="485">
        <f t="shared" si="40"/>
        <v>952.12756513212696</v>
      </c>
      <c r="AK27" s="485">
        <f t="shared" si="40"/>
        <v>1015.5079132810498</v>
      </c>
      <c r="AL27" s="485">
        <f t="shared" si="40"/>
        <v>699.67125284272845</v>
      </c>
      <c r="AM27" s="485">
        <f t="shared" si="40"/>
        <v>832.13920931574933</v>
      </c>
      <c r="AN27" s="485">
        <f t="shared" si="40"/>
        <v>1018.989077002465</v>
      </c>
      <c r="AO27" s="485">
        <f t="shared" si="40"/>
        <v>996.21817408440779</v>
      </c>
      <c r="AP27" s="485">
        <f t="shared" si="40"/>
        <v>1121.7931021775485</v>
      </c>
      <c r="AQ27" s="485">
        <f t="shared" si="40"/>
        <v>1175.6299005543658</v>
      </c>
      <c r="AR27" s="485">
        <f t="shared" si="40"/>
        <v>1181.5226492092102</v>
      </c>
      <c r="AS27" s="485">
        <f t="shared" si="40"/>
        <v>619.9976197255121</v>
      </c>
      <c r="AT27" s="485">
        <f t="shared" si="40"/>
        <v>742.81846122008119</v>
      </c>
      <c r="AU27" s="485">
        <f t="shared" si="40"/>
        <v>662.9654766389225</v>
      </c>
      <c r="AV27" s="485">
        <f t="shared" si="40"/>
        <v>851.24767200437645</v>
      </c>
      <c r="AW27" s="485">
        <f t="shared" si="40"/>
        <v>907.34489358946485</v>
      </c>
      <c r="AX27" s="485">
        <f t="shared" si="40"/>
        <v>683.01294209840546</v>
      </c>
      <c r="AY27" s="485">
        <f t="shared" si="40"/>
        <v>791.74860248047185</v>
      </c>
      <c r="AZ27" s="485">
        <f t="shared" si="40"/>
        <v>1211.3753617951215</v>
      </c>
      <c r="BA27" s="485">
        <f t="shared" si="40"/>
        <v>1399.7633000000001</v>
      </c>
      <c r="BB27" s="485">
        <f t="shared" si="40"/>
        <v>1377.5877535436171</v>
      </c>
      <c r="BC27" s="485">
        <f t="shared" si="40"/>
        <v>1318.178933981208</v>
      </c>
      <c r="BD27" s="485">
        <f t="shared" si="40"/>
        <v>1660.7220804583631</v>
      </c>
      <c r="BE27" s="485">
        <f t="shared" si="40"/>
        <v>1981.0035802234856</v>
      </c>
      <c r="BF27" s="485">
        <f t="shared" ref="BF27:CO27" si="41">+BF17*BF8/1000</f>
        <v>1976.3956614674944</v>
      </c>
      <c r="BG27" s="485">
        <f t="shared" si="41"/>
        <v>982.39247311827955</v>
      </c>
      <c r="BH27" s="485">
        <f t="shared" si="41"/>
        <v>604.8583984375</v>
      </c>
      <c r="BI27" s="485">
        <f t="shared" si="41"/>
        <v>949.40237467018471</v>
      </c>
      <c r="BJ27" s="485">
        <f t="shared" si="41"/>
        <v>1064.6508395696912</v>
      </c>
      <c r="BK27" s="485">
        <f t="shared" si="41"/>
        <v>1052.0066234818519</v>
      </c>
      <c r="BL27" s="485">
        <f t="shared" si="41"/>
        <v>1375.8477474200226</v>
      </c>
      <c r="BM27" s="485">
        <f t="shared" si="41"/>
        <v>1507.4048494871222</v>
      </c>
      <c r="BN27" s="485">
        <f t="shared" si="41"/>
        <v>1525.9733711185513</v>
      </c>
      <c r="BO27" s="485">
        <f t="shared" si="41"/>
        <v>1617.0428204459856</v>
      </c>
      <c r="BP27" s="485">
        <f t="shared" si="41"/>
        <v>1702.9668239929588</v>
      </c>
      <c r="BQ27" s="485">
        <f t="shared" si="41"/>
        <v>1297.6019811148615</v>
      </c>
      <c r="BR27" s="485">
        <f t="shared" si="41"/>
        <v>2406.5579884608055</v>
      </c>
      <c r="BS27" s="485">
        <f t="shared" si="41"/>
        <v>2714.1971579649608</v>
      </c>
      <c r="BT27" s="485">
        <f t="shared" si="41"/>
        <v>2500.9060556813388</v>
      </c>
      <c r="BU27" s="485">
        <f t="shared" si="41"/>
        <v>2177.2944191364118</v>
      </c>
      <c r="BV27" s="486">
        <f t="shared" si="41"/>
        <v>2023.141974261554</v>
      </c>
      <c r="BW27" s="486">
        <f t="shared" si="41"/>
        <v>2043.3733940041693</v>
      </c>
      <c r="BX27" s="486">
        <f t="shared" si="41"/>
        <v>2125.7213417825378</v>
      </c>
      <c r="BY27" s="486">
        <f t="shared" si="41"/>
        <v>2233.2828416767338</v>
      </c>
      <c r="BZ27" s="486">
        <f t="shared" si="41"/>
        <v>2075.1664164860217</v>
      </c>
      <c r="CA27" s="486">
        <f t="shared" si="41"/>
        <v>2179.7548038769173</v>
      </c>
      <c r="CB27" s="486">
        <f t="shared" si="41"/>
        <v>2333.6454930306281</v>
      </c>
      <c r="CC27" s="486">
        <f t="shared" si="41"/>
        <v>2427.6914063997629</v>
      </c>
      <c r="CD27" s="486">
        <f t="shared" si="41"/>
        <v>2228.6207110749824</v>
      </c>
      <c r="CE27" s="486">
        <f t="shared" si="41"/>
        <v>2340.9431949131613</v>
      </c>
      <c r="CF27" s="486">
        <f t="shared" si="41"/>
        <v>2531.0277823401102</v>
      </c>
      <c r="CG27" s="486">
        <f t="shared" si="41"/>
        <v>2658.5915825700517</v>
      </c>
      <c r="CH27" s="486">
        <f t="shared" si="41"/>
        <v>2440.5870727993079</v>
      </c>
      <c r="CI27" s="486">
        <f t="shared" si="41"/>
        <v>2563.5926612683925</v>
      </c>
      <c r="CJ27" s="486">
        <f t="shared" si="41"/>
        <v>2771.7563853633865</v>
      </c>
      <c r="CK27" s="486">
        <f t="shared" si="41"/>
        <v>2911.4529071857014</v>
      </c>
      <c r="CL27" s="486">
        <f t="shared" si="41"/>
        <v>2672.7137687964737</v>
      </c>
      <c r="CM27" s="486">
        <f t="shared" si="41"/>
        <v>2807.4185427438165</v>
      </c>
      <c r="CN27" s="486">
        <f t="shared" si="41"/>
        <v>3035.3809284146146</v>
      </c>
      <c r="CO27" s="486">
        <f t="shared" si="41"/>
        <v>3188.3641272067116</v>
      </c>
      <c r="CP27" s="500"/>
      <c r="CQ27" s="552"/>
      <c r="CR27" s="562"/>
      <c r="CS27" s="562"/>
      <c r="CT27" s="562"/>
      <c r="CU27" s="562"/>
      <c r="CV27" s="562"/>
      <c r="CW27" s="562"/>
      <c r="CX27" s="485">
        <f>SUM(Z27:AC27)</f>
        <v>1619.2992325544999</v>
      </c>
      <c r="CY27" s="485">
        <f>SUM(AD27:AG27)</f>
        <v>2417.468970182571</v>
      </c>
      <c r="CZ27" s="485">
        <f>SUM(AH27:AK27)</f>
        <v>3205.2156290241337</v>
      </c>
      <c r="DA27" s="485">
        <f>SUM(AL27:AO27)</f>
        <v>3547.0177132453509</v>
      </c>
      <c r="DB27" s="485">
        <f>SUM(AP27:AS27)</f>
        <v>4098.943271666637</v>
      </c>
      <c r="DC27" s="485">
        <f>AT27+AU27+AV27+AW27</f>
        <v>3164.3765034528451</v>
      </c>
      <c r="DD27" s="485">
        <f>AX27+AY27+AZ27+BA27</f>
        <v>4085.900206373999</v>
      </c>
      <c r="DE27" s="485">
        <f>BB27+BC27+BD27+BE27</f>
        <v>6337.4923482066733</v>
      </c>
      <c r="DF27" s="485">
        <f>+SUM(BF27:BI27)</f>
        <v>4513.0489076934591</v>
      </c>
      <c r="DG27" s="485">
        <f>+SUM(BJ27:BM27)</f>
        <v>4999.9100599586882</v>
      </c>
      <c r="DH27" s="485">
        <f>+SUM(BN27:BQ27)</f>
        <v>6143.5849966723572</v>
      </c>
      <c r="DI27" s="485">
        <f>+SUM(BR27:BU27)</f>
        <v>9798.9556212435164</v>
      </c>
      <c r="DJ27" s="486">
        <f>SUM(BV27:BY27)</f>
        <v>8425.519551724994</v>
      </c>
      <c r="DK27" s="486">
        <f>SUM(BZ27:CC27)</f>
        <v>9016.2581197933305</v>
      </c>
      <c r="DL27" s="486">
        <f>SUM(CD27:CG27)</f>
        <v>9759.1832708983056</v>
      </c>
      <c r="DM27" s="486">
        <f>SUM(CH27:CK27)</f>
        <v>10687.389026616787</v>
      </c>
      <c r="DN27" s="486">
        <f>SUM(CL27:CO27)</f>
        <v>11703.877367161615</v>
      </c>
      <c r="DO27" s="550"/>
    </row>
    <row r="28" spans="1:119" s="551" customFormat="1">
      <c r="A28" s="552" t="s">
        <v>223</v>
      </c>
      <c r="B28" s="488"/>
      <c r="C28" s="488"/>
      <c r="D28" s="488"/>
      <c r="E28" s="488"/>
      <c r="F28" s="488"/>
      <c r="G28" s="488"/>
      <c r="H28" s="488"/>
      <c r="I28" s="488"/>
      <c r="J28" s="488"/>
      <c r="K28" s="488"/>
      <c r="L28" s="488"/>
      <c r="M28" s="488"/>
      <c r="N28" s="488"/>
      <c r="O28" s="488"/>
      <c r="P28" s="488"/>
      <c r="Q28" s="488"/>
      <c r="R28" s="488"/>
      <c r="S28" s="488"/>
      <c r="T28" s="488"/>
      <c r="U28" s="488"/>
      <c r="V28" s="488"/>
      <c r="W28" s="488"/>
      <c r="X28" s="488"/>
      <c r="Y28" s="488"/>
      <c r="Z28" s="488"/>
      <c r="AA28" s="488">
        <f t="shared" ref="AA28:CL28" si="42">AA27/Z27-1</f>
        <v>-0.18109471365638785</v>
      </c>
      <c r="AB28" s="488">
        <f t="shared" si="42"/>
        <v>0.32754730582086866</v>
      </c>
      <c r="AC28" s="488">
        <f t="shared" si="42"/>
        <v>0.23266726090604006</v>
      </c>
      <c r="AD28" s="488">
        <f t="shared" si="42"/>
        <v>-3.6882213683331888E-2</v>
      </c>
      <c r="AE28" s="488">
        <f t="shared" si="42"/>
        <v>0.17339373620083487</v>
      </c>
      <c r="AF28" s="488">
        <f t="shared" si="42"/>
        <v>0.16687126633938543</v>
      </c>
      <c r="AG28" s="488">
        <f t="shared" si="42"/>
        <v>-1.9160299858678176E-4</v>
      </c>
      <c r="AH28" s="488">
        <f t="shared" si="42"/>
        <v>-0.10937384117858473</v>
      </c>
      <c r="AI28" s="488">
        <f t="shared" si="42"/>
        <v>6.2292741915376926E-2</v>
      </c>
      <c r="AJ28" s="488">
        <f t="shared" si="42"/>
        <v>0.4935779816513759</v>
      </c>
      <c r="AK28" s="488">
        <f t="shared" si="42"/>
        <v>6.6567076167076022E-2</v>
      </c>
      <c r="AL28" s="488">
        <f t="shared" si="42"/>
        <v>-0.31101349020301639</v>
      </c>
      <c r="AM28" s="488">
        <f t="shared" si="42"/>
        <v>0.18932885399365817</v>
      </c>
      <c r="AN28" s="488">
        <f t="shared" si="42"/>
        <v>0.22454159784197469</v>
      </c>
      <c r="AO28" s="488">
        <f t="shared" si="42"/>
        <v>-2.2346562325321284E-2</v>
      </c>
      <c r="AP28" s="488">
        <f t="shared" si="42"/>
        <v>0.12605163342713821</v>
      </c>
      <c r="AQ28" s="488">
        <f t="shared" si="42"/>
        <v>4.7991735973695215E-2</v>
      </c>
      <c r="AR28" s="488">
        <f t="shared" si="42"/>
        <v>5.0124181530817324E-3</v>
      </c>
      <c r="AS28" s="488">
        <f t="shared" si="42"/>
        <v>-0.47525540865384608</v>
      </c>
      <c r="AT28" s="488">
        <f t="shared" si="42"/>
        <v>0.19809889197468999</v>
      </c>
      <c r="AU28" s="488">
        <f t="shared" si="42"/>
        <v>-0.10749999999999993</v>
      </c>
      <c r="AV28" s="488">
        <f t="shared" si="42"/>
        <v>0.28400000000000003</v>
      </c>
      <c r="AW28" s="488">
        <f t="shared" si="42"/>
        <v>6.590000000000007E-2</v>
      </c>
      <c r="AX28" s="488">
        <f t="shared" si="42"/>
        <v>-0.24724000000000013</v>
      </c>
      <c r="AY28" s="488">
        <f t="shared" si="42"/>
        <v>0.15920000000000045</v>
      </c>
      <c r="AZ28" s="488">
        <f t="shared" si="42"/>
        <v>0.52999999999999958</v>
      </c>
      <c r="BA28" s="488">
        <f t="shared" si="42"/>
        <v>0.15551574197919038</v>
      </c>
      <c r="BB28" s="488">
        <f t="shared" si="42"/>
        <v>-1.5842354529785885E-2</v>
      </c>
      <c r="BC28" s="488">
        <f t="shared" si="42"/>
        <v>-4.3125252391065239E-2</v>
      </c>
      <c r="BD28" s="488">
        <f t="shared" si="42"/>
        <v>0.25986088659647644</v>
      </c>
      <c r="BE28" s="488">
        <f t="shared" si="42"/>
        <v>0.19285677208357721</v>
      </c>
      <c r="BF28" s="488">
        <f t="shared" si="42"/>
        <v>-2.3260527148928345E-3</v>
      </c>
      <c r="BG28" s="488">
        <f>BG27/BF27-1</f>
        <v>-0.50293734586077621</v>
      </c>
      <c r="BH28" s="488">
        <f>BH27/BG27-1</f>
        <v>-0.38430065886236142</v>
      </c>
      <c r="BI28" s="488">
        <f t="shared" si="42"/>
        <v>0.5696274981429168</v>
      </c>
      <c r="BJ28" s="488">
        <f t="shared" si="42"/>
        <v>0.1213905378523441</v>
      </c>
      <c r="BK28" s="488">
        <f t="shared" si="42"/>
        <v>-1.1876397047646092E-2</v>
      </c>
      <c r="BL28" s="488">
        <f t="shared" si="42"/>
        <v>0.30783182986657054</v>
      </c>
      <c r="BM28" s="488">
        <f t="shared" si="42"/>
        <v>9.5618939169537009E-2</v>
      </c>
      <c r="BN28" s="488">
        <f t="shared" si="42"/>
        <v>1.2318204786024634E-2</v>
      </c>
      <c r="BO28" s="488">
        <f t="shared" si="42"/>
        <v>5.9679579638194813E-2</v>
      </c>
      <c r="BP28" s="488">
        <f t="shared" si="42"/>
        <v>5.3136504773123372E-2</v>
      </c>
      <c r="BQ28" s="488">
        <f t="shared" si="42"/>
        <v>-0.23803449202118654</v>
      </c>
      <c r="BR28" s="488">
        <f t="shared" si="42"/>
        <v>0.85461953933914447</v>
      </c>
      <c r="BS28" s="488">
        <f t="shared" si="42"/>
        <v>0.12783368237094339</v>
      </c>
      <c r="BT28" s="488">
        <f t="shared" si="42"/>
        <v>-7.858349628644612E-2</v>
      </c>
      <c r="BU28" s="488">
        <f t="shared" si="42"/>
        <v>-0.12939775798845965</v>
      </c>
      <c r="BV28" s="489">
        <f t="shared" si="42"/>
        <v>-7.0799999999999974E-2</v>
      </c>
      <c r="BW28" s="489">
        <f t="shared" si="42"/>
        <v>1.0000000000000009E-2</v>
      </c>
      <c r="BX28" s="489">
        <f t="shared" si="42"/>
        <v>4.0300000000000225E-2</v>
      </c>
      <c r="BY28" s="489">
        <f t="shared" si="42"/>
        <v>5.0599999999999756E-2</v>
      </c>
      <c r="BZ28" s="489">
        <f t="shared" si="42"/>
        <v>-7.0799999999999752E-2</v>
      </c>
      <c r="CA28" s="489">
        <f t="shared" si="42"/>
        <v>5.04E-2</v>
      </c>
      <c r="CB28" s="489">
        <f t="shared" si="42"/>
        <v>7.0600000000000218E-2</v>
      </c>
      <c r="CC28" s="489">
        <f t="shared" si="42"/>
        <v>4.0300000000000225E-2</v>
      </c>
      <c r="CD28" s="489">
        <f t="shared" si="42"/>
        <v>-8.1999999999999962E-2</v>
      </c>
      <c r="CE28" s="489">
        <f t="shared" si="42"/>
        <v>5.04E-2</v>
      </c>
      <c r="CF28" s="489">
        <f t="shared" si="42"/>
        <v>8.1200000000000161E-2</v>
      </c>
      <c r="CG28" s="489">
        <f t="shared" si="42"/>
        <v>5.04E-2</v>
      </c>
      <c r="CH28" s="489">
        <f t="shared" si="42"/>
        <v>-8.1999999999999851E-2</v>
      </c>
      <c r="CI28" s="489">
        <f t="shared" si="42"/>
        <v>5.0399999999999778E-2</v>
      </c>
      <c r="CJ28" s="489">
        <f t="shared" si="42"/>
        <v>8.1200000000000161E-2</v>
      </c>
      <c r="CK28" s="489">
        <f t="shared" si="42"/>
        <v>5.04E-2</v>
      </c>
      <c r="CL28" s="489">
        <f t="shared" si="42"/>
        <v>-8.2000000000000073E-2</v>
      </c>
      <c r="CM28" s="489">
        <f t="shared" ref="CM28:CO28" si="43">CM27/CL27-1</f>
        <v>5.0400000000000222E-2</v>
      </c>
      <c r="CN28" s="489">
        <f t="shared" si="43"/>
        <v>8.1200000000000161E-2</v>
      </c>
      <c r="CO28" s="489">
        <f t="shared" si="43"/>
        <v>5.0400000000000222E-2</v>
      </c>
      <c r="CP28" s="500"/>
      <c r="CQ28" s="552"/>
      <c r="CR28" s="562"/>
      <c r="CS28" s="562"/>
      <c r="CT28" s="562"/>
      <c r="CU28" s="562"/>
      <c r="CV28" s="562"/>
      <c r="CW28" s="562"/>
      <c r="CX28" s="505"/>
      <c r="CY28" s="505"/>
      <c r="CZ28" s="505"/>
      <c r="DA28" s="505"/>
      <c r="DB28" s="505"/>
      <c r="DC28" s="505"/>
      <c r="DD28" s="505"/>
      <c r="DE28" s="505"/>
      <c r="DF28" s="505"/>
      <c r="DG28" s="505"/>
      <c r="DH28" s="505"/>
      <c r="DI28" s="505"/>
      <c r="DJ28" s="506"/>
      <c r="DK28" s="506"/>
      <c r="DL28" s="506"/>
      <c r="DM28" s="506"/>
      <c r="DN28" s="506"/>
      <c r="DO28" s="550"/>
    </row>
    <row r="29" spans="1:119" s="551" customFormat="1">
      <c r="A29" s="552" t="s">
        <v>225</v>
      </c>
      <c r="B29" s="488"/>
      <c r="C29" s="488"/>
      <c r="D29" s="488"/>
      <c r="E29" s="488"/>
      <c r="F29" s="488"/>
      <c r="G29" s="488"/>
      <c r="H29" s="488"/>
      <c r="I29" s="488"/>
      <c r="J29" s="488"/>
      <c r="K29" s="488"/>
      <c r="L29" s="488"/>
      <c r="M29" s="488"/>
      <c r="N29" s="488"/>
      <c r="O29" s="488"/>
      <c r="P29" s="488"/>
      <c r="Q29" s="488"/>
      <c r="R29" s="488"/>
      <c r="S29" s="488"/>
      <c r="T29" s="488"/>
      <c r="U29" s="488"/>
      <c r="V29" s="488"/>
      <c r="W29" s="488"/>
      <c r="X29" s="488"/>
      <c r="Y29" s="488"/>
      <c r="Z29" s="488"/>
      <c r="AA29" s="488"/>
      <c r="AB29" s="488"/>
      <c r="AC29" s="488"/>
      <c r="AD29" s="488">
        <f t="shared" ref="AD29:CO29" si="44">AD27/Z27-1</f>
        <v>0.29065136497601118</v>
      </c>
      <c r="AE29" s="488">
        <f t="shared" si="44"/>
        <v>0.84934967759684254</v>
      </c>
      <c r="AF29" s="488">
        <f t="shared" si="44"/>
        <v>0.62551872218777538</v>
      </c>
      <c r="AG29" s="488">
        <f t="shared" si="44"/>
        <v>0.31844766180597572</v>
      </c>
      <c r="AH29" s="488">
        <f t="shared" si="44"/>
        <v>0.21921118405682427</v>
      </c>
      <c r="AI29" s="488">
        <f t="shared" si="44"/>
        <v>0.10377203467868279</v>
      </c>
      <c r="AJ29" s="488">
        <f t="shared" si="44"/>
        <v>0.41281189734869339</v>
      </c>
      <c r="AK29" s="488">
        <f t="shared" si="44"/>
        <v>0.50714742849586703</v>
      </c>
      <c r="AL29" s="488">
        <f t="shared" si="44"/>
        <v>0.16592605800284277</v>
      </c>
      <c r="AM29" s="488">
        <f t="shared" si="44"/>
        <v>0.30535533915596291</v>
      </c>
      <c r="AN29" s="488">
        <f t="shared" si="44"/>
        <v>7.0223270829323781E-2</v>
      </c>
      <c r="AO29" s="488">
        <f t="shared" si="44"/>
        <v>-1.8995163843005369E-2</v>
      </c>
      <c r="AP29" s="488">
        <f t="shared" si="44"/>
        <v>0.60331455325591921</v>
      </c>
      <c r="AQ29" s="488">
        <f t="shared" si="44"/>
        <v>0.41278032256292985</v>
      </c>
      <c r="AR29" s="488">
        <f t="shared" si="44"/>
        <v>0.15950472470702648</v>
      </c>
      <c r="AS29" s="488">
        <f t="shared" si="44"/>
        <v>-0.3776487562121299</v>
      </c>
      <c r="AT29" s="488">
        <f t="shared" si="44"/>
        <v>-0.33782935571793715</v>
      </c>
      <c r="AU29" s="488">
        <f t="shared" si="44"/>
        <v>-0.43607637375818487</v>
      </c>
      <c r="AV29" s="488">
        <f t="shared" si="44"/>
        <v>-0.2795333440504808</v>
      </c>
      <c r="AW29" s="488">
        <f t="shared" si="44"/>
        <v>0.46346512425510333</v>
      </c>
      <c r="AX29" s="488">
        <f t="shared" si="44"/>
        <v>-8.0511621942520151E-2</v>
      </c>
      <c r="AY29" s="488">
        <f t="shared" si="44"/>
        <v>0.19425314044171538</v>
      </c>
      <c r="AZ29" s="488">
        <f t="shared" si="44"/>
        <v>0.42305864865718368</v>
      </c>
      <c r="BA29" s="488">
        <f t="shared" si="44"/>
        <v>0.54270257086312945</v>
      </c>
      <c r="BB29" s="488">
        <f t="shared" si="44"/>
        <v>1.0169277456314147</v>
      </c>
      <c r="BC29" s="488">
        <f t="shared" si="44"/>
        <v>0.66489581396352437</v>
      </c>
      <c r="BD29" s="488">
        <f t="shared" si="44"/>
        <v>0.37093929168029338</v>
      </c>
      <c r="BE29" s="488">
        <f t="shared" si="44"/>
        <v>0.41524183426118233</v>
      </c>
      <c r="BF29" s="488">
        <f t="shared" si="44"/>
        <v>0.4346785940739839</v>
      </c>
      <c r="BG29" s="488">
        <f>BG27/BC27-1</f>
        <v>-0.25473511388076508</v>
      </c>
      <c r="BH29" s="488">
        <f>BH27/BD27-1</f>
        <v>-0.63578589966687393</v>
      </c>
      <c r="BI29" s="488">
        <f t="shared" si="44"/>
        <v>-0.52074676484780591</v>
      </c>
      <c r="BJ29" s="488">
        <f t="shared" si="44"/>
        <v>-0.46131695169823594</v>
      </c>
      <c r="BK29" s="488">
        <f t="shared" si="44"/>
        <v>7.086185233342146E-2</v>
      </c>
      <c r="BL29" s="488">
        <f t="shared" si="44"/>
        <v>1.2746608974500151</v>
      </c>
      <c r="BM29" s="488">
        <f t="shared" si="44"/>
        <v>0.58774076166681533</v>
      </c>
      <c r="BN29" s="488">
        <f t="shared" si="44"/>
        <v>0.43330875663923463</v>
      </c>
      <c r="BO29" s="488">
        <f t="shared" si="44"/>
        <v>0.53710326945853226</v>
      </c>
      <c r="BP29" s="488">
        <f t="shared" si="44"/>
        <v>0.23775819467404502</v>
      </c>
      <c r="BQ29" s="488">
        <f t="shared" si="44"/>
        <v>-0.13918150020788633</v>
      </c>
      <c r="BR29" s="488">
        <f t="shared" si="44"/>
        <v>0.57706420964395888</v>
      </c>
      <c r="BS29" s="488">
        <f t="shared" si="44"/>
        <v>0.67849430061250726</v>
      </c>
      <c r="BT29" s="488">
        <f t="shared" si="44"/>
        <v>0.46855829511548919</v>
      </c>
      <c r="BU29" s="488">
        <f t="shared" si="44"/>
        <v>0.67793703371641301</v>
      </c>
      <c r="BV29" s="489">
        <f t="shared" si="44"/>
        <v>-0.1593213278207678</v>
      </c>
      <c r="BW29" s="489">
        <f t="shared" si="44"/>
        <v>-0.24715366088724333</v>
      </c>
      <c r="BX29" s="489">
        <f t="shared" si="44"/>
        <v>-0.15001951514591649</v>
      </c>
      <c r="BY29" s="489">
        <f t="shared" si="44"/>
        <v>2.5714676916559931E-2</v>
      </c>
      <c r="BZ29" s="489">
        <f t="shared" si="44"/>
        <v>2.5714676916560375E-2</v>
      </c>
      <c r="CA29" s="489">
        <f t="shared" si="44"/>
        <v>6.6743263993222834E-2</v>
      </c>
      <c r="CB29" s="489">
        <f t="shared" si="44"/>
        <v>9.781345614836523E-2</v>
      </c>
      <c r="CC29" s="489">
        <f t="shared" si="44"/>
        <v>8.7050579127303296E-2</v>
      </c>
      <c r="CD29" s="489">
        <f t="shared" si="44"/>
        <v>7.394794623209644E-2</v>
      </c>
      <c r="CE29" s="489">
        <f t="shared" si="44"/>
        <v>7.3947946232096218E-2</v>
      </c>
      <c r="CF29" s="489">
        <f t="shared" si="44"/>
        <v>8.4581094214592145E-2</v>
      </c>
      <c r="CG29" s="489">
        <f t="shared" si="44"/>
        <v>9.5111007750656062E-2</v>
      </c>
      <c r="CH29" s="489">
        <f t="shared" si="44"/>
        <v>9.5111007750656062E-2</v>
      </c>
      <c r="CI29" s="489">
        <f t="shared" si="44"/>
        <v>9.5111007750656062E-2</v>
      </c>
      <c r="CJ29" s="489">
        <f t="shared" si="44"/>
        <v>9.5111007750656062E-2</v>
      </c>
      <c r="CK29" s="489">
        <f t="shared" si="44"/>
        <v>9.5111007750656285E-2</v>
      </c>
      <c r="CL29" s="489">
        <f t="shared" si="44"/>
        <v>9.5111007750656062E-2</v>
      </c>
      <c r="CM29" s="489">
        <f t="shared" si="44"/>
        <v>9.5111007750656507E-2</v>
      </c>
      <c r="CN29" s="489">
        <f t="shared" si="44"/>
        <v>9.5111007750656285E-2</v>
      </c>
      <c r="CO29" s="489">
        <f t="shared" si="44"/>
        <v>9.5111007750656285E-2</v>
      </c>
      <c r="CP29" s="500"/>
      <c r="CQ29" s="552"/>
      <c r="CR29" s="562"/>
      <c r="CS29" s="562"/>
      <c r="CT29" s="562"/>
      <c r="CU29" s="562"/>
      <c r="CV29" s="562"/>
      <c r="CW29" s="562"/>
      <c r="CX29" s="505"/>
      <c r="CY29" s="488">
        <f t="shared" ref="CY29:DK29" si="45">CY27/CX27-1</f>
        <v>0.49291058847037861</v>
      </c>
      <c r="CZ29" s="488">
        <f t="shared" si="45"/>
        <v>0.32585595453664529</v>
      </c>
      <c r="DA29" s="488">
        <f t="shared" si="45"/>
        <v>0.10663934155508992</v>
      </c>
      <c r="DB29" s="488">
        <f t="shared" si="45"/>
        <v>0.15560270713063362</v>
      </c>
      <c r="DC29" s="488">
        <f t="shared" si="45"/>
        <v>-0.22800187908767899</v>
      </c>
      <c r="DD29" s="488">
        <f t="shared" si="45"/>
        <v>0.2912180968085254</v>
      </c>
      <c r="DE29" s="488">
        <f t="shared" si="45"/>
        <v>0.55106390956886164</v>
      </c>
      <c r="DF29" s="488">
        <f t="shared" si="45"/>
        <v>-0.28788096935998331</v>
      </c>
      <c r="DG29" s="488">
        <f t="shared" si="45"/>
        <v>0.10787854557376275</v>
      </c>
      <c r="DH29" s="488">
        <f t="shared" si="45"/>
        <v>0.2287391019035887</v>
      </c>
      <c r="DI29" s="488">
        <f t="shared" si="45"/>
        <v>0.59498983517784376</v>
      </c>
      <c r="DJ29" s="489">
        <f t="shared" si="45"/>
        <v>-0.14016147461072281</v>
      </c>
      <c r="DK29" s="489">
        <f t="shared" si="45"/>
        <v>7.0113013736629703E-2</v>
      </c>
      <c r="DL29" s="489">
        <f>DL27/DK27-1</f>
        <v>8.2398389801422889E-2</v>
      </c>
      <c r="DM29" s="489">
        <f>DM27/DL27-1</f>
        <v>9.5111007750656062E-2</v>
      </c>
      <c r="DN29" s="489">
        <f>DN27/DM27-1</f>
        <v>9.5111007750656285E-2</v>
      </c>
      <c r="DO29" s="550"/>
    </row>
    <row r="30" spans="1:119" s="551" customFormat="1">
      <c r="A30" s="496" t="s">
        <v>259</v>
      </c>
      <c r="B30" s="488"/>
      <c r="C30" s="488"/>
      <c r="D30" s="488"/>
      <c r="E30" s="488"/>
      <c r="F30" s="488"/>
      <c r="G30" s="488"/>
      <c r="H30" s="488"/>
      <c r="I30" s="488"/>
      <c r="J30" s="488"/>
      <c r="K30" s="488"/>
      <c r="L30" s="488"/>
      <c r="M30" s="488"/>
      <c r="N30" s="488"/>
      <c r="O30" s="488"/>
      <c r="P30" s="488"/>
      <c r="Q30" s="488"/>
      <c r="R30" s="488"/>
      <c r="S30" s="488"/>
      <c r="T30" s="488"/>
      <c r="U30" s="488"/>
      <c r="V30" s="488"/>
      <c r="W30" s="488"/>
      <c r="X30" s="488"/>
      <c r="Y30" s="488"/>
      <c r="Z30" s="488"/>
      <c r="AA30" s="488"/>
      <c r="AB30" s="488"/>
      <c r="AC30" s="488"/>
      <c r="AD30" s="488"/>
      <c r="AE30" s="488"/>
      <c r="AF30" s="488"/>
      <c r="AG30" s="488"/>
      <c r="AH30" s="488"/>
      <c r="AI30" s="488"/>
      <c r="AJ30" s="488"/>
      <c r="AK30" s="488"/>
      <c r="AL30" s="507">
        <v>0</v>
      </c>
      <c r="AM30" s="507">
        <v>0</v>
      </c>
      <c r="AN30" s="507">
        <v>50</v>
      </c>
      <c r="AO30" s="507">
        <v>150</v>
      </c>
      <c r="AP30" s="507">
        <v>100</v>
      </c>
      <c r="AQ30" s="507">
        <v>0</v>
      </c>
      <c r="AR30" s="507">
        <f t="shared" ref="AR30:BW30" si="46">AR21*AR11/1000</f>
        <v>0</v>
      </c>
      <c r="AS30" s="507">
        <f t="shared" si="46"/>
        <v>0</v>
      </c>
      <c r="AT30" s="507">
        <f t="shared" si="46"/>
        <v>0</v>
      </c>
      <c r="AU30" s="507">
        <f t="shared" si="46"/>
        <v>0</v>
      </c>
      <c r="AV30" s="507">
        <f t="shared" si="46"/>
        <v>0</v>
      </c>
      <c r="AW30" s="507">
        <f t="shared" si="46"/>
        <v>0</v>
      </c>
      <c r="AX30" s="507">
        <f t="shared" si="46"/>
        <v>0</v>
      </c>
      <c r="AY30" s="507">
        <f t="shared" si="46"/>
        <v>0</v>
      </c>
      <c r="AZ30" s="507">
        <f t="shared" si="46"/>
        <v>0</v>
      </c>
      <c r="BA30" s="507">
        <f t="shared" si="46"/>
        <v>200.4</v>
      </c>
      <c r="BB30" s="507">
        <f t="shared" si="46"/>
        <v>349.69799999999998</v>
      </c>
      <c r="BC30" s="507">
        <f t="shared" si="46"/>
        <v>349.69799999999998</v>
      </c>
      <c r="BD30" s="507">
        <f t="shared" si="46"/>
        <v>174.84899999999999</v>
      </c>
      <c r="BE30" s="507">
        <f t="shared" si="46"/>
        <v>43.712249999999997</v>
      </c>
      <c r="BF30" s="507">
        <f t="shared" si="46"/>
        <v>0</v>
      </c>
      <c r="BG30" s="507">
        <f t="shared" si="46"/>
        <v>0</v>
      </c>
      <c r="BH30" s="507">
        <f t="shared" si="46"/>
        <v>0</v>
      </c>
      <c r="BI30" s="507">
        <f t="shared" si="46"/>
        <v>0</v>
      </c>
      <c r="BJ30" s="507">
        <f t="shared" si="46"/>
        <v>0</v>
      </c>
      <c r="BK30" s="507">
        <f t="shared" si="46"/>
        <v>0</v>
      </c>
      <c r="BL30" s="507">
        <f t="shared" si="46"/>
        <v>0</v>
      </c>
      <c r="BM30" s="507">
        <f t="shared" si="46"/>
        <v>0</v>
      </c>
      <c r="BN30" s="507">
        <f t="shared" si="46"/>
        <v>0</v>
      </c>
      <c r="BO30" s="507">
        <f t="shared" si="46"/>
        <v>0</v>
      </c>
      <c r="BP30" s="507">
        <f t="shared" si="46"/>
        <v>0</v>
      </c>
      <c r="BQ30" s="507">
        <f t="shared" si="46"/>
        <v>0</v>
      </c>
      <c r="BR30" s="507">
        <f t="shared" si="46"/>
        <v>0</v>
      </c>
      <c r="BS30" s="507">
        <f t="shared" si="46"/>
        <v>0</v>
      </c>
      <c r="BT30" s="507">
        <f t="shared" si="46"/>
        <v>0</v>
      </c>
      <c r="BU30" s="507">
        <f t="shared" si="46"/>
        <v>0</v>
      </c>
      <c r="BV30" s="508">
        <f t="shared" si="46"/>
        <v>0</v>
      </c>
      <c r="BW30" s="508">
        <f t="shared" si="46"/>
        <v>0</v>
      </c>
      <c r="BX30" s="508">
        <f t="shared" ref="BX30:CO30" si="47">BX21*BX11/1000</f>
        <v>0</v>
      </c>
      <c r="BY30" s="508">
        <f t="shared" si="47"/>
        <v>0</v>
      </c>
      <c r="BZ30" s="508">
        <f t="shared" si="47"/>
        <v>0</v>
      </c>
      <c r="CA30" s="508">
        <f t="shared" si="47"/>
        <v>0</v>
      </c>
      <c r="CB30" s="508">
        <f t="shared" si="47"/>
        <v>0</v>
      </c>
      <c r="CC30" s="508">
        <f t="shared" si="47"/>
        <v>0</v>
      </c>
      <c r="CD30" s="508">
        <f t="shared" si="47"/>
        <v>0</v>
      </c>
      <c r="CE30" s="508">
        <f t="shared" si="47"/>
        <v>0</v>
      </c>
      <c r="CF30" s="508">
        <f t="shared" si="47"/>
        <v>0</v>
      </c>
      <c r="CG30" s="508">
        <f t="shared" si="47"/>
        <v>0</v>
      </c>
      <c r="CH30" s="508">
        <f t="shared" si="47"/>
        <v>0</v>
      </c>
      <c r="CI30" s="508">
        <f t="shared" si="47"/>
        <v>0</v>
      </c>
      <c r="CJ30" s="508">
        <f t="shared" si="47"/>
        <v>0</v>
      </c>
      <c r="CK30" s="508">
        <f t="shared" si="47"/>
        <v>0</v>
      </c>
      <c r="CL30" s="508">
        <f t="shared" si="47"/>
        <v>0</v>
      </c>
      <c r="CM30" s="508">
        <f t="shared" si="47"/>
        <v>0</v>
      </c>
      <c r="CN30" s="508">
        <f t="shared" si="47"/>
        <v>0</v>
      </c>
      <c r="CO30" s="508">
        <f t="shared" si="47"/>
        <v>0</v>
      </c>
      <c r="CP30" s="500"/>
      <c r="CQ30" s="552"/>
      <c r="CR30" s="562"/>
      <c r="CS30" s="562"/>
      <c r="CT30" s="562"/>
      <c r="CU30" s="562"/>
      <c r="CV30" s="562"/>
      <c r="CW30" s="562"/>
      <c r="CX30" s="485">
        <f>SUM(Z30:AC30)</f>
        <v>0</v>
      </c>
      <c r="CY30" s="485">
        <f>SUM(AD30:AG30)</f>
        <v>0</v>
      </c>
      <c r="CZ30" s="485">
        <f>SUM(AH30:AK30)</f>
        <v>0</v>
      </c>
      <c r="DA30" s="485">
        <f>SUM(AL30:AO30)</f>
        <v>200</v>
      </c>
      <c r="DB30" s="485">
        <f>SUM(AP30:AS30)</f>
        <v>100</v>
      </c>
      <c r="DC30" s="485">
        <f>AT30+AU30+AV30+AW30</f>
        <v>0</v>
      </c>
      <c r="DD30" s="485">
        <f>AX30+AY30+AZ30+BA30</f>
        <v>200.4</v>
      </c>
      <c r="DE30" s="485">
        <f>AY30+AZ30+BA30+BB30</f>
        <v>550.09799999999996</v>
      </c>
      <c r="DF30" s="485">
        <f>+SUM(BF30:BI30)</f>
        <v>0</v>
      </c>
      <c r="DG30" s="485">
        <f>+SUM(BJ30:BM30)</f>
        <v>0</v>
      </c>
      <c r="DH30" s="485">
        <f>+SUM(BN30:BQ30)</f>
        <v>0</v>
      </c>
      <c r="DI30" s="485">
        <f>+SUM(BR30:BU30)</f>
        <v>0</v>
      </c>
      <c r="DJ30" s="486">
        <f>SUM(BV30:BY30)</f>
        <v>0</v>
      </c>
      <c r="DK30" s="486">
        <f>SUM(BZ30:CC30)</f>
        <v>0</v>
      </c>
      <c r="DL30" s="486">
        <f>SUM(CD30:CG30)</f>
        <v>0</v>
      </c>
      <c r="DM30" s="486">
        <f>SUM(CH30:CK30)</f>
        <v>0</v>
      </c>
      <c r="DN30" s="486">
        <f>SUM(CL30:CO30)</f>
        <v>0</v>
      </c>
      <c r="DO30" s="550"/>
    </row>
    <row r="31" spans="1:119" s="551" customFormat="1">
      <c r="A31" s="552" t="s">
        <v>223</v>
      </c>
      <c r="B31" s="488"/>
      <c r="C31" s="488"/>
      <c r="D31" s="488"/>
      <c r="E31" s="488"/>
      <c r="F31" s="488"/>
      <c r="G31" s="488"/>
      <c r="H31" s="488"/>
      <c r="I31" s="488"/>
      <c r="J31" s="488"/>
      <c r="K31" s="488"/>
      <c r="L31" s="488"/>
      <c r="M31" s="488"/>
      <c r="N31" s="488"/>
      <c r="O31" s="488"/>
      <c r="P31" s="488"/>
      <c r="Q31" s="488"/>
      <c r="R31" s="488"/>
      <c r="S31" s="488"/>
      <c r="T31" s="488"/>
      <c r="U31" s="488"/>
      <c r="V31" s="488"/>
      <c r="W31" s="488"/>
      <c r="X31" s="488"/>
      <c r="Y31" s="488"/>
      <c r="Z31" s="488"/>
      <c r="AA31" s="488"/>
      <c r="AB31" s="488"/>
      <c r="AC31" s="488"/>
      <c r="AD31" s="488"/>
      <c r="AE31" s="488"/>
      <c r="AF31" s="488"/>
      <c r="AG31" s="488"/>
      <c r="AH31" s="488"/>
      <c r="AI31" s="488"/>
      <c r="AJ31" s="488"/>
      <c r="AK31" s="488"/>
      <c r="AL31" s="488"/>
      <c r="AM31" s="488"/>
      <c r="AN31" s="488"/>
      <c r="AO31" s="488">
        <f>AO30/AN30-1</f>
        <v>2</v>
      </c>
      <c r="AP31" s="488">
        <f>AP30/AO30-1</f>
        <v>-0.33333333333333337</v>
      </c>
      <c r="AQ31" s="488">
        <f>AQ30/AP30-1</f>
        <v>-1</v>
      </c>
      <c r="AR31" s="489"/>
      <c r="AS31" s="489"/>
      <c r="AT31" s="489"/>
      <c r="AU31" s="488"/>
      <c r="AV31" s="488"/>
      <c r="AW31" s="489"/>
      <c r="AX31" s="488"/>
      <c r="AY31" s="488"/>
      <c r="AZ31" s="489"/>
      <c r="BA31" s="564"/>
      <c r="BB31" s="564"/>
      <c r="BC31" s="564"/>
      <c r="BD31" s="564"/>
      <c r="BE31" s="564"/>
      <c r="BF31" s="565"/>
      <c r="BG31" s="565"/>
      <c r="BH31" s="565"/>
      <c r="BI31" s="565"/>
      <c r="BJ31" s="565"/>
      <c r="BK31" s="565"/>
      <c r="BL31" s="565"/>
      <c r="BM31" s="565"/>
      <c r="BN31" s="565"/>
      <c r="BO31" s="565"/>
      <c r="BP31" s="565"/>
      <c r="BQ31" s="565"/>
      <c r="BR31" s="565"/>
      <c r="BS31" s="565"/>
      <c r="BT31" s="565"/>
      <c r="BU31" s="565"/>
      <c r="BV31" s="566"/>
      <c r="BW31" s="566"/>
      <c r="BX31" s="566"/>
      <c r="BY31" s="566"/>
      <c r="BZ31" s="566"/>
      <c r="CA31" s="566"/>
      <c r="CB31" s="566"/>
      <c r="CC31" s="566"/>
      <c r="CD31" s="566"/>
      <c r="CE31" s="566"/>
      <c r="CF31" s="566"/>
      <c r="CG31" s="566"/>
      <c r="CH31" s="566"/>
      <c r="CI31" s="566"/>
      <c r="CJ31" s="566"/>
      <c r="CK31" s="566"/>
      <c r="CL31" s="566"/>
      <c r="CM31" s="566"/>
      <c r="CN31" s="566"/>
      <c r="CO31" s="566"/>
      <c r="CP31" s="500"/>
      <c r="CQ31" s="552"/>
      <c r="CR31" s="562"/>
      <c r="CS31" s="562"/>
      <c r="CT31" s="562"/>
      <c r="CU31" s="562"/>
      <c r="CV31" s="562"/>
      <c r="CW31" s="562"/>
      <c r="CX31" s="505"/>
      <c r="CY31" s="505"/>
      <c r="CZ31" s="505"/>
      <c r="DA31" s="505"/>
      <c r="DB31" s="505"/>
      <c r="DC31" s="505"/>
      <c r="DD31" s="505"/>
      <c r="DE31" s="505"/>
      <c r="DF31" s="505"/>
      <c r="DG31" s="505"/>
      <c r="DH31" s="505"/>
      <c r="DI31" s="505"/>
      <c r="DJ31" s="506"/>
      <c r="DK31" s="506"/>
      <c r="DL31" s="506"/>
      <c r="DM31" s="506"/>
      <c r="DN31" s="506"/>
      <c r="DO31" s="550"/>
    </row>
    <row r="32" spans="1:119" s="551" customFormat="1">
      <c r="A32" s="552" t="s">
        <v>225</v>
      </c>
      <c r="B32" s="488"/>
      <c r="C32" s="488"/>
      <c r="D32" s="488"/>
      <c r="E32" s="488"/>
      <c r="F32" s="488"/>
      <c r="G32" s="488"/>
      <c r="H32" s="488"/>
      <c r="I32" s="488"/>
      <c r="J32" s="488"/>
      <c r="K32" s="488"/>
      <c r="L32" s="488"/>
      <c r="M32" s="488"/>
      <c r="N32" s="488"/>
      <c r="O32" s="488"/>
      <c r="P32" s="488"/>
      <c r="Q32" s="488"/>
      <c r="R32" s="488"/>
      <c r="S32" s="488"/>
      <c r="T32" s="488"/>
      <c r="U32" s="488"/>
      <c r="V32" s="488"/>
      <c r="W32" s="488"/>
      <c r="X32" s="488"/>
      <c r="Y32" s="488"/>
      <c r="Z32" s="513"/>
      <c r="AA32" s="513"/>
      <c r="AB32" s="513"/>
      <c r="AC32" s="513"/>
      <c r="AD32" s="513"/>
      <c r="AE32" s="513"/>
      <c r="AF32" s="513"/>
      <c r="AG32" s="513"/>
      <c r="AH32" s="513"/>
      <c r="AI32" s="513"/>
      <c r="AJ32" s="513"/>
      <c r="AK32" s="513"/>
      <c r="AL32" s="513"/>
      <c r="AM32" s="513"/>
      <c r="AN32" s="513"/>
      <c r="AO32" s="567"/>
      <c r="AP32" s="567"/>
      <c r="AQ32" s="567"/>
      <c r="AR32" s="567"/>
      <c r="AS32" s="567"/>
      <c r="AT32" s="567"/>
      <c r="AU32" s="567"/>
      <c r="AV32" s="567"/>
      <c r="AW32" s="567"/>
      <c r="AX32" s="567"/>
      <c r="AY32" s="568"/>
      <c r="AZ32" s="513"/>
      <c r="BA32" s="568"/>
      <c r="BB32" s="564"/>
      <c r="BC32" s="564"/>
      <c r="BD32" s="565"/>
      <c r="BE32" s="565"/>
      <c r="BF32" s="565"/>
      <c r="BG32" s="565"/>
      <c r="BH32" s="565"/>
      <c r="BI32" s="565"/>
      <c r="BJ32" s="565"/>
      <c r="BK32" s="565"/>
      <c r="BL32" s="565"/>
      <c r="BM32" s="565"/>
      <c r="BN32" s="565"/>
      <c r="BO32" s="565"/>
      <c r="BP32" s="565"/>
      <c r="BQ32" s="565"/>
      <c r="BR32" s="565"/>
      <c r="BS32" s="565"/>
      <c r="BT32" s="565"/>
      <c r="BU32" s="565"/>
      <c r="BV32" s="566"/>
      <c r="BW32" s="566"/>
      <c r="BX32" s="566"/>
      <c r="BY32" s="566"/>
      <c r="BZ32" s="566"/>
      <c r="CA32" s="566"/>
      <c r="CB32" s="566"/>
      <c r="CC32" s="566"/>
      <c r="CD32" s="566"/>
      <c r="CE32" s="566"/>
      <c r="CF32" s="566"/>
      <c r="CG32" s="566"/>
      <c r="CH32" s="566"/>
      <c r="CI32" s="566"/>
      <c r="CJ32" s="566"/>
      <c r="CK32" s="566"/>
      <c r="CL32" s="566"/>
      <c r="CM32" s="566"/>
      <c r="CN32" s="566"/>
      <c r="CO32" s="566"/>
      <c r="CP32" s="500"/>
      <c r="CQ32" s="552"/>
      <c r="CR32" s="562"/>
      <c r="CS32" s="562"/>
      <c r="CT32" s="562"/>
      <c r="CU32" s="562"/>
      <c r="CV32" s="562"/>
      <c r="CW32" s="562"/>
      <c r="CX32" s="505"/>
      <c r="CY32" s="488"/>
      <c r="CZ32" s="488"/>
      <c r="DA32" s="488"/>
      <c r="DB32" s="488">
        <f>DB30/DA30-1</f>
        <v>-0.5</v>
      </c>
      <c r="DC32" s="488">
        <f>DC30/DB30-1</f>
        <v>-1</v>
      </c>
      <c r="DD32" s="488"/>
      <c r="DE32" s="489"/>
      <c r="DF32" s="489">
        <f t="shared" ref="DF32:DG32" si="48">DF30/DE30-1</f>
        <v>-1</v>
      </c>
      <c r="DG32" s="489" t="e">
        <f t="shared" si="48"/>
        <v>#DIV/0!</v>
      </c>
      <c r="DH32" s="489"/>
      <c r="DI32" s="489"/>
      <c r="DJ32" s="489"/>
      <c r="DK32" s="489"/>
      <c r="DL32" s="489"/>
      <c r="DM32" s="489"/>
      <c r="DN32" s="489"/>
      <c r="DO32" s="550"/>
    </row>
    <row r="33" spans="1:119" s="551" customFormat="1">
      <c r="A33" s="92"/>
      <c r="B33" s="488"/>
      <c r="C33" s="488"/>
      <c r="D33" s="488"/>
      <c r="E33" s="488"/>
      <c r="F33" s="488"/>
      <c r="G33" s="488"/>
      <c r="H33" s="488"/>
      <c r="I33" s="488"/>
      <c r="J33" s="488"/>
      <c r="K33" s="488"/>
      <c r="L33" s="488"/>
      <c r="M33" s="488"/>
      <c r="N33" s="488"/>
      <c r="O33" s="488"/>
      <c r="P33" s="488"/>
      <c r="Q33" s="488"/>
      <c r="R33" s="488"/>
      <c r="S33" s="488"/>
      <c r="T33" s="488"/>
      <c r="U33" s="488"/>
      <c r="V33" s="488"/>
      <c r="W33" s="488"/>
      <c r="X33" s="488"/>
      <c r="Y33" s="488"/>
      <c r="Z33" s="513"/>
      <c r="AA33" s="513"/>
      <c r="AB33" s="513"/>
      <c r="AC33" s="513"/>
      <c r="AD33" s="513"/>
      <c r="AE33" s="513"/>
      <c r="AF33" s="513"/>
      <c r="AG33" s="513"/>
      <c r="AH33" s="513"/>
      <c r="AI33" s="513"/>
      <c r="AJ33" s="513"/>
      <c r="AK33" s="513"/>
      <c r="AL33" s="513"/>
      <c r="AM33" s="513"/>
      <c r="AN33" s="513"/>
      <c r="AO33" s="513"/>
      <c r="AP33" s="513"/>
      <c r="AQ33" s="513"/>
      <c r="AR33" s="513"/>
      <c r="AS33" s="513"/>
      <c r="AT33" s="513"/>
      <c r="AU33" s="513"/>
      <c r="AV33" s="513"/>
      <c r="AW33" s="513"/>
      <c r="AX33" s="513"/>
      <c r="AY33" s="513"/>
      <c r="AZ33" s="513"/>
      <c r="BA33" s="568"/>
      <c r="BB33" s="564"/>
      <c r="BC33" s="565"/>
      <c r="BD33" s="565"/>
      <c r="BE33" s="565"/>
      <c r="BF33" s="565"/>
      <c r="BG33" s="565"/>
      <c r="BH33" s="565"/>
      <c r="BI33" s="565"/>
      <c r="BJ33" s="565"/>
      <c r="BK33" s="565"/>
      <c r="BL33" s="565"/>
      <c r="BM33" s="565"/>
      <c r="BN33" s="565"/>
      <c r="BO33" s="565"/>
      <c r="BP33" s="565"/>
      <c r="BQ33" s="565"/>
      <c r="BR33" s="565"/>
      <c r="BS33" s="565"/>
      <c r="BT33" s="565"/>
      <c r="BU33" s="565"/>
      <c r="BV33" s="566"/>
      <c r="BW33" s="566"/>
      <c r="BX33" s="566"/>
      <c r="BY33" s="566"/>
      <c r="BZ33" s="566"/>
      <c r="CA33" s="566"/>
      <c r="CB33" s="566"/>
      <c r="CC33" s="566"/>
      <c r="CD33" s="566"/>
      <c r="CE33" s="566"/>
      <c r="CF33" s="566"/>
      <c r="CG33" s="566"/>
      <c r="CH33" s="566"/>
      <c r="CI33" s="566"/>
      <c r="CJ33" s="566"/>
      <c r="CK33" s="566"/>
      <c r="CL33" s="566"/>
      <c r="CM33" s="566"/>
      <c r="CN33" s="566"/>
      <c r="CO33" s="566"/>
      <c r="CP33" s="479"/>
      <c r="CQ33" s="479"/>
      <c r="CR33" s="562"/>
      <c r="CS33" s="562"/>
      <c r="CT33" s="562"/>
      <c r="CU33" s="562"/>
      <c r="CV33" s="562"/>
      <c r="CW33" s="562"/>
      <c r="CX33" s="488"/>
      <c r="CY33" s="488"/>
      <c r="CZ33" s="488"/>
      <c r="DA33" s="488"/>
      <c r="DB33" s="488"/>
      <c r="DC33" s="488"/>
      <c r="DD33" s="488"/>
      <c r="DE33" s="488"/>
      <c r="DF33" s="488"/>
      <c r="DG33" s="488"/>
      <c r="DH33" s="488"/>
      <c r="DI33" s="488"/>
      <c r="DJ33" s="488"/>
      <c r="DK33" s="488"/>
      <c r="DL33" s="488"/>
      <c r="DM33" s="488"/>
      <c r="DN33" s="488"/>
      <c r="DO33" s="550"/>
    </row>
    <row r="34" spans="1:119" s="545" customFormat="1" ht="15.75">
      <c r="A34" s="543" t="s">
        <v>603</v>
      </c>
      <c r="B34" s="477"/>
      <c r="C34" s="477"/>
      <c r="D34" s="477"/>
      <c r="E34" s="544"/>
      <c r="F34" s="544"/>
      <c r="G34" s="544"/>
      <c r="H34" s="544"/>
      <c r="I34" s="544"/>
      <c r="J34" s="544"/>
      <c r="K34" s="544"/>
      <c r="L34" s="544"/>
      <c r="M34" s="544"/>
      <c r="N34" s="544"/>
      <c r="O34" s="544"/>
      <c r="P34" s="544"/>
      <c r="Q34" s="544"/>
      <c r="R34" s="544"/>
      <c r="S34" s="544"/>
      <c r="T34" s="544"/>
      <c r="U34" s="544"/>
      <c r="V34" s="544"/>
      <c r="W34" s="544"/>
      <c r="X34" s="544"/>
      <c r="Y34" s="544"/>
      <c r="Z34" s="544"/>
      <c r="AA34" s="544"/>
      <c r="AB34" s="544"/>
      <c r="AC34" s="544"/>
      <c r="AD34" s="544"/>
      <c r="AE34" s="544"/>
      <c r="AF34" s="544"/>
      <c r="AG34" s="544"/>
      <c r="AH34" s="544"/>
      <c r="AI34" s="544"/>
      <c r="AJ34" s="544"/>
      <c r="AK34" s="544"/>
      <c r="AL34" s="544"/>
      <c r="AM34" s="544"/>
      <c r="AN34" s="544"/>
      <c r="AO34" s="544"/>
      <c r="AP34" s="544"/>
      <c r="AQ34" s="544"/>
      <c r="AR34" s="544"/>
      <c r="AS34" s="544"/>
      <c r="AT34" s="544"/>
      <c r="AU34" s="544"/>
      <c r="AV34" s="544"/>
      <c r="AW34" s="544"/>
      <c r="AX34" s="544"/>
      <c r="AY34" s="544"/>
      <c r="AZ34" s="544"/>
      <c r="BA34" s="544"/>
      <c r="BB34" s="544"/>
      <c r="BC34" s="544"/>
      <c r="BD34" s="544"/>
      <c r="BE34" s="544"/>
      <c r="BF34" s="544"/>
      <c r="BG34" s="544"/>
      <c r="BH34" s="544"/>
      <c r="BI34" s="544"/>
      <c r="BJ34" s="544"/>
      <c r="BK34" s="544"/>
      <c r="BL34" s="544"/>
      <c r="BM34" s="544"/>
      <c r="BN34" s="544"/>
      <c r="BO34" s="544"/>
      <c r="BP34" s="544"/>
      <c r="BQ34" s="544"/>
      <c r="BR34" s="544"/>
      <c r="BS34" s="544"/>
      <c r="BT34" s="544"/>
      <c r="BU34" s="544"/>
      <c r="BV34" s="544"/>
      <c r="BW34" s="544"/>
      <c r="BX34" s="544"/>
      <c r="BY34" s="544"/>
      <c r="BZ34" s="544"/>
      <c r="CA34" s="544"/>
      <c r="CB34" s="544"/>
      <c r="CC34" s="544"/>
      <c r="CD34" s="544"/>
      <c r="CE34" s="544"/>
      <c r="CF34" s="544"/>
      <c r="CG34" s="544"/>
      <c r="CH34" s="544"/>
      <c r="CI34" s="544"/>
      <c r="CJ34" s="544"/>
      <c r="CK34" s="544"/>
      <c r="CL34" s="544"/>
      <c r="CM34" s="544"/>
      <c r="CN34" s="544"/>
      <c r="CO34" s="544"/>
      <c r="CP34" s="479"/>
      <c r="CQ34" s="479"/>
      <c r="CR34" s="477"/>
      <c r="CS34" s="477"/>
      <c r="CT34" s="477"/>
      <c r="CU34" s="477"/>
      <c r="CV34" s="477"/>
      <c r="CW34" s="477"/>
      <c r="CX34" s="477"/>
      <c r="CY34" s="477"/>
      <c r="CZ34" s="477"/>
      <c r="DA34" s="477"/>
      <c r="DB34" s="477"/>
      <c r="DC34" s="477"/>
      <c r="DD34" s="477"/>
      <c r="DE34" s="477"/>
      <c r="DF34" s="477"/>
      <c r="DG34" s="477"/>
      <c r="DH34" s="477"/>
      <c r="DI34" s="477"/>
      <c r="DJ34" s="477"/>
      <c r="DK34" s="477"/>
      <c r="DL34" s="477"/>
      <c r="DM34" s="477"/>
      <c r="DN34" s="477"/>
      <c r="DO34" s="479"/>
    </row>
    <row r="35" spans="1:119">
      <c r="A35" s="504" t="s">
        <v>599</v>
      </c>
      <c r="B35" s="546">
        <v>6100</v>
      </c>
      <c r="C35" s="546">
        <v>5900</v>
      </c>
      <c r="D35" s="546">
        <v>8000</v>
      </c>
      <c r="E35" s="546">
        <v>5500</v>
      </c>
      <c r="F35" s="546">
        <v>4000</v>
      </c>
      <c r="G35" s="546">
        <v>4360</v>
      </c>
      <c r="H35" s="546">
        <v>5190</v>
      </c>
      <c r="I35" s="546">
        <v>7300</v>
      </c>
      <c r="J35" s="546">
        <v>9200</v>
      </c>
      <c r="K35" s="546">
        <v>8475</v>
      </c>
      <c r="L35" s="546">
        <v>5700</v>
      </c>
      <c r="M35" s="546">
        <v>5350</v>
      </c>
      <c r="N35" s="546">
        <v>7425</v>
      </c>
      <c r="O35" s="546">
        <v>9625</v>
      </c>
      <c r="P35" s="546">
        <v>8800</v>
      </c>
      <c r="Q35" s="546">
        <v>7700</v>
      </c>
      <c r="R35" s="546">
        <v>8300</v>
      </c>
      <c r="S35" s="546">
        <v>9850</v>
      </c>
      <c r="T35" s="546">
        <v>11020</v>
      </c>
      <c r="U35" s="546">
        <v>8995</v>
      </c>
      <c r="V35" s="546">
        <v>9675</v>
      </c>
      <c r="W35" s="546">
        <v>8990</v>
      </c>
      <c r="X35" s="546">
        <v>8700</v>
      </c>
      <c r="Y35" s="546">
        <v>8980</v>
      </c>
      <c r="Z35" s="546">
        <v>7670</v>
      </c>
      <c r="AA35" s="546">
        <v>8210</v>
      </c>
      <c r="AB35" s="546">
        <v>8460</v>
      </c>
      <c r="AC35" s="546">
        <v>8450</v>
      </c>
      <c r="AD35" s="546">
        <v>6710</v>
      </c>
      <c r="AE35" s="546">
        <v>5260</v>
      </c>
      <c r="AF35" s="546">
        <v>6000</v>
      </c>
      <c r="AG35" s="546">
        <v>7960</v>
      </c>
      <c r="AH35" s="546">
        <v>5250</v>
      </c>
      <c r="AI35" s="546">
        <v>4950</v>
      </c>
      <c r="AJ35" s="546">
        <v>6875</v>
      </c>
      <c r="AK35" s="546">
        <v>7720</v>
      </c>
      <c r="AL35" s="546">
        <v>5890</v>
      </c>
      <c r="AM35" s="546">
        <v>5670</v>
      </c>
      <c r="AN35" s="546">
        <v>7000</v>
      </c>
      <c r="AO35" s="546">
        <v>7380</v>
      </c>
      <c r="AP35" s="546">
        <v>5160</v>
      </c>
      <c r="AQ35" s="546">
        <v>6330</v>
      </c>
      <c r="AR35" s="546">
        <v>7400</v>
      </c>
      <c r="AS35" s="546">
        <v>6860</v>
      </c>
      <c r="AT35" s="546">
        <v>5405</v>
      </c>
      <c r="AU35" s="546">
        <v>6840</v>
      </c>
      <c r="AV35" s="546">
        <v>8680</v>
      </c>
      <c r="AW35" s="546">
        <v>7940</v>
      </c>
      <c r="AX35" s="546">
        <v>7260</v>
      </c>
      <c r="AY35" s="546">
        <v>8515</v>
      </c>
      <c r="AZ35" s="546">
        <v>9475</v>
      </c>
      <c r="BA35" s="546">
        <v>7695</v>
      </c>
      <c r="BB35" s="546">
        <v>8325</v>
      </c>
      <c r="BC35" s="546">
        <v>9600</v>
      </c>
      <c r="BD35" s="546">
        <v>9490</v>
      </c>
      <c r="BE35" s="546">
        <v>9095</v>
      </c>
      <c r="BF35" s="546">
        <v>9925</v>
      </c>
      <c r="BG35" s="546">
        <v>6600</v>
      </c>
      <c r="BH35" s="546">
        <v>6500</v>
      </c>
      <c r="BI35" s="546">
        <v>4500</v>
      </c>
      <c r="BJ35" s="546">
        <v>5050</v>
      </c>
      <c r="BK35" s="546">
        <v>6000</v>
      </c>
      <c r="BL35" s="546">
        <v>6750</v>
      </c>
      <c r="BM35" s="546">
        <v>6050</v>
      </c>
      <c r="BN35" s="546">
        <v>4925</v>
      </c>
      <c r="BO35" s="546">
        <v>5875</v>
      </c>
      <c r="BP35" s="546">
        <v>6850</v>
      </c>
      <c r="BQ35" s="546">
        <v>5770</v>
      </c>
      <c r="BR35" s="546">
        <v>5150</v>
      </c>
      <c r="BS35" s="546">
        <v>5900</v>
      </c>
      <c r="BT35" s="546">
        <v>6500</v>
      </c>
      <c r="BU35" s="546">
        <v>5550</v>
      </c>
      <c r="BV35" s="547">
        <f>+BU35*(1+BV36)</f>
        <v>4995</v>
      </c>
      <c r="BW35" s="547">
        <f>+BV35*(1+BW36)</f>
        <v>4995</v>
      </c>
      <c r="BX35" s="547">
        <f>+BW35*(1+BX36)</f>
        <v>5144.8500000000004</v>
      </c>
      <c r="BY35" s="547">
        <f>+BX35*(1+BY36)</f>
        <v>5299.1955000000007</v>
      </c>
      <c r="BZ35" s="547">
        <f t="shared" ref="BZ35:CO35" si="49">+BY35*(1+BZ36)</f>
        <v>4875.259860000001</v>
      </c>
      <c r="CA35" s="547">
        <f t="shared" si="49"/>
        <v>5021.5176558000012</v>
      </c>
      <c r="CB35" s="547">
        <f t="shared" si="49"/>
        <v>5322.8087151480013</v>
      </c>
      <c r="CC35" s="547">
        <f t="shared" si="49"/>
        <v>5482.4929766024416</v>
      </c>
      <c r="CD35" s="547">
        <f t="shared" si="49"/>
        <v>4934.2436789421972</v>
      </c>
      <c r="CE35" s="547">
        <f t="shared" si="49"/>
        <v>5131.6134260998851</v>
      </c>
      <c r="CF35" s="547">
        <f t="shared" si="49"/>
        <v>5439.5102316658786</v>
      </c>
      <c r="CG35" s="547">
        <f t="shared" si="49"/>
        <v>5657.0906409325135</v>
      </c>
      <c r="CH35" s="547">
        <f t="shared" si="49"/>
        <v>5091.3815768392624</v>
      </c>
      <c r="CI35" s="547">
        <f t="shared" si="49"/>
        <v>5295.0368399128329</v>
      </c>
      <c r="CJ35" s="547">
        <f t="shared" si="49"/>
        <v>5612.7390503076031</v>
      </c>
      <c r="CK35" s="547">
        <f t="shared" si="49"/>
        <v>5837.2486123199078</v>
      </c>
      <c r="CL35" s="547">
        <f t="shared" si="49"/>
        <v>5253.5237510879169</v>
      </c>
      <c r="CM35" s="547">
        <f t="shared" si="49"/>
        <v>5463.6647011314335</v>
      </c>
      <c r="CN35" s="547">
        <f t="shared" si="49"/>
        <v>5791.4845831993198</v>
      </c>
      <c r="CO35" s="547">
        <f t="shared" si="49"/>
        <v>6023.1439665272928</v>
      </c>
      <c r="CP35" s="560"/>
      <c r="CQ35" s="569"/>
      <c r="CR35" s="546">
        <f>SUM(B35:E35)</f>
        <v>25500</v>
      </c>
      <c r="CS35" s="546">
        <f>SUM(F35:I35)</f>
        <v>20850</v>
      </c>
      <c r="CT35" s="546">
        <f>SUM(J35:M35)</f>
        <v>28725</v>
      </c>
      <c r="CU35" s="546">
        <f>SUM(N35:Q35)</f>
        <v>33550</v>
      </c>
      <c r="CV35" s="546">
        <f>SUM(R35:U35)</f>
        <v>38165</v>
      </c>
      <c r="CW35" s="546">
        <f>SUM(V35:Y35)</f>
        <v>36345</v>
      </c>
      <c r="CX35" s="546">
        <f>SUM(Z35:AC35)</f>
        <v>32790</v>
      </c>
      <c r="CY35" s="546">
        <f>SUM(AD35:AG35)</f>
        <v>25930</v>
      </c>
      <c r="CZ35" s="546">
        <f>SUM(AH35:AK35)</f>
        <v>24795</v>
      </c>
      <c r="DA35" s="546">
        <f>SUM(AL35:AO35)</f>
        <v>25940</v>
      </c>
      <c r="DB35" s="546">
        <f>SUM(AP35:AS35)</f>
        <v>25750</v>
      </c>
      <c r="DC35" s="546">
        <f>AT35+AU35+AV35+AW35</f>
        <v>28865</v>
      </c>
      <c r="DD35" s="546">
        <f>AX35+AY35+AZ35+BA35</f>
        <v>32945</v>
      </c>
      <c r="DE35" s="546">
        <f>BB35+BC35+BD35+BE35</f>
        <v>36510</v>
      </c>
      <c r="DF35" s="546">
        <f>+SUM(BF35:BI35)</f>
        <v>27525</v>
      </c>
      <c r="DG35" s="546">
        <f>+SUM(BJ35:BM35)</f>
        <v>23850</v>
      </c>
      <c r="DH35" s="546">
        <f>+SUM(BN35:BQ35)</f>
        <v>23420</v>
      </c>
      <c r="DI35" s="546">
        <f>+SUM(BR35:BU35)</f>
        <v>23100</v>
      </c>
      <c r="DJ35" s="547">
        <f>SUM(BV35:BY35)</f>
        <v>20434.0455</v>
      </c>
      <c r="DK35" s="547">
        <f>SUM(BZ35:CC35)</f>
        <v>20702.079207550443</v>
      </c>
      <c r="DL35" s="547">
        <f>SUM(CD35:CG35)</f>
        <v>21162.457977640475</v>
      </c>
      <c r="DM35" s="547">
        <f>SUM(CH35:CK35)</f>
        <v>21836.406079379605</v>
      </c>
      <c r="DN35" s="547">
        <f>SUM(CL35:CO35)</f>
        <v>22531.817001945961</v>
      </c>
    </row>
    <row r="36" spans="1:119">
      <c r="A36" s="92" t="s">
        <v>223</v>
      </c>
      <c r="B36" s="488"/>
      <c r="C36" s="488">
        <f t="shared" ref="C36:BN36" si="50">C35/B35-1</f>
        <v>-3.2786885245901676E-2</v>
      </c>
      <c r="D36" s="488">
        <f t="shared" si="50"/>
        <v>0.35593220338983045</v>
      </c>
      <c r="E36" s="488">
        <f t="shared" si="50"/>
        <v>-0.3125</v>
      </c>
      <c r="F36" s="488">
        <f t="shared" si="50"/>
        <v>-0.27272727272727271</v>
      </c>
      <c r="G36" s="488">
        <f t="shared" si="50"/>
        <v>9.000000000000008E-2</v>
      </c>
      <c r="H36" s="488">
        <f t="shared" si="50"/>
        <v>0.19036697247706424</v>
      </c>
      <c r="I36" s="488">
        <f t="shared" si="50"/>
        <v>0.40655105973025041</v>
      </c>
      <c r="J36" s="488">
        <f t="shared" si="50"/>
        <v>0.26027397260273966</v>
      </c>
      <c r="K36" s="488">
        <f t="shared" si="50"/>
        <v>-7.8804347826086918E-2</v>
      </c>
      <c r="L36" s="488">
        <f t="shared" si="50"/>
        <v>-0.32743362831858402</v>
      </c>
      <c r="M36" s="488">
        <f t="shared" si="50"/>
        <v>-6.1403508771929793E-2</v>
      </c>
      <c r="N36" s="488">
        <f t="shared" si="50"/>
        <v>0.38785046728971961</v>
      </c>
      <c r="O36" s="488">
        <f t="shared" si="50"/>
        <v>0.29629629629629628</v>
      </c>
      <c r="P36" s="488">
        <f t="shared" si="50"/>
        <v>-8.5714285714285743E-2</v>
      </c>
      <c r="Q36" s="488">
        <f t="shared" si="50"/>
        <v>-0.125</v>
      </c>
      <c r="R36" s="488">
        <f t="shared" si="50"/>
        <v>7.7922077922077948E-2</v>
      </c>
      <c r="S36" s="488">
        <f t="shared" si="50"/>
        <v>0.18674698795180733</v>
      </c>
      <c r="T36" s="488">
        <f t="shared" si="50"/>
        <v>0.11878172588832481</v>
      </c>
      <c r="U36" s="488">
        <f t="shared" si="50"/>
        <v>-0.18375680580762255</v>
      </c>
      <c r="V36" s="488">
        <f t="shared" si="50"/>
        <v>7.559755419677594E-2</v>
      </c>
      <c r="W36" s="488">
        <f t="shared" si="50"/>
        <v>-7.0801033591731288E-2</v>
      </c>
      <c r="X36" s="488">
        <f t="shared" si="50"/>
        <v>-3.2258064516129004E-2</v>
      </c>
      <c r="Y36" s="488">
        <f t="shared" si="50"/>
        <v>3.2183908045976928E-2</v>
      </c>
      <c r="Z36" s="488">
        <f t="shared" si="50"/>
        <v>-0.1458797327394209</v>
      </c>
      <c r="AA36" s="488">
        <f t="shared" si="50"/>
        <v>7.0404172099087337E-2</v>
      </c>
      <c r="AB36" s="488">
        <f t="shared" si="50"/>
        <v>3.0450669914738215E-2</v>
      </c>
      <c r="AC36" s="488">
        <f t="shared" si="50"/>
        <v>-1.1820330969266601E-3</v>
      </c>
      <c r="AD36" s="488">
        <f t="shared" si="50"/>
        <v>-0.2059171597633136</v>
      </c>
      <c r="AE36" s="488">
        <f t="shared" si="50"/>
        <v>-0.21609538002980622</v>
      </c>
      <c r="AF36" s="488">
        <f t="shared" si="50"/>
        <v>0.14068441064638781</v>
      </c>
      <c r="AG36" s="488">
        <f t="shared" si="50"/>
        <v>0.32666666666666666</v>
      </c>
      <c r="AH36" s="488">
        <f t="shared" si="50"/>
        <v>-0.34045226130653261</v>
      </c>
      <c r="AI36" s="488">
        <f t="shared" si="50"/>
        <v>-5.7142857142857162E-2</v>
      </c>
      <c r="AJ36" s="488">
        <f t="shared" si="50"/>
        <v>0.38888888888888884</v>
      </c>
      <c r="AK36" s="488">
        <f t="shared" si="50"/>
        <v>0.12290909090909086</v>
      </c>
      <c r="AL36" s="488">
        <f t="shared" si="50"/>
        <v>-0.23704663212435229</v>
      </c>
      <c r="AM36" s="488">
        <f t="shared" si="50"/>
        <v>-3.7351443123938899E-2</v>
      </c>
      <c r="AN36" s="488">
        <f t="shared" si="50"/>
        <v>0.23456790123456783</v>
      </c>
      <c r="AO36" s="488">
        <f t="shared" si="50"/>
        <v>5.428571428571427E-2</v>
      </c>
      <c r="AP36" s="488">
        <f t="shared" si="50"/>
        <v>-0.30081300813008127</v>
      </c>
      <c r="AQ36" s="488">
        <f t="shared" si="50"/>
        <v>0.22674418604651159</v>
      </c>
      <c r="AR36" s="488">
        <f t="shared" si="50"/>
        <v>0.1690363349131121</v>
      </c>
      <c r="AS36" s="488">
        <f t="shared" si="50"/>
        <v>-7.2972972972973005E-2</v>
      </c>
      <c r="AT36" s="488">
        <f t="shared" si="50"/>
        <v>-0.21209912536443154</v>
      </c>
      <c r="AU36" s="488">
        <f t="shared" si="50"/>
        <v>0.26549491211840892</v>
      </c>
      <c r="AV36" s="488">
        <f t="shared" si="50"/>
        <v>0.26900584795321647</v>
      </c>
      <c r="AW36" s="488">
        <f t="shared" si="50"/>
        <v>-8.5253456221198176E-2</v>
      </c>
      <c r="AX36" s="488">
        <f t="shared" si="50"/>
        <v>-8.5642317380352662E-2</v>
      </c>
      <c r="AY36" s="488">
        <f t="shared" si="50"/>
        <v>0.17286501377410479</v>
      </c>
      <c r="AZ36" s="488">
        <f t="shared" si="50"/>
        <v>0.11274221961244857</v>
      </c>
      <c r="BA36" s="488">
        <f t="shared" si="50"/>
        <v>-0.18786279683377305</v>
      </c>
      <c r="BB36" s="488">
        <f t="shared" si="50"/>
        <v>8.1871345029239873E-2</v>
      </c>
      <c r="BC36" s="488">
        <f t="shared" si="50"/>
        <v>0.15315315315315314</v>
      </c>
      <c r="BD36" s="488">
        <f t="shared" si="50"/>
        <v>-1.1458333333333348E-2</v>
      </c>
      <c r="BE36" s="488">
        <f t="shared" si="50"/>
        <v>-4.1622760800843039E-2</v>
      </c>
      <c r="BF36" s="488">
        <f t="shared" si="50"/>
        <v>9.1258933479934079E-2</v>
      </c>
      <c r="BG36" s="488">
        <f t="shared" si="50"/>
        <v>-0.33501259445843834</v>
      </c>
      <c r="BH36" s="488">
        <f t="shared" si="50"/>
        <v>-1.5151515151515138E-2</v>
      </c>
      <c r="BI36" s="488">
        <f t="shared" si="50"/>
        <v>-0.30769230769230771</v>
      </c>
      <c r="BJ36" s="488">
        <f t="shared" si="50"/>
        <v>0.12222222222222223</v>
      </c>
      <c r="BK36" s="488">
        <f t="shared" si="50"/>
        <v>0.18811881188118806</v>
      </c>
      <c r="BL36" s="488">
        <f t="shared" si="50"/>
        <v>0.125</v>
      </c>
      <c r="BM36" s="488">
        <f t="shared" si="50"/>
        <v>-0.10370370370370374</v>
      </c>
      <c r="BN36" s="488">
        <f t="shared" si="50"/>
        <v>-0.18595041322314054</v>
      </c>
      <c r="BO36" s="488">
        <f t="shared" ref="BO36" si="51">BO35/BN35-1</f>
        <v>0.19289340101522834</v>
      </c>
      <c r="BP36" s="488">
        <v>0.1003</v>
      </c>
      <c r="BQ36" s="488">
        <f>BQ35/BP35-1</f>
        <v>-0.15766423357664239</v>
      </c>
      <c r="BR36" s="488">
        <f>BR35/BQ35-1</f>
        <v>-0.10745233968804158</v>
      </c>
      <c r="BS36" s="488">
        <f>BS35/BR35-1</f>
        <v>0.14563106796116498</v>
      </c>
      <c r="BT36" s="488">
        <f>BT35/BS35-1</f>
        <v>0.10169491525423724</v>
      </c>
      <c r="BU36" s="488">
        <f>BU35/BT35-1</f>
        <v>-0.14615384615384619</v>
      </c>
      <c r="BV36" s="489">
        <v>-0.1</v>
      </c>
      <c r="BW36" s="489">
        <v>0</v>
      </c>
      <c r="BX36" s="489">
        <v>0.03</v>
      </c>
      <c r="BY36" s="489">
        <v>0.03</v>
      </c>
      <c r="BZ36" s="489">
        <v>-0.08</v>
      </c>
      <c r="CA36" s="489">
        <v>0.03</v>
      </c>
      <c r="CB36" s="489">
        <v>0.06</v>
      </c>
      <c r="CC36" s="489">
        <v>0.03</v>
      </c>
      <c r="CD36" s="489">
        <v>-0.1</v>
      </c>
      <c r="CE36" s="489">
        <v>0.04</v>
      </c>
      <c r="CF36" s="489">
        <v>0.06</v>
      </c>
      <c r="CG36" s="489">
        <v>0.04</v>
      </c>
      <c r="CH36" s="489">
        <v>-0.1</v>
      </c>
      <c r="CI36" s="489">
        <v>0.04</v>
      </c>
      <c r="CJ36" s="489">
        <v>0.06</v>
      </c>
      <c r="CK36" s="489">
        <v>0.04</v>
      </c>
      <c r="CL36" s="489">
        <v>-0.1</v>
      </c>
      <c r="CM36" s="489">
        <v>0.04</v>
      </c>
      <c r="CN36" s="489">
        <v>0.06</v>
      </c>
      <c r="CO36" s="489">
        <v>0.04</v>
      </c>
      <c r="CP36" s="550"/>
      <c r="CQ36" s="479"/>
      <c r="CR36" s="762"/>
      <c r="CS36" s="493"/>
      <c r="CT36" s="493"/>
      <c r="CU36" s="493"/>
      <c r="CV36" s="493"/>
      <c r="CW36" s="493"/>
      <c r="CX36" s="493"/>
      <c r="CY36" s="493"/>
      <c r="CZ36" s="490"/>
      <c r="DA36" s="494"/>
      <c r="DB36" s="494"/>
      <c r="DC36" s="494"/>
      <c r="DD36" s="494"/>
      <c r="DE36" s="510"/>
      <c r="DF36" s="510"/>
      <c r="DG36" s="510"/>
      <c r="DH36" s="510"/>
      <c r="DI36" s="510"/>
      <c r="DJ36" s="494"/>
      <c r="DK36" s="494"/>
      <c r="DL36" s="494"/>
      <c r="DM36" s="494"/>
      <c r="DN36" s="494"/>
    </row>
    <row r="37" spans="1:119">
      <c r="A37" s="92" t="s">
        <v>225</v>
      </c>
      <c r="B37" s="488"/>
      <c r="C37" s="488"/>
      <c r="D37" s="488"/>
      <c r="E37" s="488"/>
      <c r="F37" s="488">
        <f t="shared" ref="F37:BQ37" si="52">F35/B35-1</f>
        <v>-0.34426229508196726</v>
      </c>
      <c r="G37" s="488">
        <f t="shared" si="52"/>
        <v>-0.26101694915254237</v>
      </c>
      <c r="H37" s="488">
        <f t="shared" si="52"/>
        <v>-0.35124999999999995</v>
      </c>
      <c r="I37" s="488">
        <f t="shared" si="52"/>
        <v>0.32727272727272738</v>
      </c>
      <c r="J37" s="488">
        <f t="shared" si="52"/>
        <v>1.2999999999999998</v>
      </c>
      <c r="K37" s="488">
        <f t="shared" si="52"/>
        <v>0.9438073394495412</v>
      </c>
      <c r="L37" s="488">
        <f t="shared" si="52"/>
        <v>9.8265895953757232E-2</v>
      </c>
      <c r="M37" s="488">
        <f t="shared" si="52"/>
        <v>-0.26712328767123283</v>
      </c>
      <c r="N37" s="488">
        <f t="shared" si="52"/>
        <v>-0.19293478260869568</v>
      </c>
      <c r="O37" s="488">
        <f t="shared" si="52"/>
        <v>0.13569321533923295</v>
      </c>
      <c r="P37" s="488">
        <f t="shared" si="52"/>
        <v>0.54385964912280693</v>
      </c>
      <c r="Q37" s="488">
        <f t="shared" si="52"/>
        <v>0.43925233644859807</v>
      </c>
      <c r="R37" s="488">
        <f t="shared" si="52"/>
        <v>0.11784511784511786</v>
      </c>
      <c r="S37" s="488">
        <f t="shared" si="52"/>
        <v>2.3376623376623273E-2</v>
      </c>
      <c r="T37" s="488">
        <f t="shared" si="52"/>
        <v>0.2522727272727272</v>
      </c>
      <c r="U37" s="488">
        <f t="shared" si="52"/>
        <v>0.16818181818181821</v>
      </c>
      <c r="V37" s="488">
        <f t="shared" si="52"/>
        <v>0.1656626506024097</v>
      </c>
      <c r="W37" s="488">
        <f t="shared" si="52"/>
        <v>-8.7309644670050757E-2</v>
      </c>
      <c r="X37" s="488">
        <f t="shared" si="52"/>
        <v>-0.21052631578947367</v>
      </c>
      <c r="Y37" s="488">
        <f t="shared" si="52"/>
        <v>-1.6675931072818173E-3</v>
      </c>
      <c r="Z37" s="488">
        <f t="shared" si="52"/>
        <v>-0.20723514211886307</v>
      </c>
      <c r="AA37" s="488">
        <f t="shared" si="52"/>
        <v>-8.6763070077864324E-2</v>
      </c>
      <c r="AB37" s="488">
        <f t="shared" si="52"/>
        <v>-2.7586206896551779E-2</v>
      </c>
      <c r="AC37" s="488">
        <f t="shared" si="52"/>
        <v>-5.9020044543429795E-2</v>
      </c>
      <c r="AD37" s="488">
        <f t="shared" si="52"/>
        <v>-0.12516297262059972</v>
      </c>
      <c r="AE37" s="488">
        <f t="shared" si="52"/>
        <v>-0.35931790499390992</v>
      </c>
      <c r="AF37" s="488">
        <f t="shared" si="52"/>
        <v>-0.29078014184397161</v>
      </c>
      <c r="AG37" s="488">
        <f t="shared" si="52"/>
        <v>-5.798816568047338E-2</v>
      </c>
      <c r="AH37" s="488">
        <f t="shared" si="52"/>
        <v>-0.2175856929955291</v>
      </c>
      <c r="AI37" s="488">
        <f t="shared" si="52"/>
        <v>-5.8935361216730042E-2</v>
      </c>
      <c r="AJ37" s="488">
        <f t="shared" si="52"/>
        <v>0.14583333333333326</v>
      </c>
      <c r="AK37" s="488">
        <f t="shared" si="52"/>
        <v>-3.0150753768844241E-2</v>
      </c>
      <c r="AL37" s="488">
        <f t="shared" si="52"/>
        <v>0.12190476190476196</v>
      </c>
      <c r="AM37" s="488">
        <f t="shared" si="52"/>
        <v>0.1454545454545455</v>
      </c>
      <c r="AN37" s="488">
        <f t="shared" si="52"/>
        <v>1.8181818181818077E-2</v>
      </c>
      <c r="AO37" s="488">
        <f t="shared" si="52"/>
        <v>-4.4041450777202118E-2</v>
      </c>
      <c r="AP37" s="488">
        <f t="shared" si="52"/>
        <v>-0.12393887945670623</v>
      </c>
      <c r="AQ37" s="488">
        <f t="shared" si="52"/>
        <v>0.11640211640211651</v>
      </c>
      <c r="AR37" s="488">
        <f t="shared" si="52"/>
        <v>5.7142857142857162E-2</v>
      </c>
      <c r="AS37" s="488">
        <f t="shared" si="52"/>
        <v>-7.0460704607046121E-2</v>
      </c>
      <c r="AT37" s="488">
        <f t="shared" si="52"/>
        <v>4.7480620155038844E-2</v>
      </c>
      <c r="AU37" s="488">
        <f t="shared" si="52"/>
        <v>8.0568720379146974E-2</v>
      </c>
      <c r="AV37" s="488">
        <f t="shared" si="52"/>
        <v>0.17297297297297298</v>
      </c>
      <c r="AW37" s="488">
        <f t="shared" si="52"/>
        <v>0.1574344023323615</v>
      </c>
      <c r="AX37" s="488">
        <f t="shared" si="52"/>
        <v>0.34320074005550416</v>
      </c>
      <c r="AY37" s="488">
        <f t="shared" si="52"/>
        <v>0.24488304093567259</v>
      </c>
      <c r="AZ37" s="488">
        <f t="shared" si="52"/>
        <v>9.1589861751152135E-2</v>
      </c>
      <c r="BA37" s="488">
        <f t="shared" si="52"/>
        <v>-3.0856423173803549E-2</v>
      </c>
      <c r="BB37" s="488">
        <f t="shared" si="52"/>
        <v>0.14669421487603307</v>
      </c>
      <c r="BC37" s="488">
        <f t="shared" si="52"/>
        <v>0.12742219612448613</v>
      </c>
      <c r="BD37" s="488">
        <f t="shared" si="52"/>
        <v>1.5831134564643357E-3</v>
      </c>
      <c r="BE37" s="488">
        <f t="shared" si="52"/>
        <v>0.18193632228719947</v>
      </c>
      <c r="BF37" s="488">
        <f t="shared" si="52"/>
        <v>0.1921921921921923</v>
      </c>
      <c r="BG37" s="488">
        <f>BG35/BC35-1</f>
        <v>-0.3125</v>
      </c>
      <c r="BH37" s="488">
        <f>BH35/BD35-1</f>
        <v>-0.31506849315068497</v>
      </c>
      <c r="BI37" s="488">
        <f t="shared" si="52"/>
        <v>-0.50522264980758658</v>
      </c>
      <c r="BJ37" s="488">
        <f t="shared" si="52"/>
        <v>-0.49118387909319894</v>
      </c>
      <c r="BK37" s="488">
        <f t="shared" si="52"/>
        <v>-9.0909090909090939E-2</v>
      </c>
      <c r="BL37" s="488">
        <f>BL35/BH35-1</f>
        <v>3.8461538461538547E-2</v>
      </c>
      <c r="BM37" s="488">
        <f>BM35/BI35-1</f>
        <v>0.34444444444444455</v>
      </c>
      <c r="BN37" s="488">
        <f>BN35/BJ35-1</f>
        <v>-2.4752475247524774E-2</v>
      </c>
      <c r="BO37" s="488">
        <f t="shared" si="52"/>
        <v>-2.083333333333337E-2</v>
      </c>
      <c r="BP37" s="488">
        <f t="shared" si="52"/>
        <v>1.4814814814814836E-2</v>
      </c>
      <c r="BQ37" s="488">
        <f t="shared" si="52"/>
        <v>-4.6280991735537236E-2</v>
      </c>
      <c r="BR37" s="488">
        <f t="shared" ref="BR37:CO37" si="53">BR35/BN35-1</f>
        <v>4.5685279187817285E-2</v>
      </c>
      <c r="BS37" s="488">
        <f t="shared" si="53"/>
        <v>4.2553191489360653E-3</v>
      </c>
      <c r="BT37" s="488">
        <f t="shared" si="53"/>
        <v>-5.1094890510948954E-2</v>
      </c>
      <c r="BU37" s="488">
        <f t="shared" si="53"/>
        <v>-3.8128249566724448E-2</v>
      </c>
      <c r="BV37" s="489">
        <f t="shared" si="53"/>
        <v>-3.0097087378640808E-2</v>
      </c>
      <c r="BW37" s="489">
        <f t="shared" si="53"/>
        <v>-0.15338983050847455</v>
      </c>
      <c r="BX37" s="489">
        <f t="shared" si="53"/>
        <v>-0.20848461538461538</v>
      </c>
      <c r="BY37" s="489">
        <f t="shared" si="53"/>
        <v>-4.5189999999999841E-2</v>
      </c>
      <c r="BZ37" s="489">
        <f t="shared" si="53"/>
        <v>-2.3971999999999771E-2</v>
      </c>
      <c r="CA37" s="489">
        <f t="shared" si="53"/>
        <v>5.3088400000003144E-3</v>
      </c>
      <c r="CB37" s="489">
        <f t="shared" si="53"/>
        <v>3.4589680000000067E-2</v>
      </c>
      <c r="CC37" s="489">
        <f t="shared" si="53"/>
        <v>3.4589680000000067E-2</v>
      </c>
      <c r="CD37" s="489">
        <f t="shared" si="53"/>
        <v>1.209860000000007E-2</v>
      </c>
      <c r="CE37" s="489">
        <f t="shared" si="53"/>
        <v>2.1924800000000078E-2</v>
      </c>
      <c r="CF37" s="489">
        <f t="shared" si="53"/>
        <v>2.1924800000000078E-2</v>
      </c>
      <c r="CG37" s="489">
        <f t="shared" si="53"/>
        <v>3.1846400000000052E-2</v>
      </c>
      <c r="CH37" s="489">
        <f t="shared" si="53"/>
        <v>3.1846400000000052E-2</v>
      </c>
      <c r="CI37" s="489">
        <f t="shared" si="53"/>
        <v>3.1846400000000052E-2</v>
      </c>
      <c r="CJ37" s="489">
        <f t="shared" si="53"/>
        <v>3.1846400000000052E-2</v>
      </c>
      <c r="CK37" s="489">
        <f t="shared" si="53"/>
        <v>3.1846400000000274E-2</v>
      </c>
      <c r="CL37" s="489">
        <f t="shared" si="53"/>
        <v>3.1846400000000052E-2</v>
      </c>
      <c r="CM37" s="489">
        <f t="shared" si="53"/>
        <v>3.1846400000000052E-2</v>
      </c>
      <c r="CN37" s="489">
        <f t="shared" si="53"/>
        <v>3.1846400000000052E-2</v>
      </c>
      <c r="CO37" s="489">
        <f t="shared" si="53"/>
        <v>3.1846400000000052E-2</v>
      </c>
      <c r="CP37" s="550"/>
      <c r="CQ37" s="479"/>
      <c r="CR37" s="750"/>
      <c r="CS37" s="551">
        <f>CS35/CR35-1</f>
        <v>-0.18235294117647061</v>
      </c>
      <c r="CT37" s="551">
        <f t="shared" ref="CT37:DK37" si="54">CT35/CS35-1</f>
        <v>0.3776978417266188</v>
      </c>
      <c r="CU37" s="551">
        <f t="shared" si="54"/>
        <v>0.16797214969538721</v>
      </c>
      <c r="CV37" s="551">
        <f t="shared" si="54"/>
        <v>0.13755588673621455</v>
      </c>
      <c r="CW37" s="551">
        <f t="shared" si="54"/>
        <v>-4.7687671950740196E-2</v>
      </c>
      <c r="CX37" s="551">
        <f t="shared" si="54"/>
        <v>-9.7812628972348326E-2</v>
      </c>
      <c r="CY37" s="551">
        <f t="shared" si="54"/>
        <v>-0.20921012503812142</v>
      </c>
      <c r="CZ37" s="488">
        <f t="shared" si="54"/>
        <v>-4.3771693019668323E-2</v>
      </c>
      <c r="DA37" s="488">
        <f t="shared" si="54"/>
        <v>4.617866505343815E-2</v>
      </c>
      <c r="DB37" s="488">
        <f t="shared" si="54"/>
        <v>-7.3245952197378283E-3</v>
      </c>
      <c r="DC37" s="488">
        <f t="shared" si="54"/>
        <v>0.1209708737864077</v>
      </c>
      <c r="DD37" s="488">
        <f t="shared" si="54"/>
        <v>0.14134765286679363</v>
      </c>
      <c r="DE37" s="488">
        <f t="shared" si="54"/>
        <v>0.1082106541205039</v>
      </c>
      <c r="DF37" s="488">
        <f t="shared" si="54"/>
        <v>-0.24609695973705836</v>
      </c>
      <c r="DG37" s="488">
        <f t="shared" si="54"/>
        <v>-0.13351498637602177</v>
      </c>
      <c r="DH37" s="488">
        <f t="shared" si="54"/>
        <v>-1.8029350104821762E-2</v>
      </c>
      <c r="DI37" s="488">
        <f t="shared" si="54"/>
        <v>-1.3663535439795038E-2</v>
      </c>
      <c r="DJ37" s="497">
        <f t="shared" si="54"/>
        <v>-0.11540928571428566</v>
      </c>
      <c r="DK37" s="497">
        <f t="shared" si="54"/>
        <v>1.3117016282969685E-2</v>
      </c>
      <c r="DL37" s="497">
        <f>DL35/DK35-1</f>
        <v>2.2238286573752708E-2</v>
      </c>
      <c r="DM37" s="497">
        <f>DM35/DL35-1</f>
        <v>3.1846400000000052E-2</v>
      </c>
      <c r="DN37" s="497">
        <f>DN35/DM35-1</f>
        <v>3.1846400000000052E-2</v>
      </c>
    </row>
    <row r="38" spans="1:119">
      <c r="A38" s="504" t="s">
        <v>600</v>
      </c>
      <c r="B38" s="558"/>
      <c r="C38" s="558"/>
      <c r="D38" s="558"/>
      <c r="E38" s="558"/>
      <c r="F38" s="558"/>
      <c r="G38" s="558"/>
      <c r="H38" s="558"/>
      <c r="I38" s="558"/>
      <c r="J38" s="558"/>
      <c r="K38" s="558"/>
      <c r="L38" s="558"/>
      <c r="M38" s="558"/>
      <c r="N38" s="558"/>
      <c r="O38" s="558"/>
      <c r="P38" s="558"/>
      <c r="Q38" s="558"/>
      <c r="R38" s="558"/>
      <c r="S38" s="558"/>
      <c r="T38" s="558"/>
      <c r="U38" s="558"/>
      <c r="V38" s="558"/>
      <c r="W38" s="558"/>
      <c r="X38" s="558"/>
      <c r="Y38" s="558"/>
      <c r="Z38" s="546">
        <v>11.299999999999999</v>
      </c>
      <c r="AA38" s="546">
        <v>12.76</v>
      </c>
      <c r="AB38" s="546">
        <v>13.408000000000003</v>
      </c>
      <c r="AC38" s="546">
        <v>15.9481875</v>
      </c>
      <c r="AD38" s="546">
        <v>14.175812262500001</v>
      </c>
      <c r="AE38" s="546">
        <v>15.884315009062501</v>
      </c>
      <c r="AF38" s="546">
        <v>14.485828813509377</v>
      </c>
      <c r="AG38" s="546">
        <v>17.110073163782811</v>
      </c>
      <c r="AH38" s="546">
        <v>16.585224293728125</v>
      </c>
      <c r="AI38" s="546">
        <v>23.051362372801876</v>
      </c>
      <c r="AJ38" s="546">
        <v>29.46732489989839</v>
      </c>
      <c r="AK38" s="546">
        <v>30.372500675028608</v>
      </c>
      <c r="AL38" s="546">
        <v>28.945594578959192</v>
      </c>
      <c r="AM38" s="546">
        <v>33.448242624575066</v>
      </c>
      <c r="AN38" s="546">
        <v>31.679345178083107</v>
      </c>
      <c r="AO38" s="546">
        <v>39.597573384016179</v>
      </c>
      <c r="AP38" s="546">
        <v>44.759923691858283</v>
      </c>
      <c r="AQ38" s="546">
        <v>55.296471325146989</v>
      </c>
      <c r="AR38" s="546">
        <v>50.38632822822521</v>
      </c>
      <c r="AS38" s="546">
        <v>44.079639478325703</v>
      </c>
      <c r="AT38" s="546">
        <v>52.895567373990829</v>
      </c>
      <c r="AU38" s="546">
        <v>54.442318056650244</v>
      </c>
      <c r="AV38" s="546">
        <v>61.070356672224506</v>
      </c>
      <c r="AW38" s="546">
        <v>63.090139501207638</v>
      </c>
      <c r="AX38" s="546">
        <v>69.689402853441408</v>
      </c>
      <c r="AY38" s="546">
        <v>74.866797597432836</v>
      </c>
      <c r="AZ38" s="546">
        <v>82.150527098992484</v>
      </c>
      <c r="BA38" s="546">
        <v>98.01774927755713</v>
      </c>
      <c r="BB38" s="546">
        <f t="shared" ref="BB38:CO38" si="55">BA38*(1+BB39)</f>
        <v>103.89881423421056</v>
      </c>
      <c r="BC38" s="546">
        <f t="shared" si="55"/>
        <v>119.48363636934214</v>
      </c>
      <c r="BD38" s="546">
        <f t="shared" si="55"/>
        <v>112.31461818718161</v>
      </c>
      <c r="BE38" s="546">
        <f t="shared" si="55"/>
        <v>123.54608000589978</v>
      </c>
      <c r="BF38" s="546">
        <f t="shared" si="55"/>
        <v>129.72338400619478</v>
      </c>
      <c r="BG38" s="546">
        <f t="shared" si="55"/>
        <v>115.45381176551335</v>
      </c>
      <c r="BH38" s="546">
        <f t="shared" si="55"/>
        <v>108.52658305958255</v>
      </c>
      <c r="BI38" s="546">
        <f t="shared" si="55"/>
        <v>143.25508963864897</v>
      </c>
      <c r="BJ38" s="546">
        <f t="shared" si="55"/>
        <v>174.05493391095851</v>
      </c>
      <c r="BK38" s="546">
        <f t="shared" si="55"/>
        <v>192.15664703769821</v>
      </c>
      <c r="BL38" s="546">
        <f t="shared" si="55"/>
        <v>179.66646498024784</v>
      </c>
      <c r="BM38" s="546">
        <f t="shared" si="55"/>
        <v>186.85312357945776</v>
      </c>
      <c r="BN38" s="546">
        <f t="shared" si="55"/>
        <v>195.33625538996517</v>
      </c>
      <c r="BO38" s="546">
        <f t="shared" si="55"/>
        <v>191.95693817171878</v>
      </c>
      <c r="BP38" s="546">
        <f t="shared" si="55"/>
        <v>209.23306260717348</v>
      </c>
      <c r="BQ38" s="546">
        <f t="shared" si="55"/>
        <v>192.70365066120678</v>
      </c>
      <c r="BR38" s="546">
        <f t="shared" si="55"/>
        <v>238.567119518574</v>
      </c>
      <c r="BS38" s="546">
        <f t="shared" si="55"/>
        <v>243.69631258822335</v>
      </c>
      <c r="BT38" s="546">
        <f t="shared" si="55"/>
        <v>248.57023883998781</v>
      </c>
      <c r="BU38" s="546">
        <f t="shared" si="55"/>
        <v>253.91449897504756</v>
      </c>
      <c r="BV38" s="547">
        <f t="shared" si="55"/>
        <v>256.45364396479806</v>
      </c>
      <c r="BW38" s="547">
        <f t="shared" si="55"/>
        <v>259.01818040444607</v>
      </c>
      <c r="BX38" s="547">
        <f t="shared" si="55"/>
        <v>261.60836220849052</v>
      </c>
      <c r="BY38" s="547">
        <f t="shared" si="55"/>
        <v>264.22444583057541</v>
      </c>
      <c r="BZ38" s="547">
        <f t="shared" si="55"/>
        <v>266.86669028888116</v>
      </c>
      <c r="CA38" s="547">
        <f t="shared" si="55"/>
        <v>272.20402409465879</v>
      </c>
      <c r="CB38" s="547">
        <f t="shared" si="55"/>
        <v>277.64810457655199</v>
      </c>
      <c r="CC38" s="547">
        <f t="shared" si="55"/>
        <v>283.20106666808306</v>
      </c>
      <c r="CD38" s="547">
        <f t="shared" si="55"/>
        <v>286.0330773347639</v>
      </c>
      <c r="CE38" s="547">
        <f t="shared" si="55"/>
        <v>288.89340810811154</v>
      </c>
      <c r="CF38" s="547">
        <f t="shared" si="55"/>
        <v>294.67127627027378</v>
      </c>
      <c r="CG38" s="547">
        <f t="shared" si="55"/>
        <v>300.56470179567924</v>
      </c>
      <c r="CH38" s="547">
        <f t="shared" si="55"/>
        <v>303.57034881363603</v>
      </c>
      <c r="CI38" s="547">
        <f t="shared" si="55"/>
        <v>306.60605230177237</v>
      </c>
      <c r="CJ38" s="547">
        <f t="shared" si="55"/>
        <v>312.73817334780784</v>
      </c>
      <c r="CK38" s="547">
        <f t="shared" si="55"/>
        <v>318.99293681476399</v>
      </c>
      <c r="CL38" s="547">
        <f t="shared" si="55"/>
        <v>322.18286618291165</v>
      </c>
      <c r="CM38" s="547">
        <f t="shared" si="55"/>
        <v>325.40469484474079</v>
      </c>
      <c r="CN38" s="547">
        <f t="shared" si="55"/>
        <v>331.91278874163561</v>
      </c>
      <c r="CO38" s="547">
        <f t="shared" si="55"/>
        <v>338.55104451646832</v>
      </c>
      <c r="CP38" s="560"/>
      <c r="CQ38" s="501"/>
      <c r="CR38" s="546"/>
      <c r="CS38" s="546"/>
      <c r="CT38" s="546"/>
      <c r="CU38" s="546"/>
      <c r="CV38" s="546"/>
      <c r="CW38" s="546"/>
      <c r="CX38" s="546">
        <f t="shared" ref="CX38:DN38" si="56">CX41/CX35*1000</f>
        <v>13.407272472552608</v>
      </c>
      <c r="CY38" s="546">
        <f t="shared" si="56"/>
        <v>15.49488440006985</v>
      </c>
      <c r="CZ38" s="546">
        <f t="shared" si="56"/>
        <v>25.740683008084865</v>
      </c>
      <c r="DA38" s="546">
        <f t="shared" si="56"/>
        <v>33.698018333540148</v>
      </c>
      <c r="DB38" s="546">
        <f t="shared" si="56"/>
        <v>48.785748561100966</v>
      </c>
      <c r="DC38" s="546">
        <f t="shared" si="56"/>
        <v>58.524593823606629</v>
      </c>
      <c r="DD38" s="546">
        <f t="shared" si="56"/>
        <v>81.228067118284457</v>
      </c>
      <c r="DE38" s="546">
        <f t="shared" si="56"/>
        <v>115.0785500382224</v>
      </c>
      <c r="DF38" s="546">
        <f t="shared" si="56"/>
        <v>123.50846274932168</v>
      </c>
      <c r="DG38" s="546">
        <f t="shared" si="56"/>
        <v>183.44349411945166</v>
      </c>
      <c r="DH38" s="546">
        <f t="shared" si="56"/>
        <v>197.90455220874159</v>
      </c>
      <c r="DI38" s="546">
        <f t="shared" si="56"/>
        <v>246.37926110660641</v>
      </c>
      <c r="DJ38" s="547">
        <f t="shared" si="56"/>
        <v>260.3935935920328</v>
      </c>
      <c r="DK38" s="547">
        <f t="shared" si="56"/>
        <v>275.25918187907058</v>
      </c>
      <c r="DL38" s="547">
        <f t="shared" si="56"/>
        <v>292.8315503750822</v>
      </c>
      <c r="DM38" s="547">
        <f t="shared" si="56"/>
        <v>310.78565010494128</v>
      </c>
      <c r="DN38" s="547">
        <f t="shared" si="56"/>
        <v>329.84055231560149</v>
      </c>
    </row>
    <row r="39" spans="1:119" s="551" customFormat="1">
      <c r="A39" s="92" t="s">
        <v>223</v>
      </c>
      <c r="B39" s="488"/>
      <c r="C39" s="488"/>
      <c r="D39" s="488"/>
      <c r="E39" s="488"/>
      <c r="F39" s="488"/>
      <c r="G39" s="488"/>
      <c r="H39" s="488"/>
      <c r="I39" s="488"/>
      <c r="J39" s="488"/>
      <c r="K39" s="488"/>
      <c r="L39" s="488"/>
      <c r="M39" s="488"/>
      <c r="N39" s="488"/>
      <c r="O39" s="488"/>
      <c r="P39" s="488"/>
      <c r="Q39" s="488"/>
      <c r="R39" s="488"/>
      <c r="S39" s="488"/>
      <c r="T39" s="488"/>
      <c r="U39" s="488"/>
      <c r="V39" s="488"/>
      <c r="W39" s="488"/>
      <c r="X39" s="488"/>
      <c r="Y39" s="488"/>
      <c r="Z39" s="488"/>
      <c r="AA39" s="488">
        <f t="shared" ref="AA39:BA39" si="57">AA38/Z38-1</f>
        <v>0.12920353982300892</v>
      </c>
      <c r="AB39" s="488">
        <f t="shared" si="57"/>
        <v>5.0783699059561371E-2</v>
      </c>
      <c r="AC39" s="488">
        <f t="shared" si="57"/>
        <v>0.18945312499999978</v>
      </c>
      <c r="AD39" s="488">
        <f t="shared" si="57"/>
        <v>-0.1111333333333332</v>
      </c>
      <c r="AE39" s="488">
        <f t="shared" si="57"/>
        <v>0.1205223880597015</v>
      </c>
      <c r="AF39" s="488">
        <f t="shared" si="57"/>
        <v>-8.8041958041958024E-2</v>
      </c>
      <c r="AG39" s="488">
        <f t="shared" si="57"/>
        <v>0.18115942028985477</v>
      </c>
      <c r="AH39" s="488">
        <f t="shared" si="57"/>
        <v>-3.0674846625766805E-2</v>
      </c>
      <c r="AI39" s="488">
        <f t="shared" si="57"/>
        <v>0.38987341772151907</v>
      </c>
      <c r="AJ39" s="488">
        <f t="shared" si="57"/>
        <v>0.2783333333333331</v>
      </c>
      <c r="AK39" s="488">
        <f t="shared" si="57"/>
        <v>3.0717948717948973E-2</v>
      </c>
      <c r="AL39" s="488">
        <f t="shared" si="57"/>
        <v>-4.6980198019802022E-2</v>
      </c>
      <c r="AM39" s="488">
        <f t="shared" si="57"/>
        <v>0.15555555555555567</v>
      </c>
      <c r="AN39" s="488">
        <f t="shared" si="57"/>
        <v>-5.2884615384615641E-2</v>
      </c>
      <c r="AO39" s="488">
        <f t="shared" si="57"/>
        <v>0.24994923857868079</v>
      </c>
      <c r="AP39" s="488">
        <f t="shared" si="57"/>
        <v>0.13037037037037025</v>
      </c>
      <c r="AQ39" s="488">
        <f t="shared" si="57"/>
        <v>0.23540137614678902</v>
      </c>
      <c r="AR39" s="488">
        <f t="shared" si="57"/>
        <v>-8.8796680497925551E-2</v>
      </c>
      <c r="AS39" s="488">
        <f t="shared" si="57"/>
        <v>-0.12516666666666643</v>
      </c>
      <c r="AT39" s="488">
        <f t="shared" si="57"/>
        <v>0.19999999999999973</v>
      </c>
      <c r="AU39" s="488">
        <f t="shared" si="57"/>
        <v>2.9241593567251645E-2</v>
      </c>
      <c r="AV39" s="488">
        <f t="shared" si="57"/>
        <v>0.1217442396313364</v>
      </c>
      <c r="AW39" s="488">
        <f t="shared" si="57"/>
        <v>3.3073047858941829E-2</v>
      </c>
      <c r="AX39" s="488">
        <f t="shared" si="57"/>
        <v>0.10460055096418741</v>
      </c>
      <c r="AY39" s="488">
        <f t="shared" si="57"/>
        <v>7.4292425132119755E-2</v>
      </c>
      <c r="AZ39" s="488">
        <f t="shared" si="57"/>
        <v>9.7289182058047707E-2</v>
      </c>
      <c r="BA39" s="488">
        <f t="shared" si="57"/>
        <v>0.19314814814814807</v>
      </c>
      <c r="BB39" s="488">
        <v>0.06</v>
      </c>
      <c r="BC39" s="488">
        <v>0.15</v>
      </c>
      <c r="BD39" s="488">
        <v>-0.06</v>
      </c>
      <c r="BE39" s="488">
        <v>0.1</v>
      </c>
      <c r="BF39" s="488">
        <v>0.05</v>
      </c>
      <c r="BG39" s="488">
        <v>-0.11</v>
      </c>
      <c r="BH39" s="488">
        <v>-0.06</v>
      </c>
      <c r="BI39" s="488">
        <v>0.32</v>
      </c>
      <c r="BJ39" s="488">
        <v>0.215</v>
      </c>
      <c r="BK39" s="488">
        <v>0.104</v>
      </c>
      <c r="BL39" s="488">
        <v>-6.5000000000000002E-2</v>
      </c>
      <c r="BM39" s="488">
        <v>0.04</v>
      </c>
      <c r="BN39" s="488">
        <v>4.5400000000000003E-2</v>
      </c>
      <c r="BO39" s="488">
        <v>-1.7299999999999999E-2</v>
      </c>
      <c r="BP39" s="488">
        <v>0.09</v>
      </c>
      <c r="BQ39" s="488">
        <v>-7.9000000000000001E-2</v>
      </c>
      <c r="BR39" s="488">
        <v>0.23799999999999999</v>
      </c>
      <c r="BS39" s="488">
        <v>2.1499999999999998E-2</v>
      </c>
      <c r="BT39" s="488">
        <v>0.02</v>
      </c>
      <c r="BU39" s="488">
        <v>2.1499999999999998E-2</v>
      </c>
      <c r="BV39" s="489">
        <v>0.01</v>
      </c>
      <c r="BW39" s="489">
        <v>0.01</v>
      </c>
      <c r="BX39" s="489">
        <v>0.01</v>
      </c>
      <c r="BY39" s="489">
        <v>0.01</v>
      </c>
      <c r="BZ39" s="489">
        <v>0.01</v>
      </c>
      <c r="CA39" s="489">
        <v>0.02</v>
      </c>
      <c r="CB39" s="489">
        <v>0.02</v>
      </c>
      <c r="CC39" s="489">
        <v>0.02</v>
      </c>
      <c r="CD39" s="489">
        <v>0.01</v>
      </c>
      <c r="CE39" s="489">
        <v>0.01</v>
      </c>
      <c r="CF39" s="489">
        <v>0.02</v>
      </c>
      <c r="CG39" s="489">
        <v>0.02</v>
      </c>
      <c r="CH39" s="489">
        <v>0.01</v>
      </c>
      <c r="CI39" s="489">
        <v>0.01</v>
      </c>
      <c r="CJ39" s="489">
        <v>0.02</v>
      </c>
      <c r="CK39" s="489">
        <v>0.02</v>
      </c>
      <c r="CL39" s="489">
        <v>0.01</v>
      </c>
      <c r="CM39" s="489">
        <v>0.01</v>
      </c>
      <c r="CN39" s="489">
        <v>0.02</v>
      </c>
      <c r="CO39" s="489">
        <v>0.02</v>
      </c>
      <c r="CP39" s="550"/>
      <c r="CQ39" s="552"/>
      <c r="CR39" s="489"/>
      <c r="CS39" s="489"/>
      <c r="CT39" s="489"/>
      <c r="CU39" s="489"/>
      <c r="CV39" s="489"/>
      <c r="CW39" s="489"/>
      <c r="CX39" s="489"/>
      <c r="CY39" s="493"/>
      <c r="CZ39" s="490"/>
      <c r="DA39" s="494"/>
      <c r="DB39" s="494"/>
      <c r="DC39" s="494"/>
      <c r="DD39" s="494"/>
      <c r="DE39" s="510"/>
      <c r="DF39" s="510"/>
      <c r="DG39" s="510"/>
      <c r="DH39" s="510"/>
      <c r="DI39" s="510"/>
      <c r="DJ39" s="494"/>
      <c r="DK39" s="494"/>
      <c r="DL39" s="494"/>
      <c r="DM39" s="494"/>
      <c r="DN39" s="494"/>
      <c r="DO39" s="550"/>
    </row>
    <row r="40" spans="1:119" s="551" customFormat="1">
      <c r="A40" s="92" t="s">
        <v>225</v>
      </c>
      <c r="B40" s="488"/>
      <c r="C40" s="488"/>
      <c r="D40" s="488"/>
      <c r="E40" s="488"/>
      <c r="F40" s="488"/>
      <c r="G40" s="488"/>
      <c r="H40" s="488"/>
      <c r="I40" s="488"/>
      <c r="J40" s="488"/>
      <c r="K40" s="488"/>
      <c r="L40" s="488"/>
      <c r="M40" s="488"/>
      <c r="N40" s="488"/>
      <c r="O40" s="488"/>
      <c r="P40" s="488"/>
      <c r="Q40" s="488"/>
      <c r="R40" s="488"/>
      <c r="S40" s="488"/>
      <c r="T40" s="488"/>
      <c r="U40" s="488"/>
      <c r="V40" s="488"/>
      <c r="W40" s="488"/>
      <c r="X40" s="488"/>
      <c r="Y40" s="488"/>
      <c r="Z40" s="488"/>
      <c r="AA40" s="488"/>
      <c r="AB40" s="488"/>
      <c r="AC40" s="488"/>
      <c r="AD40" s="488">
        <f t="shared" ref="AD40:CO40" si="58">AD38/Z38-1</f>
        <v>0.25449666039823038</v>
      </c>
      <c r="AE40" s="488">
        <f t="shared" si="58"/>
        <v>0.24485227343750005</v>
      </c>
      <c r="AF40" s="488">
        <f t="shared" si="58"/>
        <v>8.0386993847656241E-2</v>
      </c>
      <c r="AG40" s="488">
        <f t="shared" si="58"/>
        <v>7.2853775000000009E-2</v>
      </c>
      <c r="AH40" s="488">
        <f t="shared" si="58"/>
        <v>0.16996641791044764</v>
      </c>
      <c r="AI40" s="488">
        <f t="shared" si="58"/>
        <v>0.45120279720279721</v>
      </c>
      <c r="AJ40" s="488">
        <f t="shared" si="58"/>
        <v>1.0342173913043471</v>
      </c>
      <c r="AK40" s="488">
        <f t="shared" si="58"/>
        <v>0.77512395092024544</v>
      </c>
      <c r="AL40" s="488">
        <f t="shared" si="58"/>
        <v>0.74526398113924031</v>
      </c>
      <c r="AM40" s="488">
        <f t="shared" si="58"/>
        <v>0.45103105333333304</v>
      </c>
      <c r="AN40" s="488">
        <f t="shared" si="58"/>
        <v>7.5066884615384355E-2</v>
      </c>
      <c r="AO40" s="488">
        <f t="shared" si="58"/>
        <v>0.30373108910891089</v>
      </c>
      <c r="AP40" s="488">
        <f t="shared" si="58"/>
        <v>0.54634666666666676</v>
      </c>
      <c r="AQ40" s="488">
        <f t="shared" si="58"/>
        <v>0.65319511538461539</v>
      </c>
      <c r="AR40" s="488">
        <f t="shared" si="58"/>
        <v>0.59051040812182753</v>
      </c>
      <c r="AS40" s="488">
        <f t="shared" si="58"/>
        <v>0.1131904233333334</v>
      </c>
      <c r="AT40" s="488">
        <f t="shared" si="58"/>
        <v>0.1817617862385319</v>
      </c>
      <c r="AU40" s="488">
        <f t="shared" si="58"/>
        <v>-1.5446795211836672E-2</v>
      </c>
      <c r="AV40" s="488">
        <f t="shared" si="58"/>
        <v>0.21204221104593923</v>
      </c>
      <c r="AW40" s="488">
        <f t="shared" si="58"/>
        <v>0.43127621386807258</v>
      </c>
      <c r="AX40" s="488">
        <f t="shared" si="58"/>
        <v>0.31749041201717487</v>
      </c>
      <c r="AY40" s="488">
        <f t="shared" si="58"/>
        <v>0.37515815398473285</v>
      </c>
      <c r="AZ40" s="488">
        <f t="shared" si="58"/>
        <v>0.34517843967915574</v>
      </c>
      <c r="BA40" s="488">
        <f t="shared" si="58"/>
        <v>0.55361440080000013</v>
      </c>
      <c r="BB40" s="488">
        <f t="shared" si="58"/>
        <v>0.49088397919999993</v>
      </c>
      <c r="BC40" s="488">
        <f t="shared" si="58"/>
        <v>0.59594960922222207</v>
      </c>
      <c r="BD40" s="488">
        <f t="shared" si="58"/>
        <v>0.3671807370370368</v>
      </c>
      <c r="BE40" s="488">
        <f t="shared" si="58"/>
        <v>0.26044600000000018</v>
      </c>
      <c r="BF40" s="488">
        <f t="shared" si="58"/>
        <v>0.24855500000000008</v>
      </c>
      <c r="BG40" s="488">
        <f t="shared" si="58"/>
        <v>-3.372699999999984E-2</v>
      </c>
      <c r="BH40" s="488">
        <f t="shared" si="58"/>
        <v>-3.372699999999984E-2</v>
      </c>
      <c r="BI40" s="488">
        <f t="shared" si="58"/>
        <v>0.1595276000000001</v>
      </c>
      <c r="BJ40" s="488">
        <f t="shared" si="58"/>
        <v>0.34173908000000019</v>
      </c>
      <c r="BK40" s="488">
        <f t="shared" si="58"/>
        <v>0.66435948800000033</v>
      </c>
      <c r="BL40" s="488">
        <f t="shared" si="58"/>
        <v>0.65550651200000032</v>
      </c>
      <c r="BM40" s="488">
        <f t="shared" si="58"/>
        <v>0.30433846400000042</v>
      </c>
      <c r="BN40" s="488">
        <f t="shared" si="58"/>
        <v>0.12226784384000045</v>
      </c>
      <c r="BO40" s="488">
        <f t="shared" si="58"/>
        <v>-1.0393024079997648E-3</v>
      </c>
      <c r="BP40" s="488">
        <f t="shared" si="58"/>
        <v>0.16456380788800029</v>
      </c>
      <c r="BQ40" s="488">
        <f t="shared" si="58"/>
        <v>3.1310833716200248E-2</v>
      </c>
      <c r="BR40" s="488">
        <f t="shared" si="58"/>
        <v>0.2213151063140002</v>
      </c>
      <c r="BS40" s="488">
        <f t="shared" si="58"/>
        <v>0.26953636013000026</v>
      </c>
      <c r="BT40" s="488">
        <f t="shared" si="58"/>
        <v>0.18800650214000014</v>
      </c>
      <c r="BU40" s="488">
        <f t="shared" si="58"/>
        <v>0.31764239081000012</v>
      </c>
      <c r="BV40" s="489">
        <f t="shared" si="58"/>
        <v>7.4974809950000054E-2</v>
      </c>
      <c r="BW40" s="489">
        <f t="shared" si="58"/>
        <v>6.2872793000000149E-2</v>
      </c>
      <c r="BX40" s="489">
        <f t="shared" si="58"/>
        <v>5.2452471500000319E-2</v>
      </c>
      <c r="BY40" s="489">
        <f t="shared" si="58"/>
        <v>4.0604010000000024E-2</v>
      </c>
      <c r="BZ40" s="489">
        <f t="shared" si="58"/>
        <v>4.0604010000000024E-2</v>
      </c>
      <c r="CA40" s="489">
        <f t="shared" si="58"/>
        <v>5.0907019999999914E-2</v>
      </c>
      <c r="CB40" s="489">
        <f t="shared" si="58"/>
        <v>6.1312040000000012E-2</v>
      </c>
      <c r="CC40" s="489">
        <f t="shared" si="58"/>
        <v>7.1820080000000175E-2</v>
      </c>
      <c r="CD40" s="489">
        <f t="shared" si="58"/>
        <v>7.1820080000000175E-2</v>
      </c>
      <c r="CE40" s="489">
        <f t="shared" si="58"/>
        <v>6.1312040000000234E-2</v>
      </c>
      <c r="CF40" s="489">
        <f t="shared" si="58"/>
        <v>6.1312040000000234E-2</v>
      </c>
      <c r="CG40" s="489">
        <f t="shared" si="58"/>
        <v>6.1312040000000012E-2</v>
      </c>
      <c r="CH40" s="489">
        <f t="shared" si="58"/>
        <v>6.1312040000000012E-2</v>
      </c>
      <c r="CI40" s="489">
        <f t="shared" si="58"/>
        <v>6.131203999999979E-2</v>
      </c>
      <c r="CJ40" s="489">
        <f t="shared" si="58"/>
        <v>6.1312040000000012E-2</v>
      </c>
      <c r="CK40" s="489">
        <f t="shared" si="58"/>
        <v>6.1312040000000012E-2</v>
      </c>
      <c r="CL40" s="489">
        <f t="shared" si="58"/>
        <v>6.1312040000000012E-2</v>
      </c>
      <c r="CM40" s="489">
        <f t="shared" si="58"/>
        <v>6.1312040000000234E-2</v>
      </c>
      <c r="CN40" s="489">
        <f t="shared" si="58"/>
        <v>6.1312040000000012E-2</v>
      </c>
      <c r="CO40" s="489">
        <f t="shared" si="58"/>
        <v>6.1312040000000234E-2</v>
      </c>
      <c r="CP40" s="550"/>
      <c r="CQ40" s="552"/>
      <c r="CR40" s="488"/>
      <c r="CS40" s="488"/>
      <c r="CT40" s="488"/>
      <c r="CU40" s="488"/>
      <c r="CV40" s="488"/>
      <c r="CW40" s="488"/>
      <c r="CX40" s="488"/>
      <c r="CY40" s="488">
        <f t="shared" ref="CY40:DK40" si="59">CY38/CX38-1</f>
        <v>0.15570742906814239</v>
      </c>
      <c r="CZ40" s="488">
        <f t="shared" si="59"/>
        <v>0.66123749900120754</v>
      </c>
      <c r="DA40" s="488">
        <f t="shared" si="59"/>
        <v>0.30913458368435576</v>
      </c>
      <c r="DB40" s="488">
        <f t="shared" si="59"/>
        <v>0.44773345655592367</v>
      </c>
      <c r="DC40" s="488">
        <f t="shared" si="59"/>
        <v>0.19962479924456611</v>
      </c>
      <c r="DD40" s="488">
        <f t="shared" si="59"/>
        <v>0.38793047181337448</v>
      </c>
      <c r="DE40" s="488">
        <f t="shared" si="59"/>
        <v>0.41673382269018933</v>
      </c>
      <c r="DF40" s="488">
        <f t="shared" si="59"/>
        <v>7.3253553405907113E-2</v>
      </c>
      <c r="DG40" s="488">
        <f t="shared" si="59"/>
        <v>0.48527064490938421</v>
      </c>
      <c r="DH40" s="488">
        <f t="shared" si="59"/>
        <v>7.8831130854242426E-2</v>
      </c>
      <c r="DI40" s="488">
        <f t="shared" si="59"/>
        <v>0.24493983769880989</v>
      </c>
      <c r="DJ40" s="497">
        <f t="shared" si="59"/>
        <v>5.6881136920702513E-2</v>
      </c>
      <c r="DK40" s="497">
        <f t="shared" si="59"/>
        <v>5.7088917134912931E-2</v>
      </c>
      <c r="DL40" s="497">
        <f>DL38/DK38-1</f>
        <v>6.3839354516906477E-2</v>
      </c>
      <c r="DM40" s="497">
        <f>DM38/DL38-1</f>
        <v>6.1312040000000012E-2</v>
      </c>
      <c r="DN40" s="497">
        <f>DN38/DM38-1</f>
        <v>6.1312040000000234E-2</v>
      </c>
      <c r="DO40" s="550"/>
    </row>
    <row r="41" spans="1:119">
      <c r="A41" s="504" t="s">
        <v>602</v>
      </c>
      <c r="B41" s="558"/>
      <c r="C41" s="558"/>
      <c r="D41" s="558"/>
      <c r="E41" s="558"/>
      <c r="F41" s="558"/>
      <c r="G41" s="558"/>
      <c r="H41" s="558"/>
      <c r="I41" s="558"/>
      <c r="J41" s="558"/>
      <c r="K41" s="558"/>
      <c r="L41" s="558"/>
      <c r="M41" s="558"/>
      <c r="N41" s="558"/>
      <c r="O41" s="558"/>
      <c r="P41" s="558"/>
      <c r="Q41" s="558"/>
      <c r="R41" s="558"/>
      <c r="S41" s="558"/>
      <c r="T41" s="558"/>
      <c r="U41" s="558"/>
      <c r="V41" s="558"/>
      <c r="W41" s="558"/>
      <c r="X41" s="558"/>
      <c r="Y41" s="558"/>
      <c r="Z41" s="546">
        <f t="shared" ref="Z41:BE41" si="60">Z38*Z35/1000</f>
        <v>86.670999999999992</v>
      </c>
      <c r="AA41" s="546">
        <f t="shared" si="60"/>
        <v>104.75959999999999</v>
      </c>
      <c r="AB41" s="546">
        <f t="shared" si="60"/>
        <v>113.43168000000003</v>
      </c>
      <c r="AC41" s="546">
        <f t="shared" si="60"/>
        <v>134.76218437499998</v>
      </c>
      <c r="AD41" s="546">
        <f t="shared" si="60"/>
        <v>95.119700281375003</v>
      </c>
      <c r="AE41" s="546">
        <f t="shared" si="60"/>
        <v>83.551496947668753</v>
      </c>
      <c r="AF41" s="546">
        <f t="shared" si="60"/>
        <v>86.914972881056272</v>
      </c>
      <c r="AG41" s="546">
        <f t="shared" si="60"/>
        <v>136.19618238371118</v>
      </c>
      <c r="AH41" s="546">
        <f t="shared" si="60"/>
        <v>87.072427542072646</v>
      </c>
      <c r="AI41" s="546">
        <f t="shared" si="60"/>
        <v>114.10424374536929</v>
      </c>
      <c r="AJ41" s="546">
        <f t="shared" si="60"/>
        <v>202.58785868680141</v>
      </c>
      <c r="AK41" s="546">
        <f t="shared" si="60"/>
        <v>234.47570521122086</v>
      </c>
      <c r="AL41" s="546">
        <f t="shared" si="60"/>
        <v>170.48955207006966</v>
      </c>
      <c r="AM41" s="546">
        <f t="shared" si="60"/>
        <v>189.65153568134062</v>
      </c>
      <c r="AN41" s="546">
        <f t="shared" si="60"/>
        <v>221.75541624658175</v>
      </c>
      <c r="AO41" s="546">
        <f t="shared" si="60"/>
        <v>292.23009157403942</v>
      </c>
      <c r="AP41" s="546">
        <f t="shared" si="60"/>
        <v>230.96120624998875</v>
      </c>
      <c r="AQ41" s="546">
        <f t="shared" si="60"/>
        <v>350.02666348818042</v>
      </c>
      <c r="AR41" s="546">
        <f t="shared" si="60"/>
        <v>372.85882888886653</v>
      </c>
      <c r="AS41" s="546">
        <f t="shared" si="60"/>
        <v>302.38632682131436</v>
      </c>
      <c r="AT41" s="546">
        <f t="shared" si="60"/>
        <v>285.90054165642044</v>
      </c>
      <c r="AU41" s="546">
        <f t="shared" si="60"/>
        <v>372.38545550748762</v>
      </c>
      <c r="AV41" s="546">
        <f t="shared" si="60"/>
        <v>530.09069591490868</v>
      </c>
      <c r="AW41" s="546">
        <f t="shared" si="60"/>
        <v>500.9357076395886</v>
      </c>
      <c r="AX41" s="546">
        <f t="shared" si="60"/>
        <v>505.94506471598464</v>
      </c>
      <c r="AY41" s="546">
        <f t="shared" si="60"/>
        <v>637.49078154214067</v>
      </c>
      <c r="AZ41" s="546">
        <f t="shared" si="60"/>
        <v>778.37624426295372</v>
      </c>
      <c r="BA41" s="546">
        <f t="shared" si="60"/>
        <v>754.24658069080203</v>
      </c>
      <c r="BB41" s="546">
        <f t="shared" si="60"/>
        <v>864.95762849980292</v>
      </c>
      <c r="BC41" s="546">
        <f t="shared" si="60"/>
        <v>1147.0429091456845</v>
      </c>
      <c r="BD41" s="546">
        <f t="shared" si="60"/>
        <v>1065.8657265963536</v>
      </c>
      <c r="BE41" s="546">
        <f t="shared" si="60"/>
        <v>1123.6515976536587</v>
      </c>
      <c r="BF41" s="546">
        <f t="shared" ref="BF41:CO41" si="61">BF38*BF35/1000</f>
        <v>1287.5045862614832</v>
      </c>
      <c r="BG41" s="546">
        <f t="shared" si="61"/>
        <v>761.99515765238812</v>
      </c>
      <c r="BH41" s="546">
        <f t="shared" si="61"/>
        <v>705.42278988728663</v>
      </c>
      <c r="BI41" s="546">
        <f t="shared" si="61"/>
        <v>644.64790337392037</v>
      </c>
      <c r="BJ41" s="546">
        <f t="shared" si="61"/>
        <v>878.97741625034053</v>
      </c>
      <c r="BK41" s="546">
        <f t="shared" si="61"/>
        <v>1152.9398822261892</v>
      </c>
      <c r="BL41" s="546">
        <f t="shared" si="61"/>
        <v>1212.7486386166729</v>
      </c>
      <c r="BM41" s="546">
        <f t="shared" si="61"/>
        <v>1130.4613976557193</v>
      </c>
      <c r="BN41" s="546">
        <f t="shared" si="61"/>
        <v>962.03105779557848</v>
      </c>
      <c r="BO41" s="546">
        <f t="shared" si="61"/>
        <v>1127.7470117588477</v>
      </c>
      <c r="BP41" s="546">
        <f t="shared" si="61"/>
        <v>1433.2464788591385</v>
      </c>
      <c r="BQ41" s="546">
        <f t="shared" si="61"/>
        <v>1111.900064315163</v>
      </c>
      <c r="BR41" s="546">
        <f t="shared" si="61"/>
        <v>1228.6206655206561</v>
      </c>
      <c r="BS41" s="546">
        <f t="shared" si="61"/>
        <v>1437.8082442705177</v>
      </c>
      <c r="BT41" s="546">
        <f t="shared" si="61"/>
        <v>1615.7065524599207</v>
      </c>
      <c r="BU41" s="546">
        <f t="shared" si="61"/>
        <v>1409.225469311514</v>
      </c>
      <c r="BV41" s="547">
        <f t="shared" si="61"/>
        <v>1280.9859516041663</v>
      </c>
      <c r="BW41" s="547">
        <f t="shared" si="61"/>
        <v>1293.7958111202081</v>
      </c>
      <c r="BX41" s="547">
        <f t="shared" si="61"/>
        <v>1345.9357823083526</v>
      </c>
      <c r="BY41" s="547">
        <f t="shared" si="61"/>
        <v>1400.1769943353793</v>
      </c>
      <c r="BZ41" s="547">
        <f t="shared" si="61"/>
        <v>1301.0444631364344</v>
      </c>
      <c r="CA41" s="547">
        <f t="shared" si="61"/>
        <v>1366.8773129711381</v>
      </c>
      <c r="CB41" s="547">
        <f t="shared" si="61"/>
        <v>1477.8677507843945</v>
      </c>
      <c r="CC41" s="547">
        <f t="shared" si="61"/>
        <v>1552.6478589740852</v>
      </c>
      <c r="CD41" s="547">
        <f t="shared" si="61"/>
        <v>1411.3569038074434</v>
      </c>
      <c r="CE41" s="547">
        <f t="shared" si="61"/>
        <v>1482.4892917593386</v>
      </c>
      <c r="CF41" s="547">
        <f t="shared" si="61"/>
        <v>1602.867422250197</v>
      </c>
      <c r="CG41" s="547">
        <f t="shared" si="61"/>
        <v>1700.3217615230087</v>
      </c>
      <c r="CH41" s="547">
        <f t="shared" si="61"/>
        <v>1545.5924812244152</v>
      </c>
      <c r="CI41" s="547">
        <f t="shared" si="61"/>
        <v>1623.4903422781254</v>
      </c>
      <c r="CJ41" s="547">
        <f t="shared" si="61"/>
        <v>1755.3177580711097</v>
      </c>
      <c r="CK41" s="547">
        <f t="shared" si="61"/>
        <v>1862.0410777618331</v>
      </c>
      <c r="CL41" s="547">
        <f t="shared" si="61"/>
        <v>1692.5953396855064</v>
      </c>
      <c r="CM41" s="547">
        <f t="shared" si="61"/>
        <v>1777.902144805656</v>
      </c>
      <c r="CN41" s="547">
        <f t="shared" si="61"/>
        <v>1922.2677989638753</v>
      </c>
      <c r="CO41" s="547">
        <f t="shared" si="61"/>
        <v>2039.1416811408792</v>
      </c>
      <c r="CP41" s="560"/>
      <c r="CQ41" s="561"/>
      <c r="CR41" s="546"/>
      <c r="CS41" s="546"/>
      <c r="CT41" s="546"/>
      <c r="CU41" s="546"/>
      <c r="CV41" s="546"/>
      <c r="CW41" s="546"/>
      <c r="CX41" s="546">
        <f>SUM(Z41:AC41)</f>
        <v>439.624464375</v>
      </c>
      <c r="CY41" s="546">
        <f>SUM(AD41:AG41)</f>
        <v>401.78235249381117</v>
      </c>
      <c r="CZ41" s="546">
        <f>SUM(AH41:AK41)</f>
        <v>638.24023518546426</v>
      </c>
      <c r="DA41" s="546">
        <f>SUM(AL41:AO41)</f>
        <v>874.12659557203142</v>
      </c>
      <c r="DB41" s="546">
        <f>SUM(AP41:AS41)</f>
        <v>1256.23302544835</v>
      </c>
      <c r="DC41" s="546">
        <f>AT41+AU41+AV41+AW41</f>
        <v>1689.3124007184053</v>
      </c>
      <c r="DD41" s="546">
        <f>AX41+AY41+AZ41+BA41</f>
        <v>2676.0586712118811</v>
      </c>
      <c r="DE41" s="546">
        <f>BB41+BC41+BD41+BE41</f>
        <v>4201.5178618954997</v>
      </c>
      <c r="DF41" s="546">
        <f>+SUM(BF41:BI41)</f>
        <v>3399.570437175079</v>
      </c>
      <c r="DG41" s="546">
        <f>+SUM(BJ41:BM41)</f>
        <v>4375.1273347489223</v>
      </c>
      <c r="DH41" s="546">
        <f>+SUM(BN41:BQ41)</f>
        <v>4634.9246127287279</v>
      </c>
      <c r="DI41" s="546">
        <f>+SUM(BR41:BU41)</f>
        <v>5691.3609315626081</v>
      </c>
      <c r="DJ41" s="547">
        <f>SUM(BV41:BY41)</f>
        <v>5320.8945393681061</v>
      </c>
      <c r="DK41" s="547">
        <f>SUM(BZ41:CC41)</f>
        <v>5698.4373858660529</v>
      </c>
      <c r="DL41" s="547">
        <f>SUM(CD41:CG41)</f>
        <v>6197.0353793399872</v>
      </c>
      <c r="DM41" s="547">
        <f>SUM(CH41:CK41)</f>
        <v>6786.4416593354836</v>
      </c>
      <c r="DN41" s="547">
        <f>SUM(CL41:CO41)</f>
        <v>7431.9069645959162</v>
      </c>
    </row>
    <row r="42" spans="1:119" s="551" customFormat="1">
      <c r="A42" s="92" t="s">
        <v>223</v>
      </c>
      <c r="B42" s="488"/>
      <c r="C42" s="488"/>
      <c r="D42" s="488"/>
      <c r="E42" s="488"/>
      <c r="F42" s="488"/>
      <c r="G42" s="488"/>
      <c r="H42" s="488"/>
      <c r="I42" s="488"/>
      <c r="J42" s="488"/>
      <c r="K42" s="488"/>
      <c r="L42" s="488"/>
      <c r="M42" s="488"/>
      <c r="N42" s="488"/>
      <c r="O42" s="488"/>
      <c r="P42" s="488"/>
      <c r="Q42" s="488"/>
      <c r="R42" s="488"/>
      <c r="S42" s="488"/>
      <c r="T42" s="488"/>
      <c r="U42" s="488"/>
      <c r="V42" s="488"/>
      <c r="W42" s="488"/>
      <c r="X42" s="488"/>
      <c r="Y42" s="488"/>
      <c r="Z42" s="488"/>
      <c r="AA42" s="488">
        <f t="shared" ref="AA42:CL42" si="62">AA41/Z41-1</f>
        <v>0.20870418017560666</v>
      </c>
      <c r="AB42" s="488">
        <f t="shared" si="62"/>
        <v>8.2780766631411762E-2</v>
      </c>
      <c r="AC42" s="488">
        <f t="shared" si="62"/>
        <v>0.18804715203900657</v>
      </c>
      <c r="AD42" s="488">
        <f t="shared" si="62"/>
        <v>-0.29416623274161724</v>
      </c>
      <c r="AE42" s="488">
        <f t="shared" si="62"/>
        <v>-0.12161732321996577</v>
      </c>
      <c r="AF42" s="488">
        <f t="shared" si="62"/>
        <v>4.0256321625143254E-2</v>
      </c>
      <c r="AG42" s="488">
        <f t="shared" si="62"/>
        <v>0.5670048309178739</v>
      </c>
      <c r="AH42" s="488">
        <f t="shared" si="62"/>
        <v>-0.36068378703332615</v>
      </c>
      <c r="AI42" s="488">
        <f t="shared" si="62"/>
        <v>0.31045207956600396</v>
      </c>
      <c r="AJ42" s="488">
        <f t="shared" si="62"/>
        <v>0.77546296296296235</v>
      </c>
      <c r="AK42" s="488">
        <f t="shared" si="62"/>
        <v>0.15740255477855514</v>
      </c>
      <c r="AL42" s="488">
        <f t="shared" si="62"/>
        <v>-0.2728903324270251</v>
      </c>
      <c r="AM42" s="488">
        <f t="shared" si="62"/>
        <v>0.11239388794567051</v>
      </c>
      <c r="AN42" s="488">
        <f t="shared" si="62"/>
        <v>0.16927825261158569</v>
      </c>
      <c r="AO42" s="488">
        <f t="shared" si="62"/>
        <v>0.31780362581580923</v>
      </c>
      <c r="AP42" s="488">
        <f t="shared" si="62"/>
        <v>-0.20965974104185503</v>
      </c>
      <c r="AQ42" s="488">
        <f t="shared" si="62"/>
        <v>0.51552145562193297</v>
      </c>
      <c r="AR42" s="488">
        <f t="shared" si="62"/>
        <v>6.5229788991366666E-2</v>
      </c>
      <c r="AS42" s="488">
        <f t="shared" si="62"/>
        <v>-0.18900585585585539</v>
      </c>
      <c r="AT42" s="488">
        <f t="shared" si="62"/>
        <v>-5.4518950437318137E-2</v>
      </c>
      <c r="AU42" s="488">
        <f t="shared" si="62"/>
        <v>0.30249999999999999</v>
      </c>
      <c r="AV42" s="488">
        <f t="shared" si="62"/>
        <v>0.42350000000000021</v>
      </c>
      <c r="AW42" s="488">
        <f t="shared" si="62"/>
        <v>-5.500000000000016E-2</v>
      </c>
      <c r="AX42" s="488">
        <f t="shared" si="62"/>
        <v>1.0000000000000231E-2</v>
      </c>
      <c r="AY42" s="488">
        <f t="shared" si="62"/>
        <v>0.26</v>
      </c>
      <c r="AZ42" s="488">
        <f t="shared" si="62"/>
        <v>0.22099999999999986</v>
      </c>
      <c r="BA42" s="488">
        <f t="shared" si="62"/>
        <v>-3.1000000000000139E-2</v>
      </c>
      <c r="BB42" s="488">
        <f t="shared" si="62"/>
        <v>0.14678362573099424</v>
      </c>
      <c r="BC42" s="488">
        <f t="shared" si="62"/>
        <v>0.3261261261261259</v>
      </c>
      <c r="BD42" s="488">
        <f t="shared" si="62"/>
        <v>-7.0770833333333116E-2</v>
      </c>
      <c r="BE42" s="488">
        <f t="shared" si="62"/>
        <v>5.4214963119072701E-2</v>
      </c>
      <c r="BF42" s="488">
        <f t="shared" si="62"/>
        <v>0.14582188015393061</v>
      </c>
      <c r="BG42" s="488">
        <f>BG41/BF41-1</f>
        <v>-0.40816120906801012</v>
      </c>
      <c r="BH42" s="488">
        <f>BH41/BG41-1</f>
        <v>-7.4242424242424221E-2</v>
      </c>
      <c r="BI42" s="488">
        <f t="shared" si="62"/>
        <v>-8.6153846153846136E-2</v>
      </c>
      <c r="BJ42" s="488">
        <f t="shared" si="62"/>
        <v>0.36350000000000016</v>
      </c>
      <c r="BK42" s="488">
        <f t="shared" si="62"/>
        <v>0.31168316831683152</v>
      </c>
      <c r="BL42" s="488">
        <f t="shared" si="62"/>
        <v>5.1875000000000115E-2</v>
      </c>
      <c r="BM42" s="488">
        <f t="shared" si="62"/>
        <v>-6.7851851851851941E-2</v>
      </c>
      <c r="BN42" s="488">
        <f t="shared" si="62"/>
        <v>-0.14899256198347088</v>
      </c>
      <c r="BO42" s="488">
        <f t="shared" si="62"/>
        <v>0.17225634517766486</v>
      </c>
      <c r="BP42" s="488">
        <f t="shared" si="62"/>
        <v>0.27089361702127679</v>
      </c>
      <c r="BQ42" s="488">
        <f t="shared" si="62"/>
        <v>-0.22420875912408778</v>
      </c>
      <c r="BR42" s="488">
        <f t="shared" si="62"/>
        <v>0.10497400346620456</v>
      </c>
      <c r="BS42" s="488">
        <f t="shared" si="62"/>
        <v>0.17026213592232997</v>
      </c>
      <c r="BT42" s="488">
        <f t="shared" si="62"/>
        <v>0.12372881355932197</v>
      </c>
      <c r="BU42" s="488">
        <f t="shared" si="62"/>
        <v>-0.12779615384615373</v>
      </c>
      <c r="BV42" s="489">
        <f t="shared" si="62"/>
        <v>-9.099999999999997E-2</v>
      </c>
      <c r="BW42" s="489">
        <f t="shared" si="62"/>
        <v>1.0000000000000009E-2</v>
      </c>
      <c r="BX42" s="489">
        <f t="shared" si="62"/>
        <v>4.0300000000000002E-2</v>
      </c>
      <c r="BY42" s="489">
        <f t="shared" si="62"/>
        <v>4.0300000000000002E-2</v>
      </c>
      <c r="BZ42" s="489">
        <f t="shared" si="62"/>
        <v>-7.0799999999999974E-2</v>
      </c>
      <c r="CA42" s="489">
        <f t="shared" si="62"/>
        <v>5.0599999999999978E-2</v>
      </c>
      <c r="CB42" s="489">
        <f t="shared" si="62"/>
        <v>8.1199999999999939E-2</v>
      </c>
      <c r="CC42" s="489">
        <f t="shared" si="62"/>
        <v>5.06000000000002E-2</v>
      </c>
      <c r="CD42" s="489">
        <f t="shared" si="62"/>
        <v>-9.1000000000000081E-2</v>
      </c>
      <c r="CE42" s="489">
        <f t="shared" si="62"/>
        <v>5.04E-2</v>
      </c>
      <c r="CF42" s="489">
        <f t="shared" si="62"/>
        <v>8.1200000000000161E-2</v>
      </c>
      <c r="CG42" s="489">
        <f t="shared" si="62"/>
        <v>6.0799999999999743E-2</v>
      </c>
      <c r="CH42" s="489">
        <f t="shared" si="62"/>
        <v>-9.0999999999999859E-2</v>
      </c>
      <c r="CI42" s="489">
        <f t="shared" si="62"/>
        <v>5.0399999999999778E-2</v>
      </c>
      <c r="CJ42" s="489">
        <f t="shared" si="62"/>
        <v>8.1200000000000383E-2</v>
      </c>
      <c r="CK42" s="489">
        <f t="shared" si="62"/>
        <v>6.0799999999999965E-2</v>
      </c>
      <c r="CL42" s="489">
        <f t="shared" si="62"/>
        <v>-9.099999999999997E-2</v>
      </c>
      <c r="CM42" s="489">
        <f t="shared" ref="CM42:CO42" si="63">CM41/CL41-1</f>
        <v>5.04E-2</v>
      </c>
      <c r="CN42" s="489">
        <f t="shared" si="63"/>
        <v>8.1199999999999939E-2</v>
      </c>
      <c r="CO42" s="489">
        <f t="shared" si="63"/>
        <v>6.0800000000000187E-2</v>
      </c>
      <c r="CP42" s="550"/>
      <c r="CQ42" s="552"/>
      <c r="CR42" s="562"/>
      <c r="CS42" s="562"/>
      <c r="CT42" s="562"/>
      <c r="CU42" s="562"/>
      <c r="CV42" s="562"/>
      <c r="CW42" s="562"/>
      <c r="CX42" s="562"/>
      <c r="CY42" s="493"/>
      <c r="CZ42" s="490"/>
      <c r="DA42" s="494"/>
      <c r="DB42" s="494"/>
      <c r="DC42" s="494"/>
      <c r="DD42" s="494"/>
      <c r="DE42" s="510"/>
      <c r="DF42" s="510"/>
      <c r="DG42" s="510"/>
      <c r="DH42" s="510"/>
      <c r="DI42" s="510"/>
      <c r="DJ42" s="494"/>
      <c r="DK42" s="494"/>
      <c r="DL42" s="494"/>
      <c r="DM42" s="494"/>
      <c r="DN42" s="494"/>
      <c r="DO42" s="550"/>
    </row>
    <row r="43" spans="1:119" s="551" customFormat="1">
      <c r="A43" s="92" t="s">
        <v>225</v>
      </c>
      <c r="B43" s="488"/>
      <c r="C43" s="488"/>
      <c r="D43" s="488"/>
      <c r="E43" s="488"/>
      <c r="F43" s="488"/>
      <c r="G43" s="488"/>
      <c r="H43" s="488"/>
      <c r="I43" s="488"/>
      <c r="J43" s="488"/>
      <c r="K43" s="488"/>
      <c r="L43" s="488"/>
      <c r="M43" s="488"/>
      <c r="N43" s="488"/>
      <c r="O43" s="488"/>
      <c r="P43" s="488"/>
      <c r="Q43" s="488"/>
      <c r="R43" s="488"/>
      <c r="S43" s="488"/>
      <c r="T43" s="488"/>
      <c r="U43" s="488"/>
      <c r="V43" s="488"/>
      <c r="W43" s="488"/>
      <c r="X43" s="488"/>
      <c r="Y43" s="488"/>
      <c r="Z43" s="488"/>
      <c r="AA43" s="488"/>
      <c r="AB43" s="488"/>
      <c r="AC43" s="488"/>
      <c r="AD43" s="488">
        <f t="shared" ref="AD43:CO43" si="64">AD41/Z41-1</f>
        <v>9.7480129240172797E-2</v>
      </c>
      <c r="AE43" s="488">
        <f t="shared" si="64"/>
        <v>-0.20244543748096822</v>
      </c>
      <c r="AF43" s="488">
        <f t="shared" si="64"/>
        <v>-0.23376808946974736</v>
      </c>
      <c r="AG43" s="488">
        <f t="shared" si="64"/>
        <v>1.064095254437869E-2</v>
      </c>
      <c r="AH43" s="488">
        <f t="shared" si="64"/>
        <v>-8.4601535912093961E-2</v>
      </c>
      <c r="AI43" s="488">
        <f t="shared" si="64"/>
        <v>0.36567563615092147</v>
      </c>
      <c r="AJ43" s="488">
        <f t="shared" si="64"/>
        <v>1.3308740942028972</v>
      </c>
      <c r="AK43" s="488">
        <f t="shared" si="64"/>
        <v>0.72160262576687129</v>
      </c>
      <c r="AL43" s="488">
        <f t="shared" si="64"/>
        <v>0.95801997122097671</v>
      </c>
      <c r="AM43" s="488">
        <f t="shared" si="64"/>
        <v>0.66209011563636322</v>
      </c>
      <c r="AN43" s="488">
        <f t="shared" si="64"/>
        <v>9.4613555244755121E-2</v>
      </c>
      <c r="AO43" s="488">
        <f t="shared" si="64"/>
        <v>0.24631288052121292</v>
      </c>
      <c r="AP43" s="488">
        <f t="shared" si="64"/>
        <v>0.35469419354838694</v>
      </c>
      <c r="AQ43" s="488">
        <f t="shared" si="64"/>
        <v>0.8456305256410257</v>
      </c>
      <c r="AR43" s="488">
        <f t="shared" si="64"/>
        <v>0.68139671715736028</v>
      </c>
      <c r="AS43" s="488">
        <f t="shared" si="64"/>
        <v>3.4754241743450764E-2</v>
      </c>
      <c r="AT43" s="488">
        <f t="shared" si="64"/>
        <v>0.23787256872466389</v>
      </c>
      <c r="AU43" s="488">
        <f t="shared" si="64"/>
        <v>6.3877396643133855E-2</v>
      </c>
      <c r="AV43" s="488">
        <f t="shared" si="64"/>
        <v>0.42169275565929087</v>
      </c>
      <c r="AW43" s="488">
        <f t="shared" si="64"/>
        <v>0.65660832917091749</v>
      </c>
      <c r="AX43" s="488">
        <f t="shared" si="64"/>
        <v>0.76965409643750027</v>
      </c>
      <c r="AY43" s="488">
        <f t="shared" si="64"/>
        <v>0.71191106450000041</v>
      </c>
      <c r="AZ43" s="488">
        <f t="shared" si="64"/>
        <v>0.46838314700000017</v>
      </c>
      <c r="BA43" s="488">
        <f t="shared" si="64"/>
        <v>0.50567541740000022</v>
      </c>
      <c r="BB43" s="488">
        <f t="shared" si="64"/>
        <v>0.70958803400000003</v>
      </c>
      <c r="BC43" s="488">
        <f t="shared" si="64"/>
        <v>0.79930901333333293</v>
      </c>
      <c r="BD43" s="488">
        <f t="shared" si="64"/>
        <v>0.36934513925925927</v>
      </c>
      <c r="BE43" s="488">
        <f t="shared" si="64"/>
        <v>0.48976690968161196</v>
      </c>
      <c r="BF43" s="488">
        <f t="shared" si="64"/>
        <v>0.48851752252252267</v>
      </c>
      <c r="BG43" s="488">
        <f>BG41/BC41-1</f>
        <v>-0.33568731249999983</v>
      </c>
      <c r="BH43" s="488">
        <f>BH41/BD41-1</f>
        <v>-0.33816917808219171</v>
      </c>
      <c r="BI43" s="488">
        <f t="shared" si="64"/>
        <v>-0.42629200659703137</v>
      </c>
      <c r="BJ43" s="488">
        <f t="shared" si="64"/>
        <v>-0.3173015260453399</v>
      </c>
      <c r="BK43" s="488">
        <f t="shared" si="64"/>
        <v>0.51305408000000008</v>
      </c>
      <c r="BL43" s="488">
        <f t="shared" si="64"/>
        <v>0.7191798393846156</v>
      </c>
      <c r="BM43" s="488">
        <f t="shared" si="64"/>
        <v>0.75361060160000015</v>
      </c>
      <c r="BN43" s="488">
        <f t="shared" si="64"/>
        <v>9.4488936814257851E-2</v>
      </c>
      <c r="BO43" s="488">
        <f t="shared" si="64"/>
        <v>-2.1850983607833108E-2</v>
      </c>
      <c r="BP43" s="488">
        <f t="shared" si="64"/>
        <v>0.18181660504189678</v>
      </c>
      <c r="BQ43" s="488">
        <f t="shared" si="64"/>
        <v>-1.6419254455789178E-2</v>
      </c>
      <c r="BR43" s="488">
        <f t="shared" si="64"/>
        <v>0.27711122792225384</v>
      </c>
      <c r="BS43" s="488">
        <f t="shared" si="64"/>
        <v>0.27493864251353206</v>
      </c>
      <c r="BT43" s="488">
        <f t="shared" si="64"/>
        <v>0.12730543998686117</v>
      </c>
      <c r="BU43" s="488">
        <f t="shared" si="64"/>
        <v>0.26740299289350111</v>
      </c>
      <c r="BV43" s="489">
        <f t="shared" si="64"/>
        <v>4.2621199165097323E-2</v>
      </c>
      <c r="BW43" s="489">
        <f t="shared" si="64"/>
        <v>-0.10016108457033868</v>
      </c>
      <c r="BX43" s="489">
        <f t="shared" si="64"/>
        <v>-0.16696767723126504</v>
      </c>
      <c r="BY43" s="489">
        <f t="shared" si="64"/>
        <v>-6.4208852118996518E-3</v>
      </c>
      <c r="BZ43" s="489">
        <f t="shared" si="64"/>
        <v>1.5658650672280228E-2</v>
      </c>
      <c r="CA43" s="489">
        <f t="shared" si="64"/>
        <v>5.6486117224056942E-2</v>
      </c>
      <c r="CB43" s="489">
        <f t="shared" si="64"/>
        <v>9.8022483843747343E-2</v>
      </c>
      <c r="CC43" s="489">
        <f t="shared" si="64"/>
        <v>0.10889399358477481</v>
      </c>
      <c r="CD43" s="489">
        <f t="shared" si="64"/>
        <v>8.4787602419888364E-2</v>
      </c>
      <c r="CE43" s="489">
        <f t="shared" si="64"/>
        <v>8.4581094214592145E-2</v>
      </c>
      <c r="CF43" s="489">
        <f t="shared" si="64"/>
        <v>8.4581094214592367E-2</v>
      </c>
      <c r="CG43" s="489">
        <f t="shared" si="64"/>
        <v>9.511100775065584E-2</v>
      </c>
      <c r="CH43" s="489">
        <f t="shared" si="64"/>
        <v>9.5111007750656285E-2</v>
      </c>
      <c r="CI43" s="489">
        <f t="shared" si="64"/>
        <v>9.511100775065584E-2</v>
      </c>
      <c r="CJ43" s="489">
        <f t="shared" si="64"/>
        <v>9.5111007750656062E-2</v>
      </c>
      <c r="CK43" s="489">
        <f t="shared" si="64"/>
        <v>9.5111007750656285E-2</v>
      </c>
      <c r="CL43" s="489">
        <f t="shared" si="64"/>
        <v>9.5111007750656062E-2</v>
      </c>
      <c r="CM43" s="489">
        <f t="shared" si="64"/>
        <v>9.5111007750656507E-2</v>
      </c>
      <c r="CN43" s="489">
        <f t="shared" si="64"/>
        <v>9.5111007750656062E-2</v>
      </c>
      <c r="CO43" s="489">
        <f t="shared" si="64"/>
        <v>9.5111007750656285E-2</v>
      </c>
      <c r="CP43" s="550"/>
      <c r="CQ43" s="552"/>
      <c r="CR43" s="562"/>
      <c r="CS43" s="562"/>
      <c r="CT43" s="562"/>
      <c r="CU43" s="562"/>
      <c r="CV43" s="562"/>
      <c r="CW43" s="562"/>
      <c r="CX43" s="562"/>
      <c r="CY43" s="488">
        <f t="shared" ref="CY43:DK43" si="65">CY41/CX41-1</f>
        <v>-8.6078266674689652E-2</v>
      </c>
      <c r="CZ43" s="488">
        <f t="shared" si="65"/>
        <v>0.5885223211621653</v>
      </c>
      <c r="DA43" s="488">
        <f t="shared" si="65"/>
        <v>0.36958867113418781</v>
      </c>
      <c r="DB43" s="488">
        <f t="shared" si="65"/>
        <v>0.43712939500057968</v>
      </c>
      <c r="DC43" s="488">
        <f t="shared" si="65"/>
        <v>0.3447444594250253</v>
      </c>
      <c r="DD43" s="488">
        <f t="shared" si="65"/>
        <v>0.5841111863464965</v>
      </c>
      <c r="DE43" s="488">
        <f t="shared" si="65"/>
        <v>0.57003951635813666</v>
      </c>
      <c r="DF43" s="488">
        <f t="shared" si="65"/>
        <v>-0.19087088311428124</v>
      </c>
      <c r="DG43" s="488">
        <f t="shared" si="65"/>
        <v>0.28696475498960283</v>
      </c>
      <c r="DH43" s="488">
        <f t="shared" si="65"/>
        <v>5.9380506692090274E-2</v>
      </c>
      <c r="DI43" s="488">
        <f t="shared" si="65"/>
        <v>0.22792955810599969</v>
      </c>
      <c r="DJ43" s="497">
        <f t="shared" si="65"/>
        <v>-6.5092760176218123E-2</v>
      </c>
      <c r="DK43" s="497">
        <f t="shared" si="65"/>
        <v>7.0954769673518658E-2</v>
      </c>
      <c r="DL43" s="497">
        <f>DL41/DK41-1</f>
        <v>8.7497318951089476E-2</v>
      </c>
      <c r="DM43" s="497">
        <f>DM41/DL41-1</f>
        <v>9.5111007750656285E-2</v>
      </c>
      <c r="DN43" s="497">
        <f>DN41/DM41-1</f>
        <v>9.5111007750656062E-2</v>
      </c>
      <c r="DO43" s="550"/>
    </row>
    <row r="44" spans="1:119">
      <c r="AC44" s="536">
        <f t="shared" ref="AC44:AS44" si="66">SUM(Z41:AC41)</f>
        <v>439.624464375</v>
      </c>
      <c r="AD44" s="536">
        <f t="shared" si="66"/>
        <v>448.07316465637496</v>
      </c>
      <c r="AE44" s="536">
        <f t="shared" si="66"/>
        <v>426.86506160404372</v>
      </c>
      <c r="AF44" s="536">
        <f t="shared" si="66"/>
        <v>400.3483544851</v>
      </c>
      <c r="AG44" s="536">
        <f t="shared" si="66"/>
        <v>401.78235249381117</v>
      </c>
      <c r="AH44" s="536">
        <f t="shared" si="66"/>
        <v>393.73507975450889</v>
      </c>
      <c r="AI44" s="536">
        <f t="shared" si="66"/>
        <v>424.28782655220937</v>
      </c>
      <c r="AJ44" s="536">
        <f t="shared" si="66"/>
        <v>539.96071235795455</v>
      </c>
      <c r="AK44" s="536">
        <f t="shared" si="66"/>
        <v>638.24023518546426</v>
      </c>
      <c r="AL44" s="536">
        <f t="shared" si="66"/>
        <v>721.65735971346123</v>
      </c>
      <c r="AM44" s="536">
        <f t="shared" si="66"/>
        <v>797.20465164943255</v>
      </c>
      <c r="AN44" s="536">
        <f t="shared" si="66"/>
        <v>816.37220920921288</v>
      </c>
      <c r="AO44" s="536">
        <f t="shared" si="66"/>
        <v>874.12659557203142</v>
      </c>
      <c r="AP44" s="536">
        <f t="shared" si="66"/>
        <v>934.59824975195056</v>
      </c>
      <c r="AQ44" s="536">
        <f t="shared" si="66"/>
        <v>1094.9733775587904</v>
      </c>
      <c r="AR44" s="536">
        <f t="shared" si="66"/>
        <v>1246.0767902010753</v>
      </c>
      <c r="AS44" s="536">
        <f t="shared" si="66"/>
        <v>1256.23302544835</v>
      </c>
      <c r="AT44" s="536">
        <f>SUM(AQ41:AT41)</f>
        <v>1311.1723608547818</v>
      </c>
      <c r="AU44" s="536">
        <f t="shared" ref="AU44:CO44" si="67">SUM(AR41:AU41)</f>
        <v>1333.531152874089</v>
      </c>
      <c r="AV44" s="536">
        <f t="shared" si="67"/>
        <v>1490.763019900131</v>
      </c>
      <c r="AW44" s="536">
        <f t="shared" si="67"/>
        <v>1689.3124007184053</v>
      </c>
      <c r="AX44" s="536">
        <f t="shared" si="67"/>
        <v>1909.3569237779695</v>
      </c>
      <c r="AY44" s="536">
        <f t="shared" si="67"/>
        <v>2174.4622498126228</v>
      </c>
      <c r="AZ44" s="536">
        <f t="shared" si="67"/>
        <v>2422.7477981606676</v>
      </c>
      <c r="BA44" s="536">
        <f t="shared" si="67"/>
        <v>2676.0586712118811</v>
      </c>
      <c r="BB44" s="536">
        <f t="shared" si="67"/>
        <v>3035.0712349956993</v>
      </c>
      <c r="BC44" s="536">
        <f t="shared" si="67"/>
        <v>3544.6233625992431</v>
      </c>
      <c r="BD44" s="536">
        <f t="shared" si="67"/>
        <v>3832.1128449326434</v>
      </c>
      <c r="BE44" s="536">
        <f t="shared" si="67"/>
        <v>4201.5178618954997</v>
      </c>
      <c r="BF44" s="536">
        <f t="shared" si="67"/>
        <v>4624.0648196571801</v>
      </c>
      <c r="BG44" s="536">
        <f t="shared" si="67"/>
        <v>4239.0170681638838</v>
      </c>
      <c r="BH44" s="536">
        <f t="shared" si="67"/>
        <v>3878.5741314548168</v>
      </c>
      <c r="BI44" s="536">
        <f t="shared" si="67"/>
        <v>3399.570437175079</v>
      </c>
      <c r="BJ44" s="536">
        <f t="shared" si="67"/>
        <v>2991.0432671639355</v>
      </c>
      <c r="BK44" s="536">
        <f t="shared" si="67"/>
        <v>3381.9879917377366</v>
      </c>
      <c r="BL44" s="536">
        <f t="shared" si="67"/>
        <v>3889.3138404671231</v>
      </c>
      <c r="BM44" s="536">
        <f t="shared" si="67"/>
        <v>4375.1273347489223</v>
      </c>
      <c r="BN44" s="536">
        <f t="shared" si="67"/>
        <v>4458.1809762941602</v>
      </c>
      <c r="BO44" s="536">
        <f t="shared" si="67"/>
        <v>4432.9881058268184</v>
      </c>
      <c r="BP44" s="536">
        <f t="shared" si="67"/>
        <v>4653.4859460692842</v>
      </c>
      <c r="BQ44" s="536">
        <f t="shared" si="67"/>
        <v>4634.9246127287279</v>
      </c>
      <c r="BR44" s="536">
        <f t="shared" si="67"/>
        <v>4901.5142204538051</v>
      </c>
      <c r="BS44" s="536">
        <f t="shared" si="67"/>
        <v>5211.5754529654751</v>
      </c>
      <c r="BT44" s="536">
        <f t="shared" si="67"/>
        <v>5394.0355265662574</v>
      </c>
      <c r="BU44" s="536">
        <f t="shared" si="67"/>
        <v>5691.3609315626081</v>
      </c>
      <c r="BV44" s="536">
        <f t="shared" si="67"/>
        <v>5743.7262176461181</v>
      </c>
      <c r="BW44" s="536">
        <f t="shared" si="67"/>
        <v>5599.7137844958088</v>
      </c>
      <c r="BX44" s="536">
        <f t="shared" si="67"/>
        <v>5329.9430143442414</v>
      </c>
      <c r="BY44" s="536">
        <f t="shared" si="67"/>
        <v>5320.8945393681061</v>
      </c>
      <c r="BZ44" s="536">
        <f t="shared" si="67"/>
        <v>5340.9530509003744</v>
      </c>
      <c r="CA44" s="536">
        <f t="shared" si="67"/>
        <v>5414.0345527513045</v>
      </c>
      <c r="CB44" s="536">
        <f t="shared" si="67"/>
        <v>5545.9665212273467</v>
      </c>
      <c r="CC44" s="536">
        <f t="shared" si="67"/>
        <v>5698.4373858660529</v>
      </c>
      <c r="CD44" s="536">
        <f t="shared" si="67"/>
        <v>5808.7498265370614</v>
      </c>
      <c r="CE44" s="536">
        <f t="shared" si="67"/>
        <v>5924.3618053252612</v>
      </c>
      <c r="CF44" s="536">
        <f t="shared" si="67"/>
        <v>6049.361476791064</v>
      </c>
      <c r="CG44" s="536">
        <f t="shared" si="67"/>
        <v>6197.0353793399872</v>
      </c>
      <c r="CH44" s="536">
        <f t="shared" si="67"/>
        <v>6331.27095675696</v>
      </c>
      <c r="CI44" s="536">
        <f t="shared" si="67"/>
        <v>6472.2720072757465</v>
      </c>
      <c r="CJ44" s="536">
        <f t="shared" si="67"/>
        <v>6624.7223430966596</v>
      </c>
      <c r="CK44" s="536">
        <f t="shared" si="67"/>
        <v>6786.4416593354836</v>
      </c>
      <c r="CL44" s="536">
        <f t="shared" si="67"/>
        <v>6933.4445177965745</v>
      </c>
      <c r="CM44" s="536">
        <f t="shared" si="67"/>
        <v>7087.8563203241047</v>
      </c>
      <c r="CN44" s="536">
        <f t="shared" si="67"/>
        <v>7254.8063612168708</v>
      </c>
      <c r="CO44" s="536">
        <f t="shared" si="67"/>
        <v>7431.9069645959162</v>
      </c>
      <c r="DE44" s="234"/>
      <c r="DF44" s="234"/>
      <c r="DG44" s="234"/>
      <c r="DH44" s="234"/>
      <c r="DI44" s="234"/>
    </row>
    <row r="45" spans="1:119" s="545" customFormat="1" ht="15.75">
      <c r="A45" s="543" t="s">
        <v>604</v>
      </c>
      <c r="B45" s="477"/>
      <c r="C45" s="477"/>
      <c r="D45" s="477"/>
      <c r="E45" s="477"/>
      <c r="F45" s="477"/>
      <c r="G45" s="477"/>
      <c r="H45" s="477"/>
      <c r="I45" s="477"/>
      <c r="J45" s="477"/>
      <c r="K45" s="477"/>
      <c r="L45" s="477"/>
      <c r="M45" s="477"/>
      <c r="N45" s="477"/>
      <c r="O45" s="477"/>
      <c r="P45" s="477"/>
      <c r="Q45" s="477"/>
      <c r="R45" s="477"/>
      <c r="S45" s="477"/>
      <c r="T45" s="477"/>
      <c r="U45" s="477"/>
      <c r="V45" s="477"/>
      <c r="W45" s="477"/>
      <c r="X45" s="477"/>
      <c r="Y45" s="477"/>
      <c r="Z45" s="477"/>
      <c r="AA45" s="477"/>
      <c r="AB45" s="477"/>
      <c r="AC45" s="477"/>
      <c r="AD45" s="477"/>
      <c r="AE45" s="477"/>
      <c r="AF45" s="477"/>
      <c r="AG45" s="477"/>
      <c r="AH45" s="477"/>
      <c r="AI45" s="477"/>
      <c r="AJ45" s="477"/>
      <c r="AK45" s="477"/>
      <c r="AL45" s="477"/>
      <c r="AM45" s="477"/>
      <c r="AN45" s="477"/>
      <c r="AO45" s="477"/>
      <c r="AP45" s="477"/>
      <c r="AQ45" s="477"/>
      <c r="AR45" s="477"/>
      <c r="AS45" s="477"/>
      <c r="AT45" s="477"/>
      <c r="AU45" s="477"/>
      <c r="AV45" s="477"/>
      <c r="AW45" s="477"/>
      <c r="AX45" s="477"/>
      <c r="AY45" s="477"/>
      <c r="AZ45" s="477"/>
      <c r="BA45" s="477"/>
      <c r="BB45" s="477"/>
      <c r="BC45" s="477"/>
      <c r="BD45" s="477"/>
      <c r="BE45" s="477"/>
      <c r="BF45" s="477"/>
      <c r="BG45" s="477"/>
      <c r="BH45" s="571"/>
      <c r="BI45" s="571"/>
      <c r="BJ45" s="571"/>
      <c r="BK45" s="571"/>
      <c r="BL45" s="571"/>
      <c r="BM45" s="571"/>
      <c r="BN45" s="571"/>
      <c r="BO45" s="571"/>
      <c r="BP45" s="571"/>
      <c r="BQ45" s="571"/>
      <c r="BR45" s="571"/>
      <c r="BS45" s="571"/>
      <c r="BT45" s="571"/>
      <c r="BU45" s="571"/>
      <c r="BV45" s="571"/>
      <c r="BW45" s="571"/>
      <c r="BX45" s="571"/>
      <c r="BY45" s="571"/>
      <c r="BZ45" s="571"/>
      <c r="CA45" s="571"/>
      <c r="CB45" s="571"/>
      <c r="CC45" s="571"/>
      <c r="CD45" s="571"/>
      <c r="CE45" s="571"/>
      <c r="CF45" s="571"/>
      <c r="CG45" s="571"/>
      <c r="CH45" s="571"/>
      <c r="CI45" s="571"/>
      <c r="CJ45" s="571"/>
      <c r="CK45" s="571"/>
      <c r="CL45" s="571"/>
      <c r="CM45" s="571"/>
      <c r="CN45" s="571"/>
      <c r="CO45" s="571"/>
      <c r="CP45" s="479"/>
      <c r="CQ45" s="479"/>
      <c r="CR45" s="477"/>
      <c r="CS45" s="477"/>
      <c r="CT45" s="477"/>
      <c r="CU45" s="477"/>
      <c r="CV45" s="477"/>
      <c r="CW45" s="477"/>
      <c r="CX45" s="477"/>
      <c r="CY45" s="477"/>
      <c r="CZ45" s="477"/>
      <c r="DA45" s="477"/>
      <c r="DB45" s="477"/>
      <c r="DC45" s="477"/>
      <c r="DD45" s="477"/>
      <c r="DE45" s="477"/>
      <c r="DF45" s="477"/>
      <c r="DG45" s="477"/>
      <c r="DH45" s="477"/>
      <c r="DI45" s="477"/>
      <c r="DJ45" s="477"/>
      <c r="DK45" s="477"/>
      <c r="DL45" s="477"/>
      <c r="DM45" s="477"/>
      <c r="DN45" s="477"/>
      <c r="DO45" s="479"/>
    </row>
    <row r="46" spans="1:119">
      <c r="A46" s="504" t="s">
        <v>599</v>
      </c>
      <c r="B46" s="546">
        <f t="shared" ref="B46:AG46" si="68">B35+B5</f>
        <v>21675</v>
      </c>
      <c r="C46" s="546">
        <f t="shared" si="68"/>
        <v>17300</v>
      </c>
      <c r="D46" s="546">
        <f t="shared" si="68"/>
        <v>20950</v>
      </c>
      <c r="E46" s="546">
        <f t="shared" si="68"/>
        <v>15100</v>
      </c>
      <c r="F46" s="546">
        <f t="shared" si="68"/>
        <v>15160</v>
      </c>
      <c r="G46" s="546">
        <f t="shared" si="68"/>
        <v>16080</v>
      </c>
      <c r="H46" s="546">
        <f t="shared" si="68"/>
        <v>17960</v>
      </c>
      <c r="I46" s="546">
        <f t="shared" si="68"/>
        <v>21400</v>
      </c>
      <c r="J46" s="546">
        <f t="shared" si="68"/>
        <v>21900</v>
      </c>
      <c r="K46" s="546">
        <f t="shared" si="68"/>
        <v>17025</v>
      </c>
      <c r="L46" s="546">
        <f t="shared" si="68"/>
        <v>16700</v>
      </c>
      <c r="M46" s="546">
        <f t="shared" si="68"/>
        <v>16800</v>
      </c>
      <c r="N46" s="546">
        <f t="shared" si="68"/>
        <v>18675</v>
      </c>
      <c r="O46" s="546">
        <f t="shared" si="68"/>
        <v>19145</v>
      </c>
      <c r="P46" s="546">
        <f t="shared" si="68"/>
        <v>19300</v>
      </c>
      <c r="Q46" s="546">
        <f t="shared" si="68"/>
        <v>17900</v>
      </c>
      <c r="R46" s="546">
        <f t="shared" si="68"/>
        <v>18050</v>
      </c>
      <c r="S46" s="546">
        <f t="shared" si="68"/>
        <v>18600</v>
      </c>
      <c r="T46" s="546">
        <f t="shared" si="68"/>
        <v>22250</v>
      </c>
      <c r="U46" s="546">
        <f t="shared" si="68"/>
        <v>18525</v>
      </c>
      <c r="V46" s="546">
        <f t="shared" si="68"/>
        <v>19185</v>
      </c>
      <c r="W46" s="546">
        <f t="shared" si="68"/>
        <v>17660</v>
      </c>
      <c r="X46" s="546">
        <f t="shared" si="68"/>
        <v>18075</v>
      </c>
      <c r="Y46" s="546">
        <f t="shared" si="68"/>
        <v>18700</v>
      </c>
      <c r="Z46" s="546">
        <f t="shared" si="68"/>
        <v>16708.515283842797</v>
      </c>
      <c r="AA46" s="546">
        <f t="shared" si="68"/>
        <v>15316.828955797566</v>
      </c>
      <c r="AB46" s="546">
        <f t="shared" si="68"/>
        <v>17353.488372093023</v>
      </c>
      <c r="AC46" s="546">
        <f t="shared" si="68"/>
        <v>17794.521963824289</v>
      </c>
      <c r="AD46" s="546">
        <f t="shared" si="68"/>
        <v>15402.15676728335</v>
      </c>
      <c r="AE46" s="546">
        <f t="shared" si="68"/>
        <v>12913.150087260034</v>
      </c>
      <c r="AF46" s="546">
        <f t="shared" si="68"/>
        <v>15675.989216092907</v>
      </c>
      <c r="AG46" s="546">
        <f t="shared" si="68"/>
        <v>16996.915979583824</v>
      </c>
      <c r="AH46" s="546">
        <f t="shared" ref="AH46:BM46" si="69">AH35+AH5</f>
        <v>14410.292275574113</v>
      </c>
      <c r="AI46" s="546">
        <f t="shared" si="69"/>
        <v>11517.498095963441</v>
      </c>
      <c r="AJ46" s="546">
        <f t="shared" si="69"/>
        <v>16033.466819221969</v>
      </c>
      <c r="AK46" s="546">
        <f t="shared" si="69"/>
        <v>17437.878787878788</v>
      </c>
      <c r="AL46" s="546">
        <f t="shared" si="69"/>
        <v>12898.863636363636</v>
      </c>
      <c r="AM46" s="546">
        <f t="shared" si="69"/>
        <v>14260.801096385883</v>
      </c>
      <c r="AN46" s="546">
        <f t="shared" si="69"/>
        <v>18432.60407777919</v>
      </c>
      <c r="AO46" s="546">
        <f t="shared" si="69"/>
        <v>17346.102790379715</v>
      </c>
      <c r="AP46" s="546">
        <f t="shared" si="69"/>
        <v>15525.042584706536</v>
      </c>
      <c r="AQ46" s="546">
        <f t="shared" si="69"/>
        <v>14320.434445918594</v>
      </c>
      <c r="AR46" s="546">
        <f t="shared" si="69"/>
        <v>14946.711073135171</v>
      </c>
      <c r="AS46" s="546">
        <f t="shared" si="69"/>
        <v>13226.026117343936</v>
      </c>
      <c r="AT46" s="546">
        <f t="shared" si="69"/>
        <v>12057.795505530132</v>
      </c>
      <c r="AU46" s="546">
        <f t="shared" si="69"/>
        <v>12045.797393521781</v>
      </c>
      <c r="AV46" s="546">
        <f t="shared" si="69"/>
        <v>16713.744495258732</v>
      </c>
      <c r="AW46" s="546">
        <f t="shared" si="69"/>
        <v>16312.309064614303</v>
      </c>
      <c r="AX46" s="546">
        <f t="shared" si="69"/>
        <v>14002.97903945384</v>
      </c>
      <c r="AY46" s="546">
        <f t="shared" si="69"/>
        <v>16576.76400566777</v>
      </c>
      <c r="AZ46" s="546">
        <f t="shared" si="69"/>
        <v>18384.009549495</v>
      </c>
      <c r="BA46" s="546">
        <f t="shared" si="69"/>
        <v>16953.294181134046</v>
      </c>
      <c r="BB46" s="546">
        <f t="shared" si="69"/>
        <v>17176.299722910328</v>
      </c>
      <c r="BC46" s="546">
        <f t="shared" si="69"/>
        <v>17548.797413540877</v>
      </c>
      <c r="BD46" s="546">
        <f t="shared" si="69"/>
        <v>19615.680974016439</v>
      </c>
      <c r="BE46" s="546">
        <f t="shared" si="69"/>
        <v>18916.653482706097</v>
      </c>
      <c r="BF46" s="546">
        <f t="shared" si="69"/>
        <v>19389.156100278298</v>
      </c>
      <c r="BG46" s="546">
        <f t="shared" si="69"/>
        <v>14459.139784946237</v>
      </c>
      <c r="BH46" s="546">
        <f t="shared" si="69"/>
        <v>11338.8671875</v>
      </c>
      <c r="BI46" s="546">
        <f t="shared" si="69"/>
        <v>10168.073878627969</v>
      </c>
      <c r="BJ46" s="546">
        <f t="shared" si="69"/>
        <v>9939.3264733395699</v>
      </c>
      <c r="BK46" s="546">
        <f t="shared" si="69"/>
        <v>10515.195225090301</v>
      </c>
      <c r="BL46" s="546">
        <f t="shared" si="69"/>
        <v>13099.587132725432</v>
      </c>
      <c r="BM46" s="546">
        <f t="shared" si="69"/>
        <v>12792.975592246949</v>
      </c>
      <c r="BN46" s="546">
        <f t="shared" ref="BN46:CO46" si="70">BN35+BN5</f>
        <v>11488.497063903282</v>
      </c>
      <c r="BO46" s="546">
        <f t="shared" si="70"/>
        <v>13045.31320580779</v>
      </c>
      <c r="BP46" s="546">
        <f t="shared" si="70"/>
        <v>13610.962116297776</v>
      </c>
      <c r="BQ46" s="546">
        <f t="shared" si="70"/>
        <v>11309.376272441237</v>
      </c>
      <c r="BR46" s="546">
        <f t="shared" si="70"/>
        <v>13157.35422495803</v>
      </c>
      <c r="BS46" s="546">
        <f t="shared" si="70"/>
        <v>14841.548318398956</v>
      </c>
      <c r="BT46" s="546">
        <f t="shared" si="70"/>
        <v>15024.459585437118</v>
      </c>
      <c r="BU46" s="546">
        <f t="shared" si="70"/>
        <v>12755.255948561477</v>
      </c>
      <c r="BV46" s="547">
        <f t="shared" si="70"/>
        <v>11623.835472676557</v>
      </c>
      <c r="BW46" s="547">
        <f t="shared" si="70"/>
        <v>11623.835472676557</v>
      </c>
      <c r="BX46" s="547">
        <f t="shared" si="70"/>
        <v>11972.550536856856</v>
      </c>
      <c r="BY46" s="547">
        <f t="shared" si="70"/>
        <v>12331.727052962562</v>
      </c>
      <c r="BZ46" s="547">
        <f t="shared" si="70"/>
        <v>11345.188888725559</v>
      </c>
      <c r="CA46" s="547">
        <f t="shared" si="70"/>
        <v>11750.24384567458</v>
      </c>
      <c r="CB46" s="547">
        <f t="shared" si="70"/>
        <v>12455.258476415056</v>
      </c>
      <c r="CC46" s="547">
        <f t="shared" si="70"/>
        <v>12828.916230707509</v>
      </c>
      <c r="CD46" s="547">
        <f t="shared" si="70"/>
        <v>11546.024607636758</v>
      </c>
      <c r="CE46" s="547">
        <f t="shared" si="70"/>
        <v>12007.865591942229</v>
      </c>
      <c r="CF46" s="547">
        <f t="shared" si="70"/>
        <v>12728.337527458763</v>
      </c>
      <c r="CG46" s="547">
        <f t="shared" si="70"/>
        <v>13237.471028557113</v>
      </c>
      <c r="CH46" s="547">
        <f t="shared" si="70"/>
        <v>11913.723925701403</v>
      </c>
      <c r="CI46" s="547">
        <f t="shared" si="70"/>
        <v>12390.27288272946</v>
      </c>
      <c r="CJ46" s="547">
        <f t="shared" si="70"/>
        <v>13133.689255693227</v>
      </c>
      <c r="CK46" s="547">
        <f t="shared" si="70"/>
        <v>13659.036825920957</v>
      </c>
      <c r="CL46" s="547">
        <f t="shared" si="70"/>
        <v>12293.133143328861</v>
      </c>
      <c r="CM46" s="547">
        <f t="shared" si="70"/>
        <v>12784.858469062016</v>
      </c>
      <c r="CN46" s="547">
        <f t="shared" si="70"/>
        <v>13551.949977205739</v>
      </c>
      <c r="CO46" s="547">
        <f t="shared" si="70"/>
        <v>14094.027976293968</v>
      </c>
      <c r="CP46" s="485"/>
      <c r="CQ46" s="561"/>
      <c r="CR46" s="546">
        <f>SUM(B46:E46)</f>
        <v>75025</v>
      </c>
      <c r="CS46" s="546">
        <f>SUM(F46:I46)</f>
        <v>70600</v>
      </c>
      <c r="CT46" s="546">
        <f>SUM(J46:M46)</f>
        <v>72425</v>
      </c>
      <c r="CU46" s="546">
        <f>SUM(N46:Q46)</f>
        <v>75020</v>
      </c>
      <c r="CV46" s="546">
        <f>SUM(R46:U46)</f>
        <v>77425</v>
      </c>
      <c r="CW46" s="546">
        <f>SUM(V46:Y46)</f>
        <v>73620</v>
      </c>
      <c r="CX46" s="546">
        <f>SUM(Z46:AC46)</f>
        <v>67173.354575557678</v>
      </c>
      <c r="CY46" s="546">
        <f>SUM(AD46:AG46)</f>
        <v>60988.212050220114</v>
      </c>
      <c r="CZ46" s="546">
        <f>SUM(AH46:AK46)</f>
        <v>59399.135978638311</v>
      </c>
      <c r="DA46" s="546">
        <f>SUM(AL46:AO46)</f>
        <v>62938.371600908424</v>
      </c>
      <c r="DB46" s="546">
        <f>SUM(AP46:AS46)</f>
        <v>58018.214221104237</v>
      </c>
      <c r="DC46" s="546">
        <f>AT46+AU46+AV46+AW46</f>
        <v>57129.646458924944</v>
      </c>
      <c r="DD46" s="546">
        <f>AX46+AY46+AZ46+BA46</f>
        <v>65917.046775750656</v>
      </c>
      <c r="DE46" s="546">
        <f>BB46+BC46+BD46+BE46</f>
        <v>73257.431593173736</v>
      </c>
      <c r="DF46" s="546">
        <f>+SUM(BF46:BI46)</f>
        <v>55355.236951352505</v>
      </c>
      <c r="DG46" s="546">
        <f>+SUM(BJ46:BM46)</f>
        <v>46347.084423402252</v>
      </c>
      <c r="DH46" s="546">
        <f>+SUM(BN46:BQ46)</f>
        <v>49454.148658450089</v>
      </c>
      <c r="DI46" s="546">
        <f>+SUM(BR46:BU46)</f>
        <v>55778.618077355582</v>
      </c>
      <c r="DJ46" s="547">
        <f>SUM(BV46:BY46)</f>
        <v>47551.948535172531</v>
      </c>
      <c r="DK46" s="547">
        <f>SUM(BZ46:CC46)</f>
        <v>48379.607441522705</v>
      </c>
      <c r="DL46" s="547">
        <f>SUM(CD46:CG46)</f>
        <v>49519.698755594865</v>
      </c>
      <c r="DM46" s="547">
        <f>SUM(CH46:CK46)</f>
        <v>51096.72289004505</v>
      </c>
      <c r="DN46" s="547">
        <f>SUM(CL46:CO46)</f>
        <v>52723.969565890584</v>
      </c>
    </row>
    <row r="47" spans="1:119" s="551" customFormat="1">
      <c r="A47" s="92" t="s">
        <v>223</v>
      </c>
      <c r="B47" s="488"/>
      <c r="C47" s="488">
        <f t="shared" ref="C47:BN47" si="71">C46/B46-1</f>
        <v>-0.20184544405997695</v>
      </c>
      <c r="D47" s="488">
        <f t="shared" si="71"/>
        <v>0.21098265895953761</v>
      </c>
      <c r="E47" s="488">
        <f t="shared" si="71"/>
        <v>-0.27923627684964203</v>
      </c>
      <c r="F47" s="488">
        <f t="shared" si="71"/>
        <v>3.9735099337747659E-3</v>
      </c>
      <c r="G47" s="488">
        <f t="shared" si="71"/>
        <v>6.0686015831134643E-2</v>
      </c>
      <c r="H47" s="488">
        <f t="shared" si="71"/>
        <v>0.11691542288557222</v>
      </c>
      <c r="I47" s="488">
        <f t="shared" si="71"/>
        <v>0.19153674832962131</v>
      </c>
      <c r="J47" s="488">
        <f t="shared" si="71"/>
        <v>2.3364485981308469E-2</v>
      </c>
      <c r="K47" s="488">
        <f t="shared" si="71"/>
        <v>-0.2226027397260274</v>
      </c>
      <c r="L47" s="488">
        <f t="shared" si="71"/>
        <v>-1.9089574155653488E-2</v>
      </c>
      <c r="M47" s="488">
        <f t="shared" si="71"/>
        <v>5.9880239520957446E-3</v>
      </c>
      <c r="N47" s="488">
        <f t="shared" si="71"/>
        <v>0.11160714285714279</v>
      </c>
      <c r="O47" s="488">
        <f t="shared" si="71"/>
        <v>2.5167336010709418E-2</v>
      </c>
      <c r="P47" s="488">
        <f t="shared" si="71"/>
        <v>8.0961086445547892E-3</v>
      </c>
      <c r="Q47" s="488">
        <f t="shared" si="71"/>
        <v>-7.2538860103626979E-2</v>
      </c>
      <c r="R47" s="488">
        <f t="shared" si="71"/>
        <v>8.379888268156499E-3</v>
      </c>
      <c r="S47" s="488">
        <f t="shared" si="71"/>
        <v>3.0470914127423754E-2</v>
      </c>
      <c r="T47" s="488">
        <f t="shared" si="71"/>
        <v>0.19623655913978499</v>
      </c>
      <c r="U47" s="488">
        <f t="shared" si="71"/>
        <v>-0.16741573033707868</v>
      </c>
      <c r="V47" s="488">
        <f t="shared" si="71"/>
        <v>3.5627530364372495E-2</v>
      </c>
      <c r="W47" s="488">
        <f t="shared" si="71"/>
        <v>-7.948918425853535E-2</v>
      </c>
      <c r="X47" s="488">
        <f t="shared" si="71"/>
        <v>2.349943374858432E-2</v>
      </c>
      <c r="Y47" s="488">
        <f t="shared" si="71"/>
        <v>3.4578146611341731E-2</v>
      </c>
      <c r="Z47" s="488">
        <f t="shared" si="71"/>
        <v>-0.10649650888541196</v>
      </c>
      <c r="AA47" s="488">
        <f t="shared" si="71"/>
        <v>-8.329204028026338E-2</v>
      </c>
      <c r="AB47" s="488">
        <f t="shared" si="71"/>
        <v>0.13296873799224374</v>
      </c>
      <c r="AC47" s="488">
        <f t="shared" si="71"/>
        <v>2.5414693707376701E-2</v>
      </c>
      <c r="AD47" s="488">
        <f t="shared" si="71"/>
        <v>-0.13444391489721064</v>
      </c>
      <c r="AE47" s="488">
        <f t="shared" si="71"/>
        <v>-0.16160117817462849</v>
      </c>
      <c r="AF47" s="488">
        <f t="shared" si="71"/>
        <v>0.21395547253482783</v>
      </c>
      <c r="AG47" s="488">
        <f t="shared" si="71"/>
        <v>8.4264332239706974E-2</v>
      </c>
      <c r="AH47" s="488">
        <f t="shared" si="71"/>
        <v>-0.15218194330763801</v>
      </c>
      <c r="AI47" s="488">
        <f t="shared" si="71"/>
        <v>-0.20074500393819539</v>
      </c>
      <c r="AJ47" s="488">
        <f t="shared" si="71"/>
        <v>0.39209632904920966</v>
      </c>
      <c r="AK47" s="488">
        <f t="shared" si="71"/>
        <v>8.759253282472379E-2</v>
      </c>
      <c r="AL47" s="488">
        <f t="shared" si="71"/>
        <v>-0.26029628986010955</v>
      </c>
      <c r="AM47" s="488">
        <f t="shared" si="71"/>
        <v>0.1055858483675074</v>
      </c>
      <c r="AN47" s="488">
        <f t="shared" si="71"/>
        <v>0.29253636967495233</v>
      </c>
      <c r="AO47" s="488">
        <f t="shared" si="71"/>
        <v>-5.8944535607384441E-2</v>
      </c>
      <c r="AP47" s="488">
        <f t="shared" si="71"/>
        <v>-0.10498382418690344</v>
      </c>
      <c r="AQ47" s="488">
        <f t="shared" si="71"/>
        <v>-7.7591293693106023E-2</v>
      </c>
      <c r="AR47" s="488">
        <f t="shared" si="71"/>
        <v>4.3733074550337481E-2</v>
      </c>
      <c r="AS47" s="488">
        <f t="shared" si="71"/>
        <v>-0.11512130978994772</v>
      </c>
      <c r="AT47" s="488">
        <f t="shared" si="71"/>
        <v>-8.8328164593735825E-2</v>
      </c>
      <c r="AU47" s="488">
        <f t="shared" si="71"/>
        <v>-9.9505021484624923E-4</v>
      </c>
      <c r="AV47" s="488">
        <f t="shared" si="71"/>
        <v>0.38751665408612701</v>
      </c>
      <c r="AW47" s="488">
        <f t="shared" si="71"/>
        <v>-2.4018282124529722E-2</v>
      </c>
      <c r="AX47" s="488">
        <f t="shared" si="71"/>
        <v>-0.1415697812009955</v>
      </c>
      <c r="AY47" s="488">
        <f t="shared" si="71"/>
        <v>0.18380267220012314</v>
      </c>
      <c r="AZ47" s="488">
        <f t="shared" si="71"/>
        <v>0.10902281912255685</v>
      </c>
      <c r="BA47" s="488">
        <f t="shared" si="71"/>
        <v>-7.7823902588228133E-2</v>
      </c>
      <c r="BB47" s="488">
        <f t="shared" si="71"/>
        <v>1.3154112669409468E-2</v>
      </c>
      <c r="BC47" s="488">
        <f t="shared" si="71"/>
        <v>2.1686725117733063E-2</v>
      </c>
      <c r="BD47" s="488">
        <f t="shared" si="71"/>
        <v>0.1177792136845075</v>
      </c>
      <c r="BE47" s="488">
        <f t="shared" si="71"/>
        <v>-3.5636157227286525E-2</v>
      </c>
      <c r="BF47" s="488">
        <f t="shared" si="71"/>
        <v>2.4978129350636591E-2</v>
      </c>
      <c r="BG47" s="488">
        <f>BG46/BF46-1</f>
        <v>-0.2542666782316173</v>
      </c>
      <c r="BH47" s="488">
        <f>BH46/BG46-1</f>
        <v>-0.21579932443109995</v>
      </c>
      <c r="BI47" s="488">
        <f t="shared" si="71"/>
        <v>-0.10325487454008786</v>
      </c>
      <c r="BJ47" s="488">
        <f t="shared" si="71"/>
        <v>-2.2496630927239636E-2</v>
      </c>
      <c r="BK47" s="488">
        <f t="shared" si="71"/>
        <v>5.7938407928886715E-2</v>
      </c>
      <c r="BL47" s="488">
        <f t="shared" si="71"/>
        <v>0.24577688310232371</v>
      </c>
      <c r="BM47" s="488">
        <f t="shared" si="71"/>
        <v>-2.3406198788701205E-2</v>
      </c>
      <c r="BN47" s="488">
        <f t="shared" si="71"/>
        <v>-0.10196834340356531</v>
      </c>
      <c r="BO47" s="488">
        <f t="shared" ref="BO47:CO47" si="72">BO46/BN46-1</f>
        <v>0.13551086214714769</v>
      </c>
      <c r="BP47" s="488">
        <f t="shared" si="72"/>
        <v>4.3360316580069558E-2</v>
      </c>
      <c r="BQ47" s="488">
        <f t="shared" si="72"/>
        <v>-0.16909795385446103</v>
      </c>
      <c r="BR47" s="488">
        <f t="shared" si="72"/>
        <v>0.1634022874470944</v>
      </c>
      <c r="BS47" s="488">
        <f t="shared" si="72"/>
        <v>0.12800400936581902</v>
      </c>
      <c r="BT47" s="488">
        <f t="shared" si="72"/>
        <v>1.2324271236000994E-2</v>
      </c>
      <c r="BU47" s="488">
        <f t="shared" si="72"/>
        <v>-0.15103396058751628</v>
      </c>
      <c r="BV47" s="489">
        <f t="shared" si="72"/>
        <v>-8.8702294994913E-2</v>
      </c>
      <c r="BW47" s="489">
        <f t="shared" si="72"/>
        <v>0</v>
      </c>
      <c r="BX47" s="489">
        <f t="shared" si="72"/>
        <v>3.0000000000000027E-2</v>
      </c>
      <c r="BY47" s="489">
        <f t="shared" si="72"/>
        <v>3.0000000000000027E-2</v>
      </c>
      <c r="BZ47" s="489">
        <f t="shared" si="72"/>
        <v>-7.9999999999999849E-2</v>
      </c>
      <c r="CA47" s="489">
        <f t="shared" si="72"/>
        <v>3.5702795336580939E-2</v>
      </c>
      <c r="CB47" s="489">
        <f t="shared" si="72"/>
        <v>6.0000000000000053E-2</v>
      </c>
      <c r="CC47" s="489">
        <f t="shared" si="72"/>
        <v>3.0000000000000027E-2</v>
      </c>
      <c r="CD47" s="489">
        <f t="shared" si="72"/>
        <v>-9.9999999999999978E-2</v>
      </c>
      <c r="CE47" s="489">
        <f t="shared" si="72"/>
        <v>4.0000000000000036E-2</v>
      </c>
      <c r="CF47" s="489">
        <f t="shared" si="72"/>
        <v>6.0000000000000053E-2</v>
      </c>
      <c r="CG47" s="489">
        <f t="shared" si="72"/>
        <v>3.9999999999999813E-2</v>
      </c>
      <c r="CH47" s="489">
        <f t="shared" si="72"/>
        <v>-9.9999999999999867E-2</v>
      </c>
      <c r="CI47" s="489">
        <f t="shared" si="72"/>
        <v>4.0000000000000036E-2</v>
      </c>
      <c r="CJ47" s="489">
        <f t="shared" si="72"/>
        <v>6.0000000000000053E-2</v>
      </c>
      <c r="CK47" s="489">
        <f t="shared" si="72"/>
        <v>4.0000000000000036E-2</v>
      </c>
      <c r="CL47" s="489">
        <f t="shared" si="72"/>
        <v>-9.9999999999999978E-2</v>
      </c>
      <c r="CM47" s="489">
        <f t="shared" si="72"/>
        <v>4.0000000000000036E-2</v>
      </c>
      <c r="CN47" s="489">
        <f t="shared" si="72"/>
        <v>6.0000000000000275E-2</v>
      </c>
      <c r="CO47" s="489">
        <f t="shared" si="72"/>
        <v>4.0000000000000036E-2</v>
      </c>
      <c r="CP47" s="550"/>
      <c r="CQ47" s="92"/>
      <c r="CR47" s="493"/>
      <c r="CS47" s="493"/>
      <c r="CT47" s="493"/>
      <c r="CU47" s="493"/>
      <c r="CV47" s="493"/>
      <c r="CW47" s="493"/>
      <c r="CX47" s="493"/>
      <c r="CY47" s="493"/>
      <c r="CZ47" s="493"/>
      <c r="DA47" s="493"/>
      <c r="DB47" s="493"/>
      <c r="DC47" s="493"/>
      <c r="DD47" s="493"/>
      <c r="DE47" s="493"/>
      <c r="DF47" s="493"/>
      <c r="DG47" s="493"/>
      <c r="DH47" s="493"/>
      <c r="DI47" s="493"/>
      <c r="DJ47" s="497"/>
      <c r="DK47" s="497"/>
      <c r="DL47" s="497"/>
      <c r="DM47" s="497"/>
      <c r="DN47" s="497"/>
      <c r="DO47" s="550"/>
    </row>
    <row r="48" spans="1:119" s="551" customFormat="1">
      <c r="A48" s="92" t="s">
        <v>225</v>
      </c>
      <c r="B48" s="488"/>
      <c r="C48" s="488"/>
      <c r="D48" s="488"/>
      <c r="E48" s="488"/>
      <c r="F48" s="488">
        <f t="shared" ref="F48:BQ48" si="73">F46/B46-1</f>
        <v>-0.30057670126874281</v>
      </c>
      <c r="G48" s="488">
        <f t="shared" si="73"/>
        <v>-7.0520231213872853E-2</v>
      </c>
      <c r="H48" s="488">
        <f t="shared" si="73"/>
        <v>-0.14272076372315035</v>
      </c>
      <c r="I48" s="488">
        <f t="shared" si="73"/>
        <v>0.41721854304635753</v>
      </c>
      <c r="J48" s="488">
        <f t="shared" si="73"/>
        <v>0.4445910290237467</v>
      </c>
      <c r="K48" s="488">
        <f t="shared" si="73"/>
        <v>5.8768656716417844E-2</v>
      </c>
      <c r="L48" s="488">
        <f t="shared" si="73"/>
        <v>-7.0155902004454318E-2</v>
      </c>
      <c r="M48" s="488">
        <f t="shared" si="73"/>
        <v>-0.21495327102803741</v>
      </c>
      <c r="N48" s="488">
        <f t="shared" si="73"/>
        <v>-0.14726027397260277</v>
      </c>
      <c r="O48" s="488">
        <f t="shared" si="73"/>
        <v>0.12452276064610857</v>
      </c>
      <c r="P48" s="488">
        <f t="shared" si="73"/>
        <v>0.15568862275449091</v>
      </c>
      <c r="Q48" s="488">
        <f t="shared" si="73"/>
        <v>6.5476190476190466E-2</v>
      </c>
      <c r="R48" s="488">
        <f t="shared" si="73"/>
        <v>-3.3467202141900909E-2</v>
      </c>
      <c r="S48" s="488">
        <f t="shared" si="73"/>
        <v>-2.8466962653434291E-2</v>
      </c>
      <c r="T48" s="488">
        <f t="shared" si="73"/>
        <v>0.15284974093264259</v>
      </c>
      <c r="U48" s="488">
        <f t="shared" si="73"/>
        <v>3.4916201117318524E-2</v>
      </c>
      <c r="V48" s="488">
        <f t="shared" si="73"/>
        <v>6.2880886426592841E-2</v>
      </c>
      <c r="W48" s="488">
        <f t="shared" si="73"/>
        <v>-5.053763440860215E-2</v>
      </c>
      <c r="X48" s="488">
        <f t="shared" si="73"/>
        <v>-0.18764044943820224</v>
      </c>
      <c r="Y48" s="488">
        <f t="shared" si="73"/>
        <v>9.4466936572199511E-3</v>
      </c>
      <c r="Z48" s="488">
        <f t="shared" si="73"/>
        <v>-0.1290844261744698</v>
      </c>
      <c r="AA48" s="488">
        <f t="shared" si="73"/>
        <v>-0.13268239208394306</v>
      </c>
      <c r="AB48" s="488">
        <f t="shared" si="73"/>
        <v>-3.9917655762488402E-2</v>
      </c>
      <c r="AC48" s="488">
        <f t="shared" si="73"/>
        <v>-4.8421285356989863E-2</v>
      </c>
      <c r="AD48" s="488">
        <f t="shared" si="73"/>
        <v>-7.8185194457265794E-2</v>
      </c>
      <c r="AE48" s="488">
        <f t="shared" si="73"/>
        <v>-0.15693058109313918</v>
      </c>
      <c r="AF48" s="488">
        <f t="shared" si="73"/>
        <v>-9.6666394677036971E-2</v>
      </c>
      <c r="AG48" s="488">
        <f t="shared" si="73"/>
        <v>-4.4823119489355912E-2</v>
      </c>
      <c r="AH48" s="488">
        <f t="shared" si="73"/>
        <v>-6.4397766280117064E-2</v>
      </c>
      <c r="AI48" s="488">
        <f t="shared" si="73"/>
        <v>-0.10807990164023007</v>
      </c>
      <c r="AJ48" s="488">
        <f t="shared" si="73"/>
        <v>2.2804149594723988E-2</v>
      </c>
      <c r="AK48" s="488">
        <f t="shared" si="73"/>
        <v>2.5943695245927767E-2</v>
      </c>
      <c r="AL48" s="488">
        <f t="shared" si="73"/>
        <v>-0.10488535626528506</v>
      </c>
      <c r="AM48" s="488">
        <f t="shared" si="73"/>
        <v>0.2381856699749656</v>
      </c>
      <c r="AN48" s="488">
        <f t="shared" si="73"/>
        <v>0.14963309467675323</v>
      </c>
      <c r="AO48" s="488">
        <f t="shared" si="73"/>
        <v>-5.2630253149177353E-3</v>
      </c>
      <c r="AP48" s="488">
        <f t="shared" si="73"/>
        <v>0.2035976984002954</v>
      </c>
      <c r="AQ48" s="488">
        <f t="shared" si="73"/>
        <v>4.1816269036825116E-3</v>
      </c>
      <c r="AR48" s="488">
        <f t="shared" si="73"/>
        <v>-0.18911560135153771</v>
      </c>
      <c r="AS48" s="488">
        <f t="shared" si="73"/>
        <v>-0.23752174899602263</v>
      </c>
      <c r="AT48" s="488">
        <f t="shared" si="73"/>
        <v>-0.2233325326007114</v>
      </c>
      <c r="AU48" s="488">
        <f t="shared" si="73"/>
        <v>-0.15883855067295793</v>
      </c>
      <c r="AV48" s="488">
        <f t="shared" si="73"/>
        <v>0.11822222383756253</v>
      </c>
      <c r="AW48" s="488">
        <f t="shared" si="73"/>
        <v>0.23334922522368018</v>
      </c>
      <c r="AX48" s="488">
        <f t="shared" si="73"/>
        <v>0.16132165560707823</v>
      </c>
      <c r="AY48" s="488">
        <f t="shared" si="73"/>
        <v>0.37614501258195987</v>
      </c>
      <c r="AZ48" s="488">
        <f t="shared" si="73"/>
        <v>9.9933623773540425E-2</v>
      </c>
      <c r="BA48" s="488">
        <f t="shared" si="73"/>
        <v>3.9294566696888467E-2</v>
      </c>
      <c r="BB48" s="488">
        <f t="shared" si="73"/>
        <v>0.22661754148996116</v>
      </c>
      <c r="BC48" s="488">
        <f t="shared" si="73"/>
        <v>5.8638308872633882E-2</v>
      </c>
      <c r="BD48" s="488">
        <f t="shared" si="73"/>
        <v>6.6996887768439706E-2</v>
      </c>
      <c r="BE48" s="488">
        <f t="shared" si="73"/>
        <v>0.11580989986930779</v>
      </c>
      <c r="BF48" s="488">
        <f t="shared" si="73"/>
        <v>0.12883196107811212</v>
      </c>
      <c r="BG48" s="488">
        <f>BG46/BC46-1</f>
        <v>-0.1760609320277764</v>
      </c>
      <c r="BH48" s="488">
        <f>BH46/BD46-1</f>
        <v>-0.42194883764066982</v>
      </c>
      <c r="BI48" s="488">
        <f t="shared" si="73"/>
        <v>-0.46248030139560459</v>
      </c>
      <c r="BJ48" s="488">
        <f t="shared" si="73"/>
        <v>-0.48737704612131583</v>
      </c>
      <c r="BK48" s="488">
        <f t="shared" si="73"/>
        <v>-0.27276481301896482</v>
      </c>
      <c r="BL48" s="488">
        <f t="shared" si="73"/>
        <v>0.15528182102410137</v>
      </c>
      <c r="BM48" s="488">
        <f t="shared" si="73"/>
        <v>0.25815132196631629</v>
      </c>
      <c r="BN48" s="488">
        <f t="shared" si="73"/>
        <v>0.15586273322634892</v>
      </c>
      <c r="BO48" s="488">
        <f t="shared" si="73"/>
        <v>0.24061540718524888</v>
      </c>
      <c r="BP48" s="488">
        <f t="shared" si="73"/>
        <v>3.9037488616326499E-2</v>
      </c>
      <c r="BQ48" s="488">
        <f t="shared" si="73"/>
        <v>-0.11596983900327551</v>
      </c>
      <c r="BR48" s="488">
        <f t="shared" ref="BR48:CO48" si="74">BR46/BN46-1</f>
        <v>0.14526331440674478</v>
      </c>
      <c r="BS48" s="488">
        <f t="shared" si="74"/>
        <v>0.13769198824536311</v>
      </c>
      <c r="BT48" s="488">
        <f t="shared" si="74"/>
        <v>0.1038499304503111</v>
      </c>
      <c r="BU48" s="488">
        <f t="shared" si="74"/>
        <v>0.127847870765744</v>
      </c>
      <c r="BV48" s="489">
        <f t="shared" si="74"/>
        <v>-0.1165522130104667</v>
      </c>
      <c r="BW48" s="489">
        <f t="shared" si="74"/>
        <v>-0.21680439107107341</v>
      </c>
      <c r="BX48" s="489">
        <f t="shared" si="74"/>
        <v>-0.20312937255582963</v>
      </c>
      <c r="BY48" s="489">
        <f t="shared" si="74"/>
        <v>-3.3204264760103075E-2</v>
      </c>
      <c r="BZ48" s="489">
        <f t="shared" si="74"/>
        <v>-2.397199999999966E-2</v>
      </c>
      <c r="CA48" s="489">
        <f t="shared" si="74"/>
        <v>1.0874927926772804E-2</v>
      </c>
      <c r="CB48" s="489">
        <f t="shared" si="74"/>
        <v>4.0317886992601082E-2</v>
      </c>
      <c r="CC48" s="489">
        <f t="shared" si="74"/>
        <v>4.0317886992601082E-2</v>
      </c>
      <c r="CD48" s="489">
        <f t="shared" si="74"/>
        <v>1.7702280753631339E-2</v>
      </c>
      <c r="CE48" s="489">
        <f t="shared" si="74"/>
        <v>2.19248000000003E-2</v>
      </c>
      <c r="CF48" s="489">
        <f t="shared" si="74"/>
        <v>2.19248000000003E-2</v>
      </c>
      <c r="CG48" s="489">
        <f t="shared" si="74"/>
        <v>3.1846400000000052E-2</v>
      </c>
      <c r="CH48" s="489">
        <f t="shared" si="74"/>
        <v>3.1846400000000052E-2</v>
      </c>
      <c r="CI48" s="489">
        <f t="shared" si="74"/>
        <v>3.1846400000000052E-2</v>
      </c>
      <c r="CJ48" s="489">
        <f t="shared" si="74"/>
        <v>3.1846400000000052E-2</v>
      </c>
      <c r="CK48" s="489">
        <f t="shared" si="74"/>
        <v>3.1846400000000274E-2</v>
      </c>
      <c r="CL48" s="489">
        <f t="shared" si="74"/>
        <v>3.1846400000000052E-2</v>
      </c>
      <c r="CM48" s="489">
        <f t="shared" si="74"/>
        <v>3.1846400000000052E-2</v>
      </c>
      <c r="CN48" s="489">
        <f t="shared" si="74"/>
        <v>3.1846400000000274E-2</v>
      </c>
      <c r="CO48" s="489">
        <f t="shared" si="74"/>
        <v>3.1846400000000052E-2</v>
      </c>
      <c r="CP48" s="550"/>
      <c r="CQ48" s="552"/>
      <c r="CR48" s="488"/>
      <c r="CS48" s="551">
        <f t="shared" ref="CS48:DK48" si="75">CS46/CR46-1</f>
        <v>-5.898033988670448E-2</v>
      </c>
      <c r="CT48" s="551">
        <f t="shared" si="75"/>
        <v>2.5849858356940425E-2</v>
      </c>
      <c r="CU48" s="551">
        <f t="shared" si="75"/>
        <v>3.5830169140490087E-2</v>
      </c>
      <c r="CV48" s="551">
        <f t="shared" si="75"/>
        <v>3.2058117835243927E-2</v>
      </c>
      <c r="CW48" s="551">
        <f t="shared" si="75"/>
        <v>-4.914433322570233E-2</v>
      </c>
      <c r="CX48" s="551">
        <f t="shared" si="75"/>
        <v>-8.7566495849528914E-2</v>
      </c>
      <c r="CY48" s="551">
        <f t="shared" si="75"/>
        <v>-9.2077320902299364E-2</v>
      </c>
      <c r="CZ48" s="488">
        <f t="shared" si="75"/>
        <v>-2.6055462492871495E-2</v>
      </c>
      <c r="DA48" s="488">
        <f t="shared" si="75"/>
        <v>5.9583957981188984E-2</v>
      </c>
      <c r="DB48" s="488">
        <f t="shared" si="75"/>
        <v>-7.8174208430476289E-2</v>
      </c>
      <c r="DC48" s="488">
        <f t="shared" si="75"/>
        <v>-1.5315324232369698E-2</v>
      </c>
      <c r="DD48" s="488">
        <f t="shared" si="75"/>
        <v>0.15381506558322</v>
      </c>
      <c r="DE48" s="488">
        <f t="shared" si="75"/>
        <v>0.11135791387006488</v>
      </c>
      <c r="DF48" s="488">
        <f t="shared" si="75"/>
        <v>-0.24437376867426774</v>
      </c>
      <c r="DG48" s="488">
        <f t="shared" si="75"/>
        <v>-0.16273351942954972</v>
      </c>
      <c r="DH48" s="488">
        <f t="shared" si="75"/>
        <v>6.7039044067224385E-2</v>
      </c>
      <c r="DI48" s="488">
        <f t="shared" si="75"/>
        <v>0.12788551800951575</v>
      </c>
      <c r="DJ48" s="489">
        <f t="shared" si="75"/>
        <v>-0.14748786946951686</v>
      </c>
      <c r="DK48" s="489">
        <f t="shared" si="75"/>
        <v>1.7405362594930862E-2</v>
      </c>
      <c r="DL48" s="489">
        <f>DL46/DK46-1</f>
        <v>2.3565534620143547E-2</v>
      </c>
      <c r="DM48" s="489">
        <f>DM46/DL46-1</f>
        <v>3.1846400000000274E-2</v>
      </c>
      <c r="DN48" s="489">
        <f>DN46/DM46-1</f>
        <v>3.1846400000000052E-2</v>
      </c>
      <c r="DO48" s="550"/>
    </row>
    <row r="49" spans="1:119" s="536" customFormat="1">
      <c r="A49" s="549" t="s">
        <v>257</v>
      </c>
      <c r="B49" s="485"/>
      <c r="C49" s="485"/>
      <c r="D49" s="485"/>
      <c r="E49" s="485"/>
      <c r="F49" s="485"/>
      <c r="G49" s="485"/>
      <c r="H49" s="485"/>
      <c r="I49" s="485"/>
      <c r="J49" s="485"/>
      <c r="K49" s="485"/>
      <c r="L49" s="485"/>
      <c r="M49" s="485"/>
      <c r="N49" s="485"/>
      <c r="O49" s="485"/>
      <c r="P49" s="485"/>
      <c r="Q49" s="485"/>
      <c r="R49" s="485"/>
      <c r="S49" s="485"/>
      <c r="T49" s="485"/>
      <c r="U49" s="485"/>
      <c r="V49" s="485"/>
      <c r="W49" s="485"/>
      <c r="X49" s="485"/>
      <c r="Y49" s="485"/>
      <c r="Z49" s="485">
        <f t="shared" ref="Z49:BE49" si="76">Z35+Z8</f>
        <v>16708.515283842797</v>
      </c>
      <c r="AA49" s="485">
        <f t="shared" si="76"/>
        <v>15316.828955797566</v>
      </c>
      <c r="AB49" s="485">
        <f t="shared" si="76"/>
        <v>17353.488372093023</v>
      </c>
      <c r="AC49" s="485">
        <f t="shared" si="76"/>
        <v>17794.521963824289</v>
      </c>
      <c r="AD49" s="485">
        <f t="shared" si="76"/>
        <v>15402.15676728335</v>
      </c>
      <c r="AE49" s="485">
        <f t="shared" si="76"/>
        <v>12913.150087260034</v>
      </c>
      <c r="AF49" s="485">
        <f t="shared" si="76"/>
        <v>15675.989216092907</v>
      </c>
      <c r="AG49" s="485">
        <f t="shared" si="76"/>
        <v>16996.915979583824</v>
      </c>
      <c r="AH49" s="485">
        <f t="shared" si="76"/>
        <v>14410.292275574113</v>
      </c>
      <c r="AI49" s="485">
        <f t="shared" si="76"/>
        <v>11517.498095963441</v>
      </c>
      <c r="AJ49" s="485">
        <f t="shared" si="76"/>
        <v>16033.466819221969</v>
      </c>
      <c r="AK49" s="485">
        <f t="shared" si="76"/>
        <v>17437.878787878788</v>
      </c>
      <c r="AL49" s="485">
        <f t="shared" si="76"/>
        <v>12898.863636363636</v>
      </c>
      <c r="AM49" s="485">
        <f t="shared" si="76"/>
        <v>14260.801096385883</v>
      </c>
      <c r="AN49" s="485">
        <f t="shared" si="76"/>
        <v>18200.045938244308</v>
      </c>
      <c r="AO49" s="485">
        <f t="shared" si="76"/>
        <v>16648.428371775066</v>
      </c>
      <c r="AP49" s="485">
        <f t="shared" si="76"/>
        <v>15059.926305636769</v>
      </c>
      <c r="AQ49" s="485">
        <f t="shared" si="76"/>
        <v>14320.434445918594</v>
      </c>
      <c r="AR49" s="485">
        <f t="shared" si="76"/>
        <v>14946.711073135171</v>
      </c>
      <c r="AS49" s="485">
        <f t="shared" si="76"/>
        <v>13226.026117343936</v>
      </c>
      <c r="AT49" s="485">
        <f t="shared" si="76"/>
        <v>12057.795505530132</v>
      </c>
      <c r="AU49" s="485">
        <f t="shared" si="76"/>
        <v>12045.797393521781</v>
      </c>
      <c r="AV49" s="485">
        <f t="shared" si="76"/>
        <v>16713.744495258732</v>
      </c>
      <c r="AW49" s="485">
        <f t="shared" si="76"/>
        <v>16312.309064614303</v>
      </c>
      <c r="AX49" s="485">
        <f t="shared" si="76"/>
        <v>14002.97903945384</v>
      </c>
      <c r="AY49" s="485">
        <f t="shared" si="76"/>
        <v>16576.76400566777</v>
      </c>
      <c r="AZ49" s="485">
        <f t="shared" si="76"/>
        <v>18384.009549495</v>
      </c>
      <c r="BA49" s="485">
        <f t="shared" si="76"/>
        <v>16285.294181134046</v>
      </c>
      <c r="BB49" s="485">
        <f t="shared" si="76"/>
        <v>16010.63972291033</v>
      </c>
      <c r="BC49" s="485">
        <f t="shared" si="76"/>
        <v>16383.137413540877</v>
      </c>
      <c r="BD49" s="485">
        <f t="shared" si="76"/>
        <v>19032.850974016437</v>
      </c>
      <c r="BE49" s="485">
        <f t="shared" si="76"/>
        <v>18770.945982706096</v>
      </c>
      <c r="BF49" s="485">
        <f t="shared" ref="BF49:CO49" si="77">BF35+BF8</f>
        <v>19389.156100278298</v>
      </c>
      <c r="BG49" s="485">
        <f t="shared" si="77"/>
        <v>14459.139784946237</v>
      </c>
      <c r="BH49" s="485">
        <f t="shared" si="77"/>
        <v>11338.8671875</v>
      </c>
      <c r="BI49" s="485">
        <f t="shared" si="77"/>
        <v>10168.073878627969</v>
      </c>
      <c r="BJ49" s="485">
        <f t="shared" si="77"/>
        <v>9939.3264733395699</v>
      </c>
      <c r="BK49" s="485">
        <f t="shared" si="77"/>
        <v>10515.195225090301</v>
      </c>
      <c r="BL49" s="485">
        <f t="shared" si="77"/>
        <v>13099.587132725432</v>
      </c>
      <c r="BM49" s="485">
        <f t="shared" si="77"/>
        <v>12792.975592246949</v>
      </c>
      <c r="BN49" s="485">
        <f t="shared" si="77"/>
        <v>11488.497063903282</v>
      </c>
      <c r="BO49" s="485">
        <f t="shared" si="77"/>
        <v>13045.31320580779</v>
      </c>
      <c r="BP49" s="485">
        <f t="shared" si="77"/>
        <v>13610.962116297776</v>
      </c>
      <c r="BQ49" s="485">
        <f t="shared" si="77"/>
        <v>11309.376272441237</v>
      </c>
      <c r="BR49" s="485">
        <f t="shared" si="77"/>
        <v>13157.35422495803</v>
      </c>
      <c r="BS49" s="485">
        <f t="shared" si="77"/>
        <v>14841.548318398956</v>
      </c>
      <c r="BT49" s="485">
        <f t="shared" si="77"/>
        <v>15024.459585437118</v>
      </c>
      <c r="BU49" s="485">
        <f t="shared" si="77"/>
        <v>12755.255948561477</v>
      </c>
      <c r="BV49" s="486">
        <f t="shared" si="77"/>
        <v>11623.835472676557</v>
      </c>
      <c r="BW49" s="486">
        <f t="shared" si="77"/>
        <v>11623.835472676557</v>
      </c>
      <c r="BX49" s="486">
        <f t="shared" si="77"/>
        <v>11972.550536856856</v>
      </c>
      <c r="BY49" s="486">
        <f t="shared" si="77"/>
        <v>12331.727052962562</v>
      </c>
      <c r="BZ49" s="486">
        <f t="shared" si="77"/>
        <v>11345.188888725559</v>
      </c>
      <c r="CA49" s="486">
        <f t="shared" si="77"/>
        <v>11750.24384567458</v>
      </c>
      <c r="CB49" s="486">
        <f t="shared" si="77"/>
        <v>12455.258476415056</v>
      </c>
      <c r="CC49" s="486">
        <f t="shared" si="77"/>
        <v>12828.916230707509</v>
      </c>
      <c r="CD49" s="486">
        <f t="shared" si="77"/>
        <v>11546.024607636758</v>
      </c>
      <c r="CE49" s="486">
        <f t="shared" si="77"/>
        <v>12007.865591942229</v>
      </c>
      <c r="CF49" s="486">
        <f t="shared" si="77"/>
        <v>12728.337527458763</v>
      </c>
      <c r="CG49" s="486">
        <f t="shared" si="77"/>
        <v>13237.471028557113</v>
      </c>
      <c r="CH49" s="486">
        <f t="shared" si="77"/>
        <v>11913.723925701403</v>
      </c>
      <c r="CI49" s="486">
        <f t="shared" si="77"/>
        <v>12390.27288272946</v>
      </c>
      <c r="CJ49" s="486">
        <f t="shared" si="77"/>
        <v>13133.689255693227</v>
      </c>
      <c r="CK49" s="486">
        <f t="shared" si="77"/>
        <v>13659.036825920957</v>
      </c>
      <c r="CL49" s="486">
        <f t="shared" si="77"/>
        <v>12293.133143328861</v>
      </c>
      <c r="CM49" s="486">
        <f t="shared" si="77"/>
        <v>12784.858469062016</v>
      </c>
      <c r="CN49" s="486">
        <f t="shared" si="77"/>
        <v>13551.949977205739</v>
      </c>
      <c r="CO49" s="486">
        <f t="shared" si="77"/>
        <v>14094.027976293968</v>
      </c>
      <c r="CP49" s="560"/>
      <c r="CQ49" s="561"/>
      <c r="CR49" s="485"/>
      <c r="CS49" s="485"/>
      <c r="CT49" s="485"/>
      <c r="CU49" s="485"/>
      <c r="CV49" s="485"/>
      <c r="CW49" s="485"/>
      <c r="CX49" s="485">
        <f>SUM(Z49:AC49)</f>
        <v>67173.354575557678</v>
      </c>
      <c r="CY49" s="485">
        <f>SUM(AD49:AG49)</f>
        <v>60988.212050220114</v>
      </c>
      <c r="CZ49" s="485">
        <f>SUM(AH49:AK49)</f>
        <v>59399.135978638311</v>
      </c>
      <c r="DA49" s="485">
        <f>SUM(AL49:AO49)</f>
        <v>62008.139042768889</v>
      </c>
      <c r="DB49" s="485">
        <f>SUM(AP49:AS49)</f>
        <v>57553.097942034467</v>
      </c>
      <c r="DC49" s="485">
        <f>AT49+AU49+AV49+AW49</f>
        <v>57129.646458924944</v>
      </c>
      <c r="DD49" s="485">
        <f>AX49+AY49+AZ49+BA49</f>
        <v>65249.046775750656</v>
      </c>
      <c r="DE49" s="485">
        <f>BB49+BC49+BD49+BE49</f>
        <v>70197.574093173738</v>
      </c>
      <c r="DF49" s="485">
        <f>+SUM(BF49:BI49)</f>
        <v>55355.236951352505</v>
      </c>
      <c r="DG49" s="485">
        <f>+SUM(BJ49:BM49)</f>
        <v>46347.084423402252</v>
      </c>
      <c r="DH49" s="485">
        <f>+SUM(BN49:BQ49)</f>
        <v>49454.148658450089</v>
      </c>
      <c r="DI49" s="485">
        <f>+SUM(BR49:BU49)</f>
        <v>55778.618077355582</v>
      </c>
      <c r="DJ49" s="486">
        <f>SUM(BV49:BY49)</f>
        <v>47551.948535172531</v>
      </c>
      <c r="DK49" s="486">
        <f>SUM(BZ49:CC49)</f>
        <v>48379.607441522705</v>
      </c>
      <c r="DL49" s="486">
        <f>SUM(CD49:CG49)</f>
        <v>49519.698755594865</v>
      </c>
      <c r="DM49" s="486">
        <f>SUM(CH49:CK49)</f>
        <v>51096.72289004505</v>
      </c>
      <c r="DN49" s="486">
        <f>SUM(CL49:CO49)</f>
        <v>52723.969565890584</v>
      </c>
      <c r="DO49" s="560"/>
    </row>
    <row r="50" spans="1:119" s="551" customFormat="1">
      <c r="A50" s="552" t="s">
        <v>223</v>
      </c>
      <c r="B50" s="488"/>
      <c r="C50" s="488"/>
      <c r="D50" s="488"/>
      <c r="E50" s="488"/>
      <c r="F50" s="488"/>
      <c r="G50" s="488"/>
      <c r="H50" s="488"/>
      <c r="I50" s="488"/>
      <c r="J50" s="488"/>
      <c r="K50" s="488"/>
      <c r="L50" s="488"/>
      <c r="M50" s="488"/>
      <c r="N50" s="488"/>
      <c r="O50" s="488"/>
      <c r="P50" s="488"/>
      <c r="Q50" s="488"/>
      <c r="R50" s="488"/>
      <c r="S50" s="488"/>
      <c r="T50" s="488"/>
      <c r="U50" s="488"/>
      <c r="V50" s="488"/>
      <c r="W50" s="488"/>
      <c r="X50" s="488"/>
      <c r="Y50" s="488"/>
      <c r="Z50" s="488"/>
      <c r="AA50" s="488">
        <f t="shared" ref="AA50:CL50" si="78">AA49/Z49-1</f>
        <v>-8.329204028026338E-2</v>
      </c>
      <c r="AB50" s="488">
        <f t="shared" si="78"/>
        <v>0.13296873799224374</v>
      </c>
      <c r="AC50" s="488">
        <f t="shared" si="78"/>
        <v>2.5414693707376701E-2</v>
      </c>
      <c r="AD50" s="488">
        <f t="shared" si="78"/>
        <v>-0.13444391489721064</v>
      </c>
      <c r="AE50" s="488">
        <f t="shared" si="78"/>
        <v>-0.16160117817462849</v>
      </c>
      <c r="AF50" s="488">
        <f t="shared" si="78"/>
        <v>0.21395547253482783</v>
      </c>
      <c r="AG50" s="488">
        <f t="shared" si="78"/>
        <v>8.4264332239706974E-2</v>
      </c>
      <c r="AH50" s="488">
        <f t="shared" si="78"/>
        <v>-0.15218194330763801</v>
      </c>
      <c r="AI50" s="488">
        <f t="shared" si="78"/>
        <v>-0.20074500393819539</v>
      </c>
      <c r="AJ50" s="488">
        <f t="shared" si="78"/>
        <v>0.39209632904920966</v>
      </c>
      <c r="AK50" s="488">
        <f t="shared" si="78"/>
        <v>8.759253282472379E-2</v>
      </c>
      <c r="AL50" s="488">
        <f t="shared" si="78"/>
        <v>-0.26029628986010955</v>
      </c>
      <c r="AM50" s="488">
        <f t="shared" si="78"/>
        <v>0.1055858483675074</v>
      </c>
      <c r="AN50" s="488">
        <f t="shared" si="78"/>
        <v>0.27622886086369625</v>
      </c>
      <c r="AO50" s="488">
        <f t="shared" si="78"/>
        <v>-8.5253497256772337E-2</v>
      </c>
      <c r="AP50" s="488">
        <f t="shared" si="78"/>
        <v>-9.5414535874831619E-2</v>
      </c>
      <c r="AQ50" s="488">
        <f t="shared" si="78"/>
        <v>-4.9103285415240783E-2</v>
      </c>
      <c r="AR50" s="488">
        <f t="shared" si="78"/>
        <v>4.3733074550337481E-2</v>
      </c>
      <c r="AS50" s="488">
        <f t="shared" si="78"/>
        <v>-0.11512130978994772</v>
      </c>
      <c r="AT50" s="488">
        <f t="shared" si="78"/>
        <v>-8.8328164593735825E-2</v>
      </c>
      <c r="AU50" s="488">
        <f t="shared" si="78"/>
        <v>-9.9505021484624923E-4</v>
      </c>
      <c r="AV50" s="488">
        <f t="shared" si="78"/>
        <v>0.38751665408612701</v>
      </c>
      <c r="AW50" s="488">
        <f t="shared" si="78"/>
        <v>-2.4018282124529722E-2</v>
      </c>
      <c r="AX50" s="488">
        <f t="shared" si="78"/>
        <v>-0.1415697812009955</v>
      </c>
      <c r="AY50" s="488">
        <f t="shared" si="78"/>
        <v>0.18380267220012314</v>
      </c>
      <c r="AZ50" s="488">
        <f t="shared" si="78"/>
        <v>0.10902281912255685</v>
      </c>
      <c r="BA50" s="488">
        <f t="shared" si="78"/>
        <v>-0.11415982801306823</v>
      </c>
      <c r="BB50" s="488">
        <f t="shared" si="78"/>
        <v>-1.6865182487270869E-2</v>
      </c>
      <c r="BC50" s="488">
        <f t="shared" si="78"/>
        <v>2.3265634420436276E-2</v>
      </c>
      <c r="BD50" s="488">
        <f t="shared" si="78"/>
        <v>0.16173419617939211</v>
      </c>
      <c r="BE50" s="488">
        <f t="shared" si="78"/>
        <v>-1.3760681028180843E-2</v>
      </c>
      <c r="BF50" s="488">
        <f t="shared" si="78"/>
        <v>3.2934414607647788E-2</v>
      </c>
      <c r="BG50" s="488">
        <f>BG49/BF49-1</f>
        <v>-0.2542666782316173</v>
      </c>
      <c r="BH50" s="488">
        <f>BH49/BG49-1</f>
        <v>-0.21579932443109995</v>
      </c>
      <c r="BI50" s="488">
        <f t="shared" si="78"/>
        <v>-0.10325487454008786</v>
      </c>
      <c r="BJ50" s="488">
        <f t="shared" si="78"/>
        <v>-2.2496630927239636E-2</v>
      </c>
      <c r="BK50" s="488">
        <f t="shared" si="78"/>
        <v>5.7938407928886715E-2</v>
      </c>
      <c r="BL50" s="488">
        <f t="shared" si="78"/>
        <v>0.24577688310232371</v>
      </c>
      <c r="BM50" s="488">
        <f t="shared" si="78"/>
        <v>-2.3406198788701205E-2</v>
      </c>
      <c r="BN50" s="488">
        <f t="shared" si="78"/>
        <v>-0.10196834340356531</v>
      </c>
      <c r="BO50" s="488">
        <f t="shared" si="78"/>
        <v>0.13551086214714769</v>
      </c>
      <c r="BP50" s="488">
        <f t="shared" si="78"/>
        <v>4.3360316580069558E-2</v>
      </c>
      <c r="BQ50" s="488">
        <f t="shared" si="78"/>
        <v>-0.16909795385446103</v>
      </c>
      <c r="BR50" s="488">
        <f t="shared" si="78"/>
        <v>0.1634022874470944</v>
      </c>
      <c r="BS50" s="488">
        <f t="shared" si="78"/>
        <v>0.12800400936581902</v>
      </c>
      <c r="BT50" s="488">
        <f t="shared" si="78"/>
        <v>1.2324271236000994E-2</v>
      </c>
      <c r="BU50" s="488">
        <f t="shared" si="78"/>
        <v>-0.15103396058751628</v>
      </c>
      <c r="BV50" s="489">
        <f t="shared" si="78"/>
        <v>-8.8702294994913E-2</v>
      </c>
      <c r="BW50" s="489">
        <f t="shared" si="78"/>
        <v>0</v>
      </c>
      <c r="BX50" s="489">
        <f t="shared" si="78"/>
        <v>3.0000000000000027E-2</v>
      </c>
      <c r="BY50" s="489">
        <f t="shared" si="78"/>
        <v>3.0000000000000027E-2</v>
      </c>
      <c r="BZ50" s="489">
        <f t="shared" si="78"/>
        <v>-7.9999999999999849E-2</v>
      </c>
      <c r="CA50" s="489">
        <f t="shared" si="78"/>
        <v>3.5702795336580939E-2</v>
      </c>
      <c r="CB50" s="489">
        <f t="shared" si="78"/>
        <v>6.0000000000000053E-2</v>
      </c>
      <c r="CC50" s="489">
        <f t="shared" si="78"/>
        <v>3.0000000000000027E-2</v>
      </c>
      <c r="CD50" s="489">
        <f t="shared" si="78"/>
        <v>-9.9999999999999978E-2</v>
      </c>
      <c r="CE50" s="489">
        <f t="shared" si="78"/>
        <v>4.0000000000000036E-2</v>
      </c>
      <c r="CF50" s="489">
        <f t="shared" si="78"/>
        <v>6.0000000000000053E-2</v>
      </c>
      <c r="CG50" s="489">
        <f t="shared" si="78"/>
        <v>3.9999999999999813E-2</v>
      </c>
      <c r="CH50" s="489">
        <f t="shared" si="78"/>
        <v>-9.9999999999999867E-2</v>
      </c>
      <c r="CI50" s="489">
        <f t="shared" si="78"/>
        <v>4.0000000000000036E-2</v>
      </c>
      <c r="CJ50" s="489">
        <f t="shared" si="78"/>
        <v>6.0000000000000053E-2</v>
      </c>
      <c r="CK50" s="489">
        <f t="shared" si="78"/>
        <v>4.0000000000000036E-2</v>
      </c>
      <c r="CL50" s="489">
        <f t="shared" si="78"/>
        <v>-9.9999999999999978E-2</v>
      </c>
      <c r="CM50" s="489">
        <f t="shared" ref="CM50:CO50" si="79">CM49/CL49-1</f>
        <v>4.0000000000000036E-2</v>
      </c>
      <c r="CN50" s="489">
        <f t="shared" si="79"/>
        <v>6.0000000000000275E-2</v>
      </c>
      <c r="CO50" s="489">
        <f t="shared" si="79"/>
        <v>4.0000000000000036E-2</v>
      </c>
      <c r="CP50" s="550"/>
      <c r="CQ50" s="552"/>
      <c r="CR50" s="562"/>
      <c r="CY50" s="493"/>
      <c r="CZ50" s="490"/>
      <c r="DA50" s="493"/>
      <c r="DB50" s="493"/>
      <c r="DC50" s="493"/>
      <c r="DD50" s="493"/>
      <c r="DE50" s="493"/>
      <c r="DF50" s="493"/>
      <c r="DG50" s="493"/>
      <c r="DH50" s="493"/>
      <c r="DI50" s="493"/>
      <c r="DJ50" s="497"/>
      <c r="DK50" s="497"/>
      <c r="DL50" s="497"/>
      <c r="DM50" s="497"/>
      <c r="DN50" s="497"/>
      <c r="DO50" s="550"/>
    </row>
    <row r="51" spans="1:119" s="551" customFormat="1">
      <c r="A51" s="552" t="s">
        <v>225</v>
      </c>
      <c r="B51" s="488"/>
      <c r="C51" s="488"/>
      <c r="D51" s="488"/>
      <c r="E51" s="488"/>
      <c r="F51" s="488"/>
      <c r="G51" s="488"/>
      <c r="H51" s="488"/>
      <c r="I51" s="488"/>
      <c r="J51" s="488"/>
      <c r="K51" s="488"/>
      <c r="L51" s="488"/>
      <c r="M51" s="488"/>
      <c r="N51" s="488"/>
      <c r="O51" s="488"/>
      <c r="P51" s="488"/>
      <c r="Q51" s="488"/>
      <c r="R51" s="488"/>
      <c r="S51" s="488"/>
      <c r="T51" s="488"/>
      <c r="U51" s="488"/>
      <c r="V51" s="488"/>
      <c r="W51" s="488"/>
      <c r="X51" s="488"/>
      <c r="Y51" s="488"/>
      <c r="Z51" s="488"/>
      <c r="AA51" s="488"/>
      <c r="AB51" s="488"/>
      <c r="AC51" s="488"/>
      <c r="AD51" s="488">
        <f t="shared" ref="AD51:CO51" si="80">AD49/Z49-1</f>
        <v>-7.8185194457265794E-2</v>
      </c>
      <c r="AE51" s="488">
        <f t="shared" si="80"/>
        <v>-0.15693058109313918</v>
      </c>
      <c r="AF51" s="488">
        <f t="shared" si="80"/>
        <v>-9.6666394677036971E-2</v>
      </c>
      <c r="AG51" s="488">
        <f t="shared" si="80"/>
        <v>-4.4823119489355912E-2</v>
      </c>
      <c r="AH51" s="488">
        <f t="shared" si="80"/>
        <v>-6.4397766280117064E-2</v>
      </c>
      <c r="AI51" s="488">
        <f t="shared" si="80"/>
        <v>-0.10807990164023007</v>
      </c>
      <c r="AJ51" s="488">
        <f t="shared" si="80"/>
        <v>2.2804149594723988E-2</v>
      </c>
      <c r="AK51" s="488">
        <f t="shared" si="80"/>
        <v>2.5943695245927767E-2</v>
      </c>
      <c r="AL51" s="488">
        <f t="shared" si="80"/>
        <v>-0.10488535626528506</v>
      </c>
      <c r="AM51" s="488">
        <f t="shared" si="80"/>
        <v>0.2381856699749656</v>
      </c>
      <c r="AN51" s="488">
        <f t="shared" si="80"/>
        <v>0.13512854976722211</v>
      </c>
      <c r="AO51" s="488">
        <f t="shared" si="80"/>
        <v>-4.5272158713046906E-2</v>
      </c>
      <c r="AP51" s="488">
        <f t="shared" si="80"/>
        <v>0.16753899647258885</v>
      </c>
      <c r="AQ51" s="488">
        <f t="shared" si="80"/>
        <v>4.1816269036825116E-3</v>
      </c>
      <c r="AR51" s="488">
        <f t="shared" si="80"/>
        <v>-0.17875421172826855</v>
      </c>
      <c r="AS51" s="488">
        <f t="shared" si="80"/>
        <v>-0.20556908904586479</v>
      </c>
      <c r="AT51" s="488">
        <f t="shared" si="80"/>
        <v>-0.19934565011669225</v>
      </c>
      <c r="AU51" s="488">
        <f t="shared" si="80"/>
        <v>-0.15883855067295793</v>
      </c>
      <c r="AV51" s="488">
        <f t="shared" si="80"/>
        <v>0.11822222383756253</v>
      </c>
      <c r="AW51" s="488">
        <f t="shared" si="80"/>
        <v>0.23334922522368018</v>
      </c>
      <c r="AX51" s="488">
        <f t="shared" si="80"/>
        <v>0.16132165560707823</v>
      </c>
      <c r="AY51" s="488">
        <f t="shared" si="80"/>
        <v>0.37614501258195987</v>
      </c>
      <c r="AZ51" s="488">
        <f t="shared" si="80"/>
        <v>9.9933623773540425E-2</v>
      </c>
      <c r="BA51" s="488">
        <f t="shared" si="80"/>
        <v>-1.6561041955034383E-3</v>
      </c>
      <c r="BB51" s="488">
        <f t="shared" si="80"/>
        <v>0.14337382622653672</v>
      </c>
      <c r="BC51" s="488">
        <f t="shared" si="80"/>
        <v>-1.1680602562761377E-2</v>
      </c>
      <c r="BD51" s="488">
        <f t="shared" si="80"/>
        <v>3.5293792835266569E-2</v>
      </c>
      <c r="BE51" s="488">
        <f t="shared" si="80"/>
        <v>0.15263167947261236</v>
      </c>
      <c r="BF51" s="488">
        <f t="shared" si="80"/>
        <v>0.21101695096751816</v>
      </c>
      <c r="BG51" s="488">
        <f>BG49/BC49-1</f>
        <v>-0.11743767875647737</v>
      </c>
      <c r="BH51" s="488">
        <f>BH49/BD49-1</f>
        <v>-0.40424757158137947</v>
      </c>
      <c r="BI51" s="488">
        <f t="shared" si="80"/>
        <v>-0.45830786109576249</v>
      </c>
      <c r="BJ51" s="488">
        <f t="shared" si="80"/>
        <v>-0.48737704612131583</v>
      </c>
      <c r="BK51" s="488">
        <f t="shared" si="80"/>
        <v>-0.27276481301896482</v>
      </c>
      <c r="BL51" s="488">
        <f t="shared" si="80"/>
        <v>0.15528182102410137</v>
      </c>
      <c r="BM51" s="488">
        <f t="shared" si="80"/>
        <v>0.25815132196631629</v>
      </c>
      <c r="BN51" s="488">
        <f t="shared" si="80"/>
        <v>0.15586273322634892</v>
      </c>
      <c r="BO51" s="488">
        <f t="shared" si="80"/>
        <v>0.24061540718524888</v>
      </c>
      <c r="BP51" s="488">
        <f t="shared" si="80"/>
        <v>3.9037488616326499E-2</v>
      </c>
      <c r="BQ51" s="488">
        <f t="shared" si="80"/>
        <v>-0.11596983900327551</v>
      </c>
      <c r="BR51" s="488">
        <f t="shared" si="80"/>
        <v>0.14526331440674478</v>
      </c>
      <c r="BS51" s="488">
        <f t="shared" si="80"/>
        <v>0.13769198824536311</v>
      </c>
      <c r="BT51" s="488">
        <f t="shared" si="80"/>
        <v>0.1038499304503111</v>
      </c>
      <c r="BU51" s="488">
        <f t="shared" si="80"/>
        <v>0.127847870765744</v>
      </c>
      <c r="BV51" s="489">
        <f t="shared" si="80"/>
        <v>-0.1165522130104667</v>
      </c>
      <c r="BW51" s="489">
        <f t="shared" si="80"/>
        <v>-0.21680439107107341</v>
      </c>
      <c r="BX51" s="489">
        <f t="shared" si="80"/>
        <v>-0.20312937255582963</v>
      </c>
      <c r="BY51" s="489">
        <f t="shared" si="80"/>
        <v>-3.3204264760103075E-2</v>
      </c>
      <c r="BZ51" s="489">
        <f t="shared" si="80"/>
        <v>-2.397199999999966E-2</v>
      </c>
      <c r="CA51" s="489">
        <f t="shared" si="80"/>
        <v>1.0874927926772804E-2</v>
      </c>
      <c r="CB51" s="489">
        <f t="shared" si="80"/>
        <v>4.0317886992601082E-2</v>
      </c>
      <c r="CC51" s="489">
        <f t="shared" si="80"/>
        <v>4.0317886992601082E-2</v>
      </c>
      <c r="CD51" s="489">
        <f t="shared" si="80"/>
        <v>1.7702280753631339E-2</v>
      </c>
      <c r="CE51" s="489">
        <f t="shared" si="80"/>
        <v>2.19248000000003E-2</v>
      </c>
      <c r="CF51" s="489">
        <f t="shared" si="80"/>
        <v>2.19248000000003E-2</v>
      </c>
      <c r="CG51" s="489">
        <f t="shared" si="80"/>
        <v>3.1846400000000052E-2</v>
      </c>
      <c r="CH51" s="489">
        <f t="shared" si="80"/>
        <v>3.1846400000000052E-2</v>
      </c>
      <c r="CI51" s="489">
        <f t="shared" si="80"/>
        <v>3.1846400000000052E-2</v>
      </c>
      <c r="CJ51" s="489">
        <f t="shared" si="80"/>
        <v>3.1846400000000052E-2</v>
      </c>
      <c r="CK51" s="489">
        <f t="shared" si="80"/>
        <v>3.1846400000000274E-2</v>
      </c>
      <c r="CL51" s="489">
        <f t="shared" si="80"/>
        <v>3.1846400000000052E-2</v>
      </c>
      <c r="CM51" s="489">
        <f t="shared" si="80"/>
        <v>3.1846400000000052E-2</v>
      </c>
      <c r="CN51" s="489">
        <f t="shared" si="80"/>
        <v>3.1846400000000274E-2</v>
      </c>
      <c r="CO51" s="489">
        <f t="shared" si="80"/>
        <v>3.1846400000000052E-2</v>
      </c>
      <c r="CP51" s="550"/>
      <c r="CQ51" s="552"/>
      <c r="CR51" s="562"/>
      <c r="CY51" s="551">
        <f t="shared" ref="CY51:DK51" si="81">CY49/CX49-1</f>
        <v>-9.2077320902299364E-2</v>
      </c>
      <c r="CZ51" s="488">
        <f t="shared" si="81"/>
        <v>-2.6055462492871495E-2</v>
      </c>
      <c r="DA51" s="488">
        <f t="shared" si="81"/>
        <v>4.392324940667236E-2</v>
      </c>
      <c r="DB51" s="488">
        <f t="shared" si="81"/>
        <v>-7.1846070040283649E-2</v>
      </c>
      <c r="DC51" s="488">
        <f t="shared" si="81"/>
        <v>-7.357579318076124E-3</v>
      </c>
      <c r="DD51" s="488">
        <f t="shared" si="81"/>
        <v>0.14212236238260978</v>
      </c>
      <c r="DE51" s="488">
        <f t="shared" si="81"/>
        <v>7.5840607057912957E-2</v>
      </c>
      <c r="DF51" s="488">
        <f t="shared" si="81"/>
        <v>-0.21143661064584507</v>
      </c>
      <c r="DG51" s="488">
        <f t="shared" si="81"/>
        <v>-0.16273351942954972</v>
      </c>
      <c r="DH51" s="488">
        <f t="shared" si="81"/>
        <v>6.7039044067224385E-2</v>
      </c>
      <c r="DI51" s="488">
        <f t="shared" si="81"/>
        <v>0.12788551800951575</v>
      </c>
      <c r="DJ51" s="489">
        <f t="shared" si="81"/>
        <v>-0.14748786946951686</v>
      </c>
      <c r="DK51" s="489">
        <f t="shared" si="81"/>
        <v>1.7405362594930862E-2</v>
      </c>
      <c r="DL51" s="489">
        <f>DL49/DK49-1</f>
        <v>2.3565534620143547E-2</v>
      </c>
      <c r="DM51" s="489">
        <f>DM49/DL49-1</f>
        <v>3.1846400000000274E-2</v>
      </c>
      <c r="DN51" s="489">
        <f>DN49/DM49-1</f>
        <v>3.1846400000000052E-2</v>
      </c>
      <c r="DO51" s="550"/>
    </row>
    <row r="52" spans="1:119" s="551" customFormat="1">
      <c r="A52" s="552" t="s">
        <v>605</v>
      </c>
      <c r="B52" s="488"/>
      <c r="C52" s="488"/>
      <c r="D52" s="488"/>
      <c r="E52" s="488"/>
      <c r="F52" s="488"/>
      <c r="G52" s="488"/>
      <c r="H52" s="488"/>
      <c r="I52" s="488"/>
      <c r="J52" s="488"/>
      <c r="K52" s="488"/>
      <c r="L52" s="488"/>
      <c r="M52" s="488"/>
      <c r="N52" s="488"/>
      <c r="O52" s="488"/>
      <c r="P52" s="488"/>
      <c r="Q52" s="488"/>
      <c r="R52" s="488"/>
      <c r="S52" s="488"/>
      <c r="T52" s="488"/>
      <c r="U52" s="488"/>
      <c r="V52" s="488"/>
      <c r="W52" s="488"/>
      <c r="X52" s="488"/>
      <c r="Y52" s="488"/>
      <c r="Z52" s="488">
        <f t="shared" ref="Z52:BE52" si="82">Z5/Z49</f>
        <v>0.54095262985952297</v>
      </c>
      <c r="AA52" s="488">
        <f t="shared" si="82"/>
        <v>0.46398826913240182</v>
      </c>
      <c r="AB52" s="488">
        <f t="shared" si="82"/>
        <v>0.51248994907531487</v>
      </c>
      <c r="AC52" s="488">
        <f t="shared" si="82"/>
        <v>0.52513475679882904</v>
      </c>
      <c r="AD52" s="488">
        <f t="shared" si="82"/>
        <v>0.56434672744968317</v>
      </c>
      <c r="AE52" s="488">
        <f t="shared" si="82"/>
        <v>0.59266329559745035</v>
      </c>
      <c r="AF52" s="488">
        <f t="shared" si="82"/>
        <v>0.61724903498654971</v>
      </c>
      <c r="AG52" s="488">
        <f t="shared" si="82"/>
        <v>0.53167974651629102</v>
      </c>
      <c r="AH52" s="488">
        <f t="shared" si="82"/>
        <v>0.63567706333764573</v>
      </c>
      <c r="AI52" s="488">
        <f t="shared" si="82"/>
        <v>0.57021916055407595</v>
      </c>
      <c r="AJ52" s="488">
        <f t="shared" si="82"/>
        <v>0.57120939111198332</v>
      </c>
      <c r="AK52" s="488">
        <f t="shared" si="82"/>
        <v>0.5572856025719003</v>
      </c>
      <c r="AL52" s="488">
        <f t="shared" si="82"/>
        <v>0.54337062813849002</v>
      </c>
      <c r="AM52" s="488">
        <f t="shared" si="82"/>
        <v>0.60240662767276454</v>
      </c>
      <c r="AN52" s="488">
        <f t="shared" si="82"/>
        <v>0.62816347368417969</v>
      </c>
      <c r="AO52" s="488">
        <f t="shared" si="82"/>
        <v>0.59862123726199645</v>
      </c>
      <c r="AP52" s="488">
        <f t="shared" si="82"/>
        <v>0.68825320750919028</v>
      </c>
      <c r="AQ52" s="488">
        <f t="shared" si="82"/>
        <v>0.55797430420806216</v>
      </c>
      <c r="AR52" s="488">
        <f t="shared" si="82"/>
        <v>0.50490780454701056</v>
      </c>
      <c r="AS52" s="488">
        <f t="shared" si="82"/>
        <v>0.48132568776617285</v>
      </c>
      <c r="AT52" s="488">
        <f t="shared" si="82"/>
        <v>0.55174227349260674</v>
      </c>
      <c r="AU52" s="488">
        <f t="shared" si="82"/>
        <v>0.43216710554350296</v>
      </c>
      <c r="AV52" s="488">
        <f t="shared" si="82"/>
        <v>0.48066694435455215</v>
      </c>
      <c r="AW52" s="488">
        <f t="shared" si="82"/>
        <v>0.51325100765630094</v>
      </c>
      <c r="AX52" s="488">
        <f t="shared" si="82"/>
        <v>0.48153889400643113</v>
      </c>
      <c r="AY52" s="488">
        <f t="shared" si="82"/>
        <v>0.48632917757116945</v>
      </c>
      <c r="AZ52" s="488">
        <f t="shared" si="82"/>
        <v>0.48460644700544808</v>
      </c>
      <c r="BA52" s="488">
        <f t="shared" si="82"/>
        <v>0.56850641309626826</v>
      </c>
      <c r="BB52" s="488">
        <f t="shared" si="82"/>
        <v>0.55283860458396394</v>
      </c>
      <c r="BC52" s="488">
        <f t="shared" si="82"/>
        <v>0.48518163602602105</v>
      </c>
      <c r="BD52" s="488">
        <f t="shared" si="82"/>
        <v>0.53201073175216751</v>
      </c>
      <c r="BE52" s="488">
        <f t="shared" si="82"/>
        <v>0.52323700104165805</v>
      </c>
      <c r="BF52" s="488">
        <f t="shared" ref="BF52:CO52" si="83">BF5/BF49</f>
        <v>0.48811593714191914</v>
      </c>
      <c r="BG52" s="488">
        <f t="shared" si="83"/>
        <v>0.54354131032944142</v>
      </c>
      <c r="BH52" s="488">
        <f t="shared" si="83"/>
        <v>0.42675049522004993</v>
      </c>
      <c r="BI52" s="488">
        <f t="shared" si="83"/>
        <v>0.5574383060435425</v>
      </c>
      <c r="BJ52" s="488">
        <f t="shared" si="83"/>
        <v>0.49191728297227144</v>
      </c>
      <c r="BK52" s="488">
        <f t="shared" si="83"/>
        <v>0.42939718459212206</v>
      </c>
      <c r="BL52" s="488">
        <f t="shared" si="83"/>
        <v>0.48471658445348031</v>
      </c>
      <c r="BM52" s="488">
        <f t="shared" si="83"/>
        <v>0.52708422240197661</v>
      </c>
      <c r="BN52" s="488">
        <f t="shared" si="83"/>
        <v>0.57131033131615705</v>
      </c>
      <c r="BO52" s="488">
        <f t="shared" si="83"/>
        <v>0.54964668863723087</v>
      </c>
      <c r="BP52" s="488">
        <f t="shared" si="83"/>
        <v>0.49672918479452643</v>
      </c>
      <c r="BQ52" s="488">
        <f t="shared" si="83"/>
        <v>0.4898038706112931</v>
      </c>
      <c r="BR52" s="488">
        <f t="shared" si="83"/>
        <v>0.60858392105678616</v>
      </c>
      <c r="BS52" s="488">
        <f t="shared" si="83"/>
        <v>0.60246735223131576</v>
      </c>
      <c r="BT52" s="488">
        <f t="shared" si="83"/>
        <v>0.56737212656218872</v>
      </c>
      <c r="BU52" s="488">
        <f t="shared" si="83"/>
        <v>0.56488525025435321</v>
      </c>
      <c r="BV52" s="489">
        <f t="shared" si="83"/>
        <v>0.5702795336581078</v>
      </c>
      <c r="BW52" s="489">
        <f t="shared" si="83"/>
        <v>0.5702795336581078</v>
      </c>
      <c r="BX52" s="489">
        <f t="shared" si="83"/>
        <v>0.5702795336581078</v>
      </c>
      <c r="BY52" s="489">
        <f t="shared" si="83"/>
        <v>0.5702795336581078</v>
      </c>
      <c r="BZ52" s="489">
        <f t="shared" si="83"/>
        <v>0.57027953365810768</v>
      </c>
      <c r="CA52" s="489">
        <f t="shared" si="83"/>
        <v>0.5726456640601133</v>
      </c>
      <c r="CB52" s="489">
        <f t="shared" si="83"/>
        <v>0.57264566406011341</v>
      </c>
      <c r="CC52" s="489">
        <f t="shared" si="83"/>
        <v>0.5726456640601133</v>
      </c>
      <c r="CD52" s="489">
        <f t="shared" si="83"/>
        <v>0.5726456640601133</v>
      </c>
      <c r="CE52" s="489">
        <f t="shared" si="83"/>
        <v>0.5726456640601133</v>
      </c>
      <c r="CF52" s="489">
        <f t="shared" si="83"/>
        <v>0.5726456640601133</v>
      </c>
      <c r="CG52" s="489">
        <f t="shared" si="83"/>
        <v>0.57264566406011341</v>
      </c>
      <c r="CH52" s="489">
        <f t="shared" si="83"/>
        <v>0.5726456640601133</v>
      </c>
      <c r="CI52" s="489">
        <f t="shared" si="83"/>
        <v>0.5726456640601133</v>
      </c>
      <c r="CJ52" s="489">
        <f t="shared" si="83"/>
        <v>0.57264566406011341</v>
      </c>
      <c r="CK52" s="489">
        <f t="shared" si="83"/>
        <v>0.5726456640601133</v>
      </c>
      <c r="CL52" s="489">
        <f t="shared" si="83"/>
        <v>0.5726456640601133</v>
      </c>
      <c r="CM52" s="489">
        <f t="shared" si="83"/>
        <v>0.57264566406011341</v>
      </c>
      <c r="CN52" s="489">
        <f t="shared" si="83"/>
        <v>0.5726456640601133</v>
      </c>
      <c r="CO52" s="489">
        <f t="shared" si="83"/>
        <v>0.57264566406011341</v>
      </c>
      <c r="CP52" s="550"/>
      <c r="CQ52" s="552"/>
      <c r="CR52" s="562"/>
      <c r="CX52" s="488">
        <f t="shared" ref="CX52:DN52" si="84">CX5/CX49</f>
        <v>0.51186001939031822</v>
      </c>
      <c r="CY52" s="488">
        <f t="shared" si="84"/>
        <v>0.57483587191163743</v>
      </c>
      <c r="CZ52" s="488">
        <f t="shared" si="84"/>
        <v>0.58256968571197709</v>
      </c>
      <c r="DA52" s="488">
        <f t="shared" si="84"/>
        <v>0.59666960131458757</v>
      </c>
      <c r="DB52" s="488">
        <f t="shared" si="84"/>
        <v>0.56066858909321771</v>
      </c>
      <c r="DC52" s="488">
        <f t="shared" si="84"/>
        <v>0.49474569178800454</v>
      </c>
      <c r="DD52" s="488">
        <f t="shared" si="84"/>
        <v>0.50532610674098744</v>
      </c>
      <c r="DE52" s="488">
        <f t="shared" si="84"/>
        <v>0.52348577665089424</v>
      </c>
      <c r="DF52" s="488">
        <f t="shared" si="84"/>
        <v>0.50275707383947033</v>
      </c>
      <c r="DG52" s="488">
        <f t="shared" si="84"/>
        <v>0.4854045233542823</v>
      </c>
      <c r="DH52" s="488">
        <f t="shared" si="84"/>
        <v>0.52643002386416993</v>
      </c>
      <c r="DI52" s="488">
        <f t="shared" si="84"/>
        <v>0.58586281273651886</v>
      </c>
      <c r="DJ52" s="489">
        <f t="shared" si="84"/>
        <v>0.5702795336581078</v>
      </c>
      <c r="DK52" s="489">
        <f t="shared" si="84"/>
        <v>0.57209079812039787</v>
      </c>
      <c r="DL52" s="489">
        <f t="shared" si="84"/>
        <v>0.57264566406011341</v>
      </c>
      <c r="DM52" s="489">
        <f t="shared" si="84"/>
        <v>0.5726456640601133</v>
      </c>
      <c r="DN52" s="489">
        <f t="shared" si="84"/>
        <v>0.5726456640601133</v>
      </c>
      <c r="DO52" s="550"/>
    </row>
    <row r="53" spans="1:119" s="551" customFormat="1">
      <c r="A53" s="552" t="s">
        <v>606</v>
      </c>
      <c r="B53" s="488"/>
      <c r="C53" s="488"/>
      <c r="D53" s="488"/>
      <c r="E53" s="488"/>
      <c r="F53" s="488"/>
      <c r="G53" s="488"/>
      <c r="H53" s="488"/>
      <c r="I53" s="488"/>
      <c r="J53" s="488"/>
      <c r="K53" s="488"/>
      <c r="L53" s="488"/>
      <c r="M53" s="488"/>
      <c r="N53" s="488"/>
      <c r="O53" s="488"/>
      <c r="P53" s="488"/>
      <c r="Q53" s="488"/>
      <c r="R53" s="488"/>
      <c r="S53" s="488"/>
      <c r="T53" s="488"/>
      <c r="U53" s="488"/>
      <c r="V53" s="488"/>
      <c r="W53" s="488"/>
      <c r="X53" s="488"/>
      <c r="Y53" s="488"/>
      <c r="Z53" s="488">
        <f t="shared" ref="Z53:BE53" si="85">Z35/Z49</f>
        <v>0.45904737014047692</v>
      </c>
      <c r="AA53" s="488">
        <f t="shared" si="85"/>
        <v>0.53601173086759824</v>
      </c>
      <c r="AB53" s="488">
        <f t="shared" si="85"/>
        <v>0.48751005092468508</v>
      </c>
      <c r="AC53" s="488">
        <f t="shared" si="85"/>
        <v>0.47486524320117102</v>
      </c>
      <c r="AD53" s="488">
        <f t="shared" si="85"/>
        <v>0.43565327255031683</v>
      </c>
      <c r="AE53" s="488">
        <f t="shared" si="85"/>
        <v>0.40733670440254977</v>
      </c>
      <c r="AF53" s="488">
        <f t="shared" si="85"/>
        <v>0.38275096501345029</v>
      </c>
      <c r="AG53" s="488">
        <f t="shared" si="85"/>
        <v>0.46832025348370898</v>
      </c>
      <c r="AH53" s="488">
        <f t="shared" si="85"/>
        <v>0.36432293666235421</v>
      </c>
      <c r="AI53" s="488">
        <f t="shared" si="85"/>
        <v>0.4297808394459241</v>
      </c>
      <c r="AJ53" s="488">
        <f t="shared" si="85"/>
        <v>0.42879060888801668</v>
      </c>
      <c r="AK53" s="488">
        <f t="shared" si="85"/>
        <v>0.44271439742809976</v>
      </c>
      <c r="AL53" s="488">
        <f t="shared" si="85"/>
        <v>0.45662937186151004</v>
      </c>
      <c r="AM53" s="488">
        <f t="shared" si="85"/>
        <v>0.39759337232723546</v>
      </c>
      <c r="AN53" s="488">
        <f t="shared" si="85"/>
        <v>0.38461441381808209</v>
      </c>
      <c r="AO53" s="488">
        <f t="shared" si="85"/>
        <v>0.44328508584700355</v>
      </c>
      <c r="AP53" s="488">
        <f t="shared" si="85"/>
        <v>0.34263115869754734</v>
      </c>
      <c r="AQ53" s="488">
        <f t="shared" si="85"/>
        <v>0.44202569579193779</v>
      </c>
      <c r="AR53" s="488">
        <f t="shared" si="85"/>
        <v>0.49509219545298944</v>
      </c>
      <c r="AS53" s="488">
        <f t="shared" si="85"/>
        <v>0.5186743122338271</v>
      </c>
      <c r="AT53" s="488">
        <f t="shared" si="85"/>
        <v>0.44825772650739315</v>
      </c>
      <c r="AU53" s="488">
        <f t="shared" si="85"/>
        <v>0.56783289445649698</v>
      </c>
      <c r="AV53" s="488">
        <f t="shared" si="85"/>
        <v>0.51933305564544785</v>
      </c>
      <c r="AW53" s="488">
        <f t="shared" si="85"/>
        <v>0.48674899234369906</v>
      </c>
      <c r="AX53" s="488">
        <f t="shared" si="85"/>
        <v>0.51846110599356887</v>
      </c>
      <c r="AY53" s="488">
        <f t="shared" si="85"/>
        <v>0.51367082242883066</v>
      </c>
      <c r="AZ53" s="488">
        <f t="shared" si="85"/>
        <v>0.51539355299455192</v>
      </c>
      <c r="BA53" s="488">
        <f t="shared" si="85"/>
        <v>0.47251218887494173</v>
      </c>
      <c r="BB53" s="488">
        <f t="shared" si="85"/>
        <v>0.51996673112863756</v>
      </c>
      <c r="BC53" s="488">
        <f t="shared" si="85"/>
        <v>0.58596835011989068</v>
      </c>
      <c r="BD53" s="488">
        <f t="shared" si="85"/>
        <v>0.49861158546114326</v>
      </c>
      <c r="BE53" s="488">
        <f t="shared" si="85"/>
        <v>0.48452539410530165</v>
      </c>
      <c r="BF53" s="488">
        <f t="shared" ref="BF53:CO53" si="86">BF35/BF49</f>
        <v>0.51188406285808097</v>
      </c>
      <c r="BG53" s="488">
        <f t="shared" si="86"/>
        <v>0.45645868967055847</v>
      </c>
      <c r="BH53" s="488">
        <f t="shared" si="86"/>
        <v>0.57324950477995007</v>
      </c>
      <c r="BI53" s="488">
        <f t="shared" si="86"/>
        <v>0.44256169395645739</v>
      </c>
      <c r="BJ53" s="488">
        <f t="shared" si="86"/>
        <v>0.50808271702772856</v>
      </c>
      <c r="BK53" s="488">
        <f t="shared" si="86"/>
        <v>0.57060281540787783</v>
      </c>
      <c r="BL53" s="488">
        <f t="shared" si="86"/>
        <v>0.51528341554651957</v>
      </c>
      <c r="BM53" s="488">
        <f t="shared" si="86"/>
        <v>0.47291577759802345</v>
      </c>
      <c r="BN53" s="488">
        <f t="shared" si="86"/>
        <v>0.42868966868384289</v>
      </c>
      <c r="BO53" s="488">
        <f t="shared" si="86"/>
        <v>0.45035331136276918</v>
      </c>
      <c r="BP53" s="488">
        <f t="shared" si="86"/>
        <v>0.50327081520547357</v>
      </c>
      <c r="BQ53" s="488">
        <f t="shared" si="86"/>
        <v>0.51019612938870684</v>
      </c>
      <c r="BR53" s="488">
        <f t="shared" si="86"/>
        <v>0.39141607894321384</v>
      </c>
      <c r="BS53" s="488">
        <f t="shared" si="86"/>
        <v>0.39753264776868424</v>
      </c>
      <c r="BT53" s="488">
        <f t="shared" si="86"/>
        <v>0.43262787343781128</v>
      </c>
      <c r="BU53" s="488">
        <f t="shared" si="86"/>
        <v>0.43511474974564684</v>
      </c>
      <c r="BV53" s="489">
        <f t="shared" si="86"/>
        <v>0.42972046634189226</v>
      </c>
      <c r="BW53" s="489">
        <f t="shared" si="86"/>
        <v>0.42972046634189226</v>
      </c>
      <c r="BX53" s="489">
        <f t="shared" si="86"/>
        <v>0.42972046634189226</v>
      </c>
      <c r="BY53" s="489">
        <f t="shared" si="86"/>
        <v>0.42972046634189226</v>
      </c>
      <c r="BZ53" s="489">
        <f t="shared" si="86"/>
        <v>0.4297204663418922</v>
      </c>
      <c r="CA53" s="489">
        <f t="shared" si="86"/>
        <v>0.42735433593988675</v>
      </c>
      <c r="CB53" s="489">
        <f t="shared" si="86"/>
        <v>0.4273543359398867</v>
      </c>
      <c r="CC53" s="489">
        <f t="shared" si="86"/>
        <v>0.42735433593988664</v>
      </c>
      <c r="CD53" s="489">
        <f t="shared" si="86"/>
        <v>0.42735433593988664</v>
      </c>
      <c r="CE53" s="489">
        <f t="shared" si="86"/>
        <v>0.42735433593988664</v>
      </c>
      <c r="CF53" s="489">
        <f t="shared" si="86"/>
        <v>0.42735433593988664</v>
      </c>
      <c r="CG53" s="489">
        <f t="shared" si="86"/>
        <v>0.42735433593988664</v>
      </c>
      <c r="CH53" s="489">
        <f t="shared" si="86"/>
        <v>0.42735433593988664</v>
      </c>
      <c r="CI53" s="489">
        <f t="shared" si="86"/>
        <v>0.42735433593988664</v>
      </c>
      <c r="CJ53" s="489">
        <f t="shared" si="86"/>
        <v>0.42735433593988664</v>
      </c>
      <c r="CK53" s="489">
        <f t="shared" si="86"/>
        <v>0.42735433593988664</v>
      </c>
      <c r="CL53" s="489">
        <f t="shared" si="86"/>
        <v>0.42735433593988664</v>
      </c>
      <c r="CM53" s="489">
        <f t="shared" si="86"/>
        <v>0.42735433593988664</v>
      </c>
      <c r="CN53" s="489">
        <f t="shared" si="86"/>
        <v>0.42735433593988659</v>
      </c>
      <c r="CO53" s="489">
        <f t="shared" si="86"/>
        <v>0.42735433593988664</v>
      </c>
      <c r="CP53" s="550"/>
      <c r="CQ53" s="552"/>
      <c r="CR53" s="562"/>
      <c r="CX53" s="488">
        <f t="shared" ref="CX53:DN53" si="87">CX35/CX49</f>
        <v>0.48813998060968172</v>
      </c>
      <c r="CY53" s="488">
        <f t="shared" si="87"/>
        <v>0.42516412808836251</v>
      </c>
      <c r="CZ53" s="488">
        <f t="shared" si="87"/>
        <v>0.41743031428802291</v>
      </c>
      <c r="DA53" s="488">
        <f t="shared" si="87"/>
        <v>0.41833218026601954</v>
      </c>
      <c r="DB53" s="488">
        <f t="shared" si="87"/>
        <v>0.44741292685816025</v>
      </c>
      <c r="DC53" s="488">
        <f t="shared" si="87"/>
        <v>0.50525430821199546</v>
      </c>
      <c r="DD53" s="488">
        <f t="shared" si="87"/>
        <v>0.50491159071221525</v>
      </c>
      <c r="DE53" s="488">
        <f t="shared" si="87"/>
        <v>0.52010344334036418</v>
      </c>
      <c r="DF53" s="488">
        <f t="shared" si="87"/>
        <v>0.49724292616052973</v>
      </c>
      <c r="DG53" s="488">
        <f t="shared" si="87"/>
        <v>0.5145954766457177</v>
      </c>
      <c r="DH53" s="488">
        <f t="shared" si="87"/>
        <v>0.47356997613583002</v>
      </c>
      <c r="DI53" s="488">
        <f t="shared" si="87"/>
        <v>0.41413718726348109</v>
      </c>
      <c r="DJ53" s="489">
        <f t="shared" si="87"/>
        <v>0.42972046634189226</v>
      </c>
      <c r="DK53" s="489">
        <f t="shared" si="87"/>
        <v>0.42790920187960219</v>
      </c>
      <c r="DL53" s="489">
        <f t="shared" si="87"/>
        <v>0.42735433593988664</v>
      </c>
      <c r="DM53" s="489">
        <f t="shared" si="87"/>
        <v>0.42735433593988659</v>
      </c>
      <c r="DN53" s="489">
        <f t="shared" si="87"/>
        <v>0.42735433593988659</v>
      </c>
      <c r="DO53" s="550"/>
    </row>
    <row r="54" spans="1:119" s="536" customFormat="1">
      <c r="A54" s="549" t="s">
        <v>259</v>
      </c>
      <c r="B54" s="485"/>
      <c r="C54" s="485"/>
      <c r="D54" s="485"/>
      <c r="E54" s="485"/>
      <c r="F54" s="485"/>
      <c r="G54" s="485"/>
      <c r="H54" s="485"/>
      <c r="I54" s="485"/>
      <c r="J54" s="485"/>
      <c r="K54" s="485"/>
      <c r="L54" s="485"/>
      <c r="M54" s="485"/>
      <c r="N54" s="485"/>
      <c r="O54" s="485"/>
      <c r="P54" s="485"/>
      <c r="Q54" s="485"/>
      <c r="R54" s="485"/>
      <c r="S54" s="485"/>
      <c r="T54" s="485"/>
      <c r="U54" s="485"/>
      <c r="V54" s="485"/>
      <c r="W54" s="485"/>
      <c r="X54" s="485"/>
      <c r="Y54" s="485"/>
      <c r="Z54" s="485">
        <f t="shared" ref="Z54:BE54" si="88">Z11</f>
        <v>0</v>
      </c>
      <c r="AA54" s="485">
        <f t="shared" si="88"/>
        <v>0</v>
      </c>
      <c r="AB54" s="485">
        <f t="shared" si="88"/>
        <v>0</v>
      </c>
      <c r="AC54" s="485">
        <f t="shared" si="88"/>
        <v>0</v>
      </c>
      <c r="AD54" s="485">
        <f t="shared" si="88"/>
        <v>0</v>
      </c>
      <c r="AE54" s="485">
        <f t="shared" si="88"/>
        <v>0</v>
      </c>
      <c r="AF54" s="485">
        <f t="shared" si="88"/>
        <v>0</v>
      </c>
      <c r="AG54" s="485">
        <f t="shared" si="88"/>
        <v>0</v>
      </c>
      <c r="AH54" s="485">
        <f t="shared" si="88"/>
        <v>0</v>
      </c>
      <c r="AI54" s="485">
        <f t="shared" si="88"/>
        <v>0</v>
      </c>
      <c r="AJ54" s="485">
        <f t="shared" si="88"/>
        <v>0</v>
      </c>
      <c r="AK54" s="485">
        <f t="shared" si="88"/>
        <v>0</v>
      </c>
      <c r="AL54" s="485">
        <f t="shared" si="88"/>
        <v>0</v>
      </c>
      <c r="AM54" s="485">
        <f t="shared" si="88"/>
        <v>0</v>
      </c>
      <c r="AN54" s="485">
        <f t="shared" si="88"/>
        <v>232.55813953488371</v>
      </c>
      <c r="AO54" s="485">
        <f t="shared" si="88"/>
        <v>697.67441860465124</v>
      </c>
      <c r="AP54" s="485">
        <f t="shared" si="88"/>
        <v>465.11627906976742</v>
      </c>
      <c r="AQ54" s="485">
        <f t="shared" si="88"/>
        <v>0</v>
      </c>
      <c r="AR54" s="485">
        <f t="shared" si="88"/>
        <v>0</v>
      </c>
      <c r="AS54" s="485">
        <f t="shared" si="88"/>
        <v>0</v>
      </c>
      <c r="AT54" s="485">
        <f t="shared" si="88"/>
        <v>0</v>
      </c>
      <c r="AU54" s="485">
        <f t="shared" si="88"/>
        <v>0</v>
      </c>
      <c r="AV54" s="485">
        <f t="shared" si="88"/>
        <v>0</v>
      </c>
      <c r="AW54" s="485">
        <f t="shared" si="88"/>
        <v>0</v>
      </c>
      <c r="AX54" s="485">
        <f t="shared" si="88"/>
        <v>0</v>
      </c>
      <c r="AY54" s="485">
        <f t="shared" si="88"/>
        <v>0</v>
      </c>
      <c r="AZ54" s="485">
        <f t="shared" si="88"/>
        <v>0</v>
      </c>
      <c r="BA54" s="485">
        <f t="shared" si="88"/>
        <v>668</v>
      </c>
      <c r="BB54" s="485">
        <f t="shared" si="88"/>
        <v>1165.6600000000001</v>
      </c>
      <c r="BC54" s="485">
        <f t="shared" si="88"/>
        <v>1165.6600000000001</v>
      </c>
      <c r="BD54" s="485">
        <f t="shared" si="88"/>
        <v>582.83000000000004</v>
      </c>
      <c r="BE54" s="485">
        <f t="shared" si="88"/>
        <v>145.70750000000001</v>
      </c>
      <c r="BF54" s="485">
        <f t="shared" ref="BF54:CO54" si="89">BF11</f>
        <v>0</v>
      </c>
      <c r="BG54" s="485">
        <f t="shared" si="89"/>
        <v>0</v>
      </c>
      <c r="BH54" s="485">
        <f t="shared" si="89"/>
        <v>0</v>
      </c>
      <c r="BI54" s="485">
        <f t="shared" si="89"/>
        <v>0</v>
      </c>
      <c r="BJ54" s="485">
        <f t="shared" si="89"/>
        <v>0</v>
      </c>
      <c r="BK54" s="485">
        <f t="shared" si="89"/>
        <v>0</v>
      </c>
      <c r="BL54" s="485">
        <f t="shared" si="89"/>
        <v>0</v>
      </c>
      <c r="BM54" s="485">
        <f t="shared" si="89"/>
        <v>0</v>
      </c>
      <c r="BN54" s="485">
        <f t="shared" si="89"/>
        <v>0</v>
      </c>
      <c r="BO54" s="485">
        <f t="shared" si="89"/>
        <v>0</v>
      </c>
      <c r="BP54" s="485">
        <f t="shared" si="89"/>
        <v>0</v>
      </c>
      <c r="BQ54" s="485">
        <f t="shared" si="89"/>
        <v>0</v>
      </c>
      <c r="BR54" s="485">
        <f t="shared" si="89"/>
        <v>0</v>
      </c>
      <c r="BS54" s="485">
        <f t="shared" si="89"/>
        <v>0</v>
      </c>
      <c r="BT54" s="485">
        <f t="shared" si="89"/>
        <v>0</v>
      </c>
      <c r="BU54" s="485">
        <f t="shared" si="89"/>
        <v>0</v>
      </c>
      <c r="BV54" s="486">
        <f t="shared" si="89"/>
        <v>0</v>
      </c>
      <c r="BW54" s="486">
        <f t="shared" si="89"/>
        <v>0</v>
      </c>
      <c r="BX54" s="486">
        <f t="shared" si="89"/>
        <v>0</v>
      </c>
      <c r="BY54" s="486">
        <f t="shared" si="89"/>
        <v>0</v>
      </c>
      <c r="BZ54" s="486">
        <f t="shared" si="89"/>
        <v>0</v>
      </c>
      <c r="CA54" s="486">
        <f t="shared" si="89"/>
        <v>0</v>
      </c>
      <c r="CB54" s="486">
        <f t="shared" si="89"/>
        <v>0</v>
      </c>
      <c r="CC54" s="486">
        <f t="shared" si="89"/>
        <v>0</v>
      </c>
      <c r="CD54" s="486">
        <f t="shared" si="89"/>
        <v>0</v>
      </c>
      <c r="CE54" s="486">
        <f t="shared" si="89"/>
        <v>0</v>
      </c>
      <c r="CF54" s="486">
        <f t="shared" si="89"/>
        <v>0</v>
      </c>
      <c r="CG54" s="486">
        <f t="shared" si="89"/>
        <v>0</v>
      </c>
      <c r="CH54" s="486">
        <f t="shared" si="89"/>
        <v>0</v>
      </c>
      <c r="CI54" s="486">
        <f t="shared" si="89"/>
        <v>0</v>
      </c>
      <c r="CJ54" s="486">
        <f t="shared" si="89"/>
        <v>0</v>
      </c>
      <c r="CK54" s="486">
        <f t="shared" si="89"/>
        <v>0</v>
      </c>
      <c r="CL54" s="486">
        <f t="shared" si="89"/>
        <v>0</v>
      </c>
      <c r="CM54" s="486">
        <f t="shared" si="89"/>
        <v>0</v>
      </c>
      <c r="CN54" s="486">
        <f t="shared" si="89"/>
        <v>0</v>
      </c>
      <c r="CO54" s="486">
        <f t="shared" si="89"/>
        <v>0</v>
      </c>
      <c r="CP54" s="560"/>
      <c r="CQ54" s="561"/>
      <c r="CR54" s="485"/>
      <c r="CS54" s="485"/>
      <c r="CT54" s="485"/>
      <c r="CU54" s="485"/>
      <c r="CV54" s="485"/>
      <c r="CW54" s="485"/>
      <c r="CX54" s="485">
        <f>SUM(Z54:AC54)</f>
        <v>0</v>
      </c>
      <c r="CY54" s="485">
        <f>SUM(AD54:AG54)</f>
        <v>0</v>
      </c>
      <c r="CZ54" s="485">
        <f>SUM(AH54:AK54)</f>
        <v>0</v>
      </c>
      <c r="DA54" s="485">
        <f>SUM(AL54:AO54)</f>
        <v>930.23255813953494</v>
      </c>
      <c r="DB54" s="485">
        <f>SUM(AP54:AS54)</f>
        <v>465.11627906976742</v>
      </c>
      <c r="DC54" s="485">
        <f>AT54+AU54+AV54+AW54</f>
        <v>0</v>
      </c>
      <c r="DD54" s="485">
        <f>AX54+AY54+AZ54+BA54</f>
        <v>668</v>
      </c>
      <c r="DE54" s="485">
        <f>BB54+BC54+BD54+BE54</f>
        <v>3059.8575000000001</v>
      </c>
      <c r="DF54" s="485">
        <f>+SUM(BF54:BI54)</f>
        <v>0</v>
      </c>
      <c r="DG54" s="485">
        <f>+SUM(BJ54:BM54)</f>
        <v>0</v>
      </c>
      <c r="DH54" s="485">
        <f>+SUM(BN54:BQ54)</f>
        <v>0</v>
      </c>
      <c r="DI54" s="485">
        <f>+SUM(BR54:BU54)</f>
        <v>0</v>
      </c>
      <c r="DJ54" s="486">
        <f>SUM(BV54:BY54)</f>
        <v>0</v>
      </c>
      <c r="DK54" s="486">
        <f>SUM(BZ54:CC54)</f>
        <v>0</v>
      </c>
      <c r="DL54" s="486">
        <f>SUM(CD54:CG54)</f>
        <v>0</v>
      </c>
      <c r="DM54" s="486">
        <f>SUM(CH54:CK54)</f>
        <v>0</v>
      </c>
      <c r="DN54" s="486">
        <f>SUM(CL54:CO54)</f>
        <v>0</v>
      </c>
      <c r="DO54" s="560"/>
    </row>
    <row r="55" spans="1:119" s="551" customFormat="1">
      <c r="A55" s="552" t="s">
        <v>223</v>
      </c>
      <c r="B55" s="488"/>
      <c r="C55" s="488"/>
      <c r="D55" s="488"/>
      <c r="E55" s="488"/>
      <c r="F55" s="488"/>
      <c r="G55" s="488"/>
      <c r="H55" s="488"/>
      <c r="I55" s="488"/>
      <c r="J55" s="488"/>
      <c r="K55" s="488"/>
      <c r="L55" s="488"/>
      <c r="M55" s="488"/>
      <c r="N55" s="488"/>
      <c r="O55" s="488"/>
      <c r="P55" s="488"/>
      <c r="Q55" s="488"/>
      <c r="R55" s="488"/>
      <c r="S55" s="488"/>
      <c r="T55" s="488"/>
      <c r="U55" s="488"/>
      <c r="V55" s="488"/>
      <c r="W55" s="488"/>
      <c r="X55" s="488"/>
      <c r="Y55" s="488"/>
      <c r="Z55" s="488"/>
      <c r="AA55" s="488"/>
      <c r="AB55" s="488"/>
      <c r="AC55" s="488"/>
      <c r="AD55" s="488"/>
      <c r="AE55" s="488"/>
      <c r="AF55" s="488"/>
      <c r="AG55" s="488"/>
      <c r="AH55" s="488"/>
      <c r="AI55" s="488"/>
      <c r="AJ55" s="488"/>
      <c r="AK55" s="488"/>
      <c r="AL55" s="488"/>
      <c r="AM55" s="488"/>
      <c r="AN55" s="488"/>
      <c r="AO55" s="488"/>
      <c r="AP55" s="488"/>
      <c r="AQ55" s="488"/>
      <c r="AR55" s="488"/>
      <c r="AS55" s="488"/>
      <c r="AT55" s="488"/>
      <c r="AU55" s="488"/>
      <c r="AV55" s="488"/>
      <c r="AW55" s="488"/>
      <c r="AX55" s="488"/>
      <c r="AY55" s="488"/>
      <c r="AZ55" s="488"/>
      <c r="BA55" s="488"/>
      <c r="BB55" s="488"/>
      <c r="BC55" s="488"/>
      <c r="BD55" s="488"/>
      <c r="BE55" s="488"/>
      <c r="BF55" s="488"/>
      <c r="BG55" s="572" t="s">
        <v>607</v>
      </c>
      <c r="BH55" s="572" t="s">
        <v>607</v>
      </c>
      <c r="BI55" s="572" t="s">
        <v>607</v>
      </c>
      <c r="BJ55" s="572" t="s">
        <v>607</v>
      </c>
      <c r="BK55" s="572" t="s">
        <v>607</v>
      </c>
      <c r="BL55" s="572" t="s">
        <v>607</v>
      </c>
      <c r="BM55" s="572" t="s">
        <v>607</v>
      </c>
      <c r="BN55" s="572" t="s">
        <v>607</v>
      </c>
      <c r="BO55" s="572" t="s">
        <v>607</v>
      </c>
      <c r="BP55" s="572" t="s">
        <v>607</v>
      </c>
      <c r="BQ55" s="572" t="s">
        <v>607</v>
      </c>
      <c r="BR55" s="572" t="s">
        <v>607</v>
      </c>
      <c r="BS55" s="572" t="s">
        <v>607</v>
      </c>
      <c r="BT55" s="572" t="s">
        <v>607</v>
      </c>
      <c r="BU55" s="572" t="s">
        <v>607</v>
      </c>
      <c r="BV55" s="572" t="s">
        <v>607</v>
      </c>
      <c r="BW55" s="572" t="s">
        <v>607</v>
      </c>
      <c r="BX55" s="572" t="s">
        <v>607</v>
      </c>
      <c r="BY55" s="572" t="s">
        <v>607</v>
      </c>
      <c r="BZ55" s="572" t="s">
        <v>607</v>
      </c>
      <c r="CA55" s="572" t="s">
        <v>607</v>
      </c>
      <c r="CB55" s="572" t="s">
        <v>607</v>
      </c>
      <c r="CC55" s="572" t="s">
        <v>607</v>
      </c>
      <c r="CD55" s="572" t="s">
        <v>607</v>
      </c>
      <c r="CE55" s="572" t="s">
        <v>607</v>
      </c>
      <c r="CF55" s="572" t="s">
        <v>607</v>
      </c>
      <c r="CG55" s="572" t="s">
        <v>607</v>
      </c>
      <c r="CH55" s="572" t="s">
        <v>607</v>
      </c>
      <c r="CI55" s="572" t="s">
        <v>607</v>
      </c>
      <c r="CJ55" s="572" t="s">
        <v>607</v>
      </c>
      <c r="CK55" s="572" t="s">
        <v>607</v>
      </c>
      <c r="CL55" s="572" t="s">
        <v>607</v>
      </c>
      <c r="CM55" s="572" t="s">
        <v>607</v>
      </c>
      <c r="CN55" s="572" t="s">
        <v>607</v>
      </c>
      <c r="CO55" s="572" t="s">
        <v>607</v>
      </c>
      <c r="CP55" s="550"/>
      <c r="CQ55" s="552"/>
      <c r="CR55" s="562"/>
      <c r="CY55" s="493"/>
      <c r="CZ55" s="490"/>
      <c r="DA55" s="493"/>
      <c r="DB55" s="493"/>
      <c r="DC55" s="493"/>
      <c r="DD55" s="493"/>
      <c r="DE55" s="493"/>
      <c r="DF55" s="493"/>
      <c r="DG55" s="493"/>
      <c r="DH55" s="493"/>
      <c r="DI55" s="493"/>
      <c r="DJ55" s="497"/>
      <c r="DK55" s="497"/>
      <c r="DL55" s="497"/>
      <c r="DM55" s="497"/>
      <c r="DN55" s="497"/>
      <c r="DO55" s="550"/>
    </row>
    <row r="56" spans="1:119" s="551" customFormat="1">
      <c r="A56" s="552" t="s">
        <v>225</v>
      </c>
      <c r="B56" s="488"/>
      <c r="C56" s="488"/>
      <c r="D56" s="488"/>
      <c r="E56" s="488"/>
      <c r="F56" s="488"/>
      <c r="G56" s="488"/>
      <c r="H56" s="488"/>
      <c r="I56" s="488"/>
      <c r="J56" s="488"/>
      <c r="K56" s="488"/>
      <c r="L56" s="488"/>
      <c r="M56" s="488"/>
      <c r="N56" s="488"/>
      <c r="O56" s="488"/>
      <c r="P56" s="488"/>
      <c r="Q56" s="488"/>
      <c r="R56" s="488"/>
      <c r="S56" s="488"/>
      <c r="T56" s="488"/>
      <c r="U56" s="488"/>
      <c r="V56" s="488"/>
      <c r="W56" s="488"/>
      <c r="X56" s="488"/>
      <c r="Y56" s="488"/>
      <c r="Z56" s="488"/>
      <c r="AA56" s="488"/>
      <c r="AB56" s="488"/>
      <c r="AC56" s="488"/>
      <c r="AD56" s="488"/>
      <c r="AE56" s="488"/>
      <c r="AF56" s="488"/>
      <c r="AG56" s="488"/>
      <c r="AH56" s="488"/>
      <c r="AI56" s="488"/>
      <c r="AJ56" s="488"/>
      <c r="AK56" s="488"/>
      <c r="AL56" s="488"/>
      <c r="AM56" s="488"/>
      <c r="AN56" s="488"/>
      <c r="AO56" s="488"/>
      <c r="AP56" s="488"/>
      <c r="AQ56" s="488"/>
      <c r="AR56" s="488"/>
      <c r="AS56" s="488"/>
      <c r="AT56" s="488"/>
      <c r="AU56" s="488"/>
      <c r="AV56" s="488"/>
      <c r="AW56" s="488"/>
      <c r="AX56" s="488"/>
      <c r="AY56" s="488"/>
      <c r="AZ56" s="488"/>
      <c r="BA56" s="488"/>
      <c r="BB56" s="488"/>
      <c r="BC56" s="488"/>
      <c r="BD56" s="488"/>
      <c r="BE56" s="488"/>
      <c r="BF56" s="488"/>
      <c r="BG56" s="572" t="s">
        <v>607</v>
      </c>
      <c r="BH56" s="572" t="s">
        <v>607</v>
      </c>
      <c r="BI56" s="572" t="s">
        <v>607</v>
      </c>
      <c r="BJ56" s="572" t="s">
        <v>607</v>
      </c>
      <c r="BK56" s="572" t="s">
        <v>607</v>
      </c>
      <c r="BL56" s="572" t="s">
        <v>607</v>
      </c>
      <c r="BM56" s="572" t="s">
        <v>607</v>
      </c>
      <c r="BN56" s="572" t="s">
        <v>607</v>
      </c>
      <c r="BO56" s="572" t="s">
        <v>607</v>
      </c>
      <c r="BP56" s="572" t="s">
        <v>607</v>
      </c>
      <c r="BQ56" s="572" t="s">
        <v>607</v>
      </c>
      <c r="BR56" s="572" t="s">
        <v>607</v>
      </c>
      <c r="BS56" s="572" t="s">
        <v>607</v>
      </c>
      <c r="BT56" s="572" t="s">
        <v>607</v>
      </c>
      <c r="BU56" s="572" t="s">
        <v>607</v>
      </c>
      <c r="BV56" s="572" t="s">
        <v>607</v>
      </c>
      <c r="BW56" s="572" t="s">
        <v>607</v>
      </c>
      <c r="BX56" s="572" t="s">
        <v>607</v>
      </c>
      <c r="BY56" s="572" t="s">
        <v>607</v>
      </c>
      <c r="BZ56" s="572" t="s">
        <v>607</v>
      </c>
      <c r="CA56" s="572" t="s">
        <v>607</v>
      </c>
      <c r="CB56" s="572" t="s">
        <v>607</v>
      </c>
      <c r="CC56" s="572" t="s">
        <v>607</v>
      </c>
      <c r="CD56" s="572" t="s">
        <v>607</v>
      </c>
      <c r="CE56" s="572" t="s">
        <v>607</v>
      </c>
      <c r="CF56" s="572" t="s">
        <v>607</v>
      </c>
      <c r="CG56" s="572" t="s">
        <v>607</v>
      </c>
      <c r="CH56" s="572" t="s">
        <v>607</v>
      </c>
      <c r="CI56" s="572" t="s">
        <v>607</v>
      </c>
      <c r="CJ56" s="572" t="s">
        <v>607</v>
      </c>
      <c r="CK56" s="572" t="s">
        <v>607</v>
      </c>
      <c r="CL56" s="572" t="s">
        <v>607</v>
      </c>
      <c r="CM56" s="572" t="s">
        <v>607</v>
      </c>
      <c r="CN56" s="572" t="s">
        <v>607</v>
      </c>
      <c r="CO56" s="572" t="s">
        <v>607</v>
      </c>
      <c r="CP56" s="550"/>
      <c r="CQ56" s="552"/>
      <c r="CR56" s="562"/>
      <c r="CY56" s="551" t="e">
        <f t="shared" ref="CY56:DG56" si="90">CY54/CX54-1</f>
        <v>#DIV/0!</v>
      </c>
      <c r="CZ56" s="488" t="e">
        <f t="shared" si="90"/>
        <v>#DIV/0!</v>
      </c>
      <c r="DA56" s="488" t="e">
        <f t="shared" si="90"/>
        <v>#DIV/0!</v>
      </c>
      <c r="DB56" s="488">
        <f t="shared" si="90"/>
        <v>-0.5</v>
      </c>
      <c r="DC56" s="488">
        <f t="shared" si="90"/>
        <v>-1</v>
      </c>
      <c r="DD56" s="488" t="e">
        <f t="shared" si="90"/>
        <v>#DIV/0!</v>
      </c>
      <c r="DE56" s="488">
        <f t="shared" si="90"/>
        <v>3.5806250000000004</v>
      </c>
      <c r="DF56" s="488">
        <f t="shared" si="90"/>
        <v>-1</v>
      </c>
      <c r="DG56" s="488" t="e">
        <f t="shared" si="90"/>
        <v>#DIV/0!</v>
      </c>
      <c r="DH56" s="488"/>
      <c r="DI56" s="488"/>
      <c r="DJ56" s="489"/>
      <c r="DK56" s="489"/>
      <c r="DL56" s="489"/>
      <c r="DM56" s="489"/>
      <c r="DN56" s="489"/>
      <c r="DO56" s="550"/>
    </row>
    <row r="57" spans="1:119">
      <c r="A57" s="504" t="s">
        <v>600</v>
      </c>
      <c r="B57" s="558"/>
      <c r="C57" s="558"/>
      <c r="D57" s="558"/>
      <c r="E57" s="558"/>
      <c r="F57" s="558"/>
      <c r="G57" s="558"/>
      <c r="H57" s="558"/>
      <c r="I57" s="558"/>
      <c r="J57" s="558"/>
      <c r="K57" s="558"/>
      <c r="L57" s="558"/>
      <c r="M57" s="558"/>
      <c r="N57" s="558"/>
      <c r="O57" s="558"/>
      <c r="P57" s="558"/>
      <c r="Q57" s="558"/>
      <c r="R57" s="558"/>
      <c r="S57" s="558"/>
      <c r="T57" s="558"/>
      <c r="U57" s="558"/>
      <c r="V57" s="558"/>
      <c r="W57" s="558"/>
      <c r="X57" s="558"/>
      <c r="Y57" s="558"/>
      <c r="Z57" s="546">
        <f t="shared" ref="Z57:BE57" si="91">Z66/Z46*1000</f>
        <v>28.011525383861482</v>
      </c>
      <c r="AA57" s="546">
        <f t="shared" si="91"/>
        <v>27.228698655810199</v>
      </c>
      <c r="AB57" s="546">
        <f t="shared" si="91"/>
        <v>30.42740833878317</v>
      </c>
      <c r="AC57" s="546">
        <f t="shared" si="91"/>
        <v>36.292837843153023</v>
      </c>
      <c r="AD57" s="546">
        <f t="shared" si="91"/>
        <v>38.132484541138673</v>
      </c>
      <c r="AE57" s="546">
        <f t="shared" si="91"/>
        <v>51.195810493686636</v>
      </c>
      <c r="AF57" s="546">
        <f t="shared" si="91"/>
        <v>48.535295873395484</v>
      </c>
      <c r="AG57" s="546">
        <f t="shared" si="91"/>
        <v>47.655166346975385</v>
      </c>
      <c r="AH57" s="546">
        <f t="shared" si="91"/>
        <v>47.686166146330983</v>
      </c>
      <c r="AI57" s="546">
        <f t="shared" si="91"/>
        <v>65.255945689419406</v>
      </c>
      <c r="AJ57" s="546">
        <f t="shared" si="91"/>
        <v>72.019073406793098</v>
      </c>
      <c r="AK57" s="546">
        <f t="shared" si="91"/>
        <v>71.682091250751469</v>
      </c>
      <c r="AL57" s="546">
        <f t="shared" si="91"/>
        <v>67.460268551075885</v>
      </c>
      <c r="AM57" s="546">
        <f t="shared" si="91"/>
        <v>71.650304782389995</v>
      </c>
      <c r="AN57" s="546">
        <f t="shared" si="91"/>
        <v>70.025075556473368</v>
      </c>
      <c r="AO57" s="546">
        <f t="shared" si="91"/>
        <v>82.926308176625241</v>
      </c>
      <c r="AP57" s="546">
        <f t="shared" si="91"/>
        <v>93.574900068784459</v>
      </c>
      <c r="AQ57" s="546">
        <f t="shared" si="91"/>
        <v>106.53703068885366</v>
      </c>
      <c r="AR57" s="546">
        <f t="shared" si="91"/>
        <v>103.99488358959995</v>
      </c>
      <c r="AS57" s="546">
        <f t="shared" si="91"/>
        <v>69.740066922842317</v>
      </c>
      <c r="AT57" s="546">
        <f t="shared" si="91"/>
        <v>85.315678343084741</v>
      </c>
      <c r="AU57" s="546">
        <f t="shared" si="91"/>
        <v>85.951215874112307</v>
      </c>
      <c r="AV57" s="546">
        <f t="shared" si="91"/>
        <v>82.646852015186425</v>
      </c>
      <c r="AW57" s="546">
        <f t="shared" si="91"/>
        <v>86.332388360884181</v>
      </c>
      <c r="AX57" s="546">
        <f t="shared" si="91"/>
        <v>84.907504572024493</v>
      </c>
      <c r="AY57" s="546">
        <f t="shared" si="91"/>
        <v>86.219444490730552</v>
      </c>
      <c r="AZ57" s="546">
        <f t="shared" si="91"/>
        <v>108.2327334905422</v>
      </c>
      <c r="BA57" s="546">
        <f t="shared" si="91"/>
        <v>138.87624762099836</v>
      </c>
      <c r="BB57" s="546">
        <f t="shared" si="91"/>
        <v>150.91978038702936</v>
      </c>
      <c r="BC57" s="546">
        <f t="shared" si="91"/>
        <v>160.40528457835319</v>
      </c>
      <c r="BD57" s="546">
        <f t="shared" si="91"/>
        <v>147.91415148411383</v>
      </c>
      <c r="BE57" s="546">
        <f t="shared" si="91"/>
        <v>166.43363641224551</v>
      </c>
      <c r="BF57" s="546">
        <f t="shared" ref="BF57:CO57" si="92">BF66/BF46*1000</f>
        <v>168.33637476785952</v>
      </c>
      <c r="BG57" s="546">
        <f t="shared" si="92"/>
        <v>120.64255942713773</v>
      </c>
      <c r="BH57" s="546">
        <f t="shared" si="92"/>
        <v>115.55662189687206</v>
      </c>
      <c r="BI57" s="546">
        <f t="shared" si="92"/>
        <v>156.77013140065802</v>
      </c>
      <c r="BJ57" s="546">
        <f t="shared" si="92"/>
        <v>195.54929210077364</v>
      </c>
      <c r="BK57" s="546">
        <f t="shared" si="92"/>
        <v>209.69144733012845</v>
      </c>
      <c r="BL57" s="546">
        <f t="shared" si="92"/>
        <v>197.60900552123934</v>
      </c>
      <c r="BM57" s="546">
        <f t="shared" si="92"/>
        <v>206.19645743258457</v>
      </c>
      <c r="BN57" s="546">
        <f t="shared" si="92"/>
        <v>216.56483133302174</v>
      </c>
      <c r="BO57" s="546">
        <f t="shared" si="92"/>
        <v>210.40428764737126</v>
      </c>
      <c r="BP57" s="546">
        <f t="shared" si="92"/>
        <v>230.41819351600378</v>
      </c>
      <c r="BQ57" s="546">
        <f t="shared" si="92"/>
        <v>213.05348653944031</v>
      </c>
      <c r="BR57" s="546">
        <f t="shared" si="92"/>
        <v>276.28492718436769</v>
      </c>
      <c r="BS57" s="546">
        <f t="shared" si="92"/>
        <v>279.75554255941529</v>
      </c>
      <c r="BT57" s="546">
        <f t="shared" si="92"/>
        <v>273.99405514268233</v>
      </c>
      <c r="BU57" s="546">
        <f t="shared" si="92"/>
        <v>281.17976643600076</v>
      </c>
      <c r="BV57" s="547">
        <f t="shared" si="92"/>
        <v>284.25453316442173</v>
      </c>
      <c r="BW57" s="547">
        <f t="shared" si="92"/>
        <v>287.09707849606593</v>
      </c>
      <c r="BX57" s="547">
        <f t="shared" si="92"/>
        <v>289.96804928102665</v>
      </c>
      <c r="BY57" s="547">
        <f t="shared" si="92"/>
        <v>294.64322559257539</v>
      </c>
      <c r="BZ57" s="547">
        <f t="shared" si="92"/>
        <v>297.58965784850119</v>
      </c>
      <c r="CA57" s="547">
        <f t="shared" si="92"/>
        <v>301.83476729749884</v>
      </c>
      <c r="CB57" s="547">
        <f t="shared" si="92"/>
        <v>306.01639067004527</v>
      </c>
      <c r="CC57" s="547">
        <f t="shared" si="92"/>
        <v>310.26309579030857</v>
      </c>
      <c r="CD57" s="547">
        <f t="shared" si="92"/>
        <v>315.25808566828067</v>
      </c>
      <c r="CE57" s="547">
        <f t="shared" si="92"/>
        <v>318.41066652496346</v>
      </c>
      <c r="CF57" s="547">
        <f t="shared" si="92"/>
        <v>324.77887985546272</v>
      </c>
      <c r="CG57" s="547">
        <f t="shared" si="92"/>
        <v>329.28595912992773</v>
      </c>
      <c r="CH57" s="547">
        <f t="shared" si="92"/>
        <v>334.58720202709776</v>
      </c>
      <c r="CI57" s="547">
        <f t="shared" si="92"/>
        <v>337.93307404736862</v>
      </c>
      <c r="CJ57" s="547">
        <f t="shared" si="92"/>
        <v>344.69173552831609</v>
      </c>
      <c r="CK57" s="547">
        <f t="shared" si="92"/>
        <v>349.47515302754022</v>
      </c>
      <c r="CL57" s="547">
        <f t="shared" si="92"/>
        <v>355.1014259412712</v>
      </c>
      <c r="CM57" s="547">
        <f t="shared" si="92"/>
        <v>358.652440200684</v>
      </c>
      <c r="CN57" s="547">
        <f t="shared" si="92"/>
        <v>365.8254890046976</v>
      </c>
      <c r="CO57" s="547">
        <f t="shared" si="92"/>
        <v>370.902187588971</v>
      </c>
      <c r="CP57" s="560"/>
      <c r="CQ57" s="561"/>
      <c r="CR57" s="546"/>
      <c r="CS57" s="546"/>
      <c r="CT57" s="546"/>
      <c r="CU57" s="546"/>
      <c r="CV57" s="546"/>
      <c r="CW57" s="546"/>
      <c r="CX57" s="546">
        <f t="shared" ref="CX57:DN57" si="93">CX66/CX46*1000</f>
        <v>30.650898856236054</v>
      </c>
      <c r="CY57" s="546">
        <f t="shared" si="93"/>
        <v>46.226167777387843</v>
      </c>
      <c r="CZ57" s="546">
        <f t="shared" si="93"/>
        <v>64.705585374033376</v>
      </c>
      <c r="DA57" s="546">
        <f t="shared" si="93"/>
        <v>73.423321755446906</v>
      </c>
      <c r="DB57" s="546">
        <f t="shared" si="93"/>
        <v>94.025236218502144</v>
      </c>
      <c r="DC57" s="546">
        <f t="shared" si="93"/>
        <v>84.959197282289395</v>
      </c>
      <c r="DD57" s="546">
        <f t="shared" si="93"/>
        <v>105.62304014122141</v>
      </c>
      <c r="DE57" s="546">
        <f t="shared" si="93"/>
        <v>156.39324517582125</v>
      </c>
      <c r="DF57" s="546">
        <f t="shared" si="93"/>
        <v>142.94256118571644</v>
      </c>
      <c r="DG57" s="546">
        <f t="shared" si="93"/>
        <v>202.27890300633081</v>
      </c>
      <c r="DH57" s="546">
        <f t="shared" si="93"/>
        <v>217.94955330930344</v>
      </c>
      <c r="DI57" s="546">
        <f t="shared" si="93"/>
        <v>277.71065484848793</v>
      </c>
      <c r="DJ57" s="547">
        <f t="shared" si="93"/>
        <v>289.08203584812844</v>
      </c>
      <c r="DK57" s="547">
        <f t="shared" si="93"/>
        <v>304.15078343587845</v>
      </c>
      <c r="DL57" s="547">
        <f t="shared" si="93"/>
        <v>322.2196227200497</v>
      </c>
      <c r="DM57" s="547">
        <f t="shared" si="93"/>
        <v>341.9755651170463</v>
      </c>
      <c r="DN57" s="547">
        <f t="shared" si="93"/>
        <v>362.94278464452526</v>
      </c>
    </row>
    <row r="58" spans="1:119" s="488" customFormat="1">
      <c r="A58" s="92" t="s">
        <v>223</v>
      </c>
      <c r="AA58" s="488">
        <f t="shared" ref="AA58:CL58" si="94">AA57/Z57-1</f>
        <v>-2.7946594029552574E-2</v>
      </c>
      <c r="AB58" s="488">
        <f t="shared" si="94"/>
        <v>0.11747567239282719</v>
      </c>
      <c r="AC58" s="488">
        <f t="shared" si="94"/>
        <v>0.19276796232736326</v>
      </c>
      <c r="AD58" s="488">
        <f t="shared" si="94"/>
        <v>5.0688973563766559E-2</v>
      </c>
      <c r="AE58" s="488">
        <f t="shared" si="94"/>
        <v>0.34257736178860276</v>
      </c>
      <c r="AF58" s="488">
        <f t="shared" si="94"/>
        <v>-5.1967428479704258E-2</v>
      </c>
      <c r="AG58" s="488">
        <f t="shared" si="94"/>
        <v>-1.8133803669723614E-2</v>
      </c>
      <c r="AH58" s="488">
        <f t="shared" si="94"/>
        <v>6.5050238477581956E-4</v>
      </c>
      <c r="AI58" s="488">
        <f t="shared" si="94"/>
        <v>0.36844604972379935</v>
      </c>
      <c r="AJ58" s="488">
        <f t="shared" si="94"/>
        <v>0.10364002308023035</v>
      </c>
      <c r="AK58" s="488">
        <f t="shared" si="94"/>
        <v>-4.6790681982009641E-3</v>
      </c>
      <c r="AL58" s="488">
        <f t="shared" si="94"/>
        <v>-5.8896477851172135E-2</v>
      </c>
      <c r="AM58" s="488">
        <f t="shared" si="94"/>
        <v>6.2111170342313837E-2</v>
      </c>
      <c r="AN58" s="488">
        <f t="shared" si="94"/>
        <v>-2.2682795709699111E-2</v>
      </c>
      <c r="AO58" s="488">
        <f t="shared" si="94"/>
        <v>0.18423732523854786</v>
      </c>
      <c r="AP58" s="488">
        <f t="shared" si="94"/>
        <v>0.12841029736279497</v>
      </c>
      <c r="AQ58" s="488">
        <f t="shared" si="94"/>
        <v>0.13852144763757246</v>
      </c>
      <c r="AR58" s="488">
        <f t="shared" si="94"/>
        <v>-2.3861628983054439E-2</v>
      </c>
      <c r="AS58" s="488">
        <f t="shared" si="94"/>
        <v>-0.32938944190696029</v>
      </c>
      <c r="AT58" s="488">
        <f t="shared" si="94"/>
        <v>0.22333806242937326</v>
      </c>
      <c r="AU58" s="488">
        <f t="shared" si="94"/>
        <v>7.4492466492717124E-3</v>
      </c>
      <c r="AV58" s="488">
        <f t="shared" si="94"/>
        <v>-3.8444643572763337E-2</v>
      </c>
      <c r="AW58" s="488">
        <f t="shared" si="94"/>
        <v>4.4593789791540273E-2</v>
      </c>
      <c r="AX58" s="488">
        <f t="shared" si="94"/>
        <v>-1.6504626084285157E-2</v>
      </c>
      <c r="AY58" s="488">
        <f t="shared" si="94"/>
        <v>1.5451401207924764E-2</v>
      </c>
      <c r="AZ58" s="488">
        <f t="shared" si="94"/>
        <v>0.25531698945448777</v>
      </c>
      <c r="BA58" s="488">
        <f t="shared" si="94"/>
        <v>0.28312612222007583</v>
      </c>
      <c r="BB58" s="488">
        <f t="shared" si="94"/>
        <v>8.6721329041799411E-2</v>
      </c>
      <c r="BC58" s="488">
        <f t="shared" si="94"/>
        <v>6.2851298663425981E-2</v>
      </c>
      <c r="BD58" s="488">
        <f t="shared" si="94"/>
        <v>-7.7872329001341667E-2</v>
      </c>
      <c r="BE58" s="488">
        <f t="shared" si="94"/>
        <v>0.12520428060678634</v>
      </c>
      <c r="BF58" s="488">
        <f t="shared" si="94"/>
        <v>1.1432414724755757E-2</v>
      </c>
      <c r="BG58" s="488">
        <f>BG57/BF57-1</f>
        <v>-0.28332447699727925</v>
      </c>
      <c r="BH58" s="488">
        <f>BH57/BG57-1</f>
        <v>-4.2157075864569404E-2</v>
      </c>
      <c r="BI58" s="488">
        <f t="shared" si="94"/>
        <v>0.35665207953696276</v>
      </c>
      <c r="BJ58" s="488">
        <f t="shared" si="94"/>
        <v>0.24736319574171683</v>
      </c>
      <c r="BK58" s="488">
        <f t="shared" si="94"/>
        <v>7.2320155585461565E-2</v>
      </c>
      <c r="BL58" s="488">
        <f t="shared" si="94"/>
        <v>-5.7620098305044776E-2</v>
      </c>
      <c r="BM58" s="488">
        <f t="shared" si="94"/>
        <v>4.3456784212307698E-2</v>
      </c>
      <c r="BN58" s="488">
        <f t="shared" si="94"/>
        <v>5.0283957491496167E-2</v>
      </c>
      <c r="BO58" s="488">
        <f t="shared" si="94"/>
        <v>-2.8446648736687674E-2</v>
      </c>
      <c r="BP58" s="488">
        <f t="shared" si="94"/>
        <v>9.5121188319959415E-2</v>
      </c>
      <c r="BQ58" s="488">
        <f t="shared" si="94"/>
        <v>-7.5361700877831894E-2</v>
      </c>
      <c r="BR58" s="488">
        <f t="shared" si="94"/>
        <v>0.29678669742502439</v>
      </c>
      <c r="BS58" s="488">
        <f t="shared" si="94"/>
        <v>1.2561725355113573E-2</v>
      </c>
      <c r="BT58" s="488">
        <f t="shared" si="94"/>
        <v>-2.0594721248496151E-2</v>
      </c>
      <c r="BU58" s="488">
        <f t="shared" si="94"/>
        <v>2.6225792707715856E-2</v>
      </c>
      <c r="BV58" s="489">
        <f t="shared" si="94"/>
        <v>1.093523466284263E-2</v>
      </c>
      <c r="BW58" s="489">
        <f t="shared" si="94"/>
        <v>1.0000000000000009E-2</v>
      </c>
      <c r="BX58" s="489">
        <f t="shared" si="94"/>
        <v>1.0000000000000231E-2</v>
      </c>
      <c r="BY58" s="489">
        <f t="shared" si="94"/>
        <v>1.6123073983981273E-2</v>
      </c>
      <c r="BZ58" s="489">
        <f t="shared" si="94"/>
        <v>1.0000000000000231E-2</v>
      </c>
      <c r="CA58" s="489">
        <f t="shared" si="94"/>
        <v>1.4264976409760877E-2</v>
      </c>
      <c r="CB58" s="489">
        <f t="shared" si="94"/>
        <v>1.3854014930045677E-2</v>
      </c>
      <c r="CC58" s="489">
        <f t="shared" si="94"/>
        <v>1.3877377976273753E-2</v>
      </c>
      <c r="CD58" s="489">
        <f t="shared" si="94"/>
        <v>1.6099207239741897E-2</v>
      </c>
      <c r="CE58" s="489">
        <f t="shared" si="94"/>
        <v>1.0000000000000009E-2</v>
      </c>
      <c r="CF58" s="489">
        <f t="shared" si="94"/>
        <v>2.0000000000000018E-2</v>
      </c>
      <c r="CG58" s="489">
        <f t="shared" si="94"/>
        <v>1.3877377976273531E-2</v>
      </c>
      <c r="CH58" s="489">
        <f t="shared" si="94"/>
        <v>1.6099207239742341E-2</v>
      </c>
      <c r="CI58" s="489">
        <f t="shared" si="94"/>
        <v>9.9999999999995648E-3</v>
      </c>
      <c r="CJ58" s="489">
        <f t="shared" si="94"/>
        <v>2.000000000000024E-2</v>
      </c>
      <c r="CK58" s="489">
        <f t="shared" si="94"/>
        <v>1.3877377976273531E-2</v>
      </c>
      <c r="CL58" s="489">
        <f t="shared" si="94"/>
        <v>1.6099207239742119E-2</v>
      </c>
      <c r="CM58" s="489">
        <f t="shared" ref="CM58:CO58" si="95">CM57/CL57-1</f>
        <v>1.0000000000000231E-2</v>
      </c>
      <c r="CN58" s="489">
        <f t="shared" si="95"/>
        <v>1.9999999999999796E-2</v>
      </c>
      <c r="CO58" s="489">
        <f t="shared" si="95"/>
        <v>1.3877377976273753E-2</v>
      </c>
      <c r="CP58" s="550"/>
      <c r="CQ58" s="552"/>
      <c r="DJ58" s="489"/>
      <c r="DK58" s="489"/>
      <c r="DL58" s="489"/>
      <c r="DM58" s="489"/>
      <c r="DN58" s="489"/>
      <c r="DO58" s="550"/>
    </row>
    <row r="59" spans="1:119" s="488" customFormat="1">
      <c r="A59" s="92" t="s">
        <v>225</v>
      </c>
      <c r="AD59" s="488">
        <f t="shared" ref="AD59:CO59" si="96">AD57/Z57-1</f>
        <v>0.36131410262678032</v>
      </c>
      <c r="AE59" s="488">
        <f t="shared" si="96"/>
        <v>0.88021510468926545</v>
      </c>
      <c r="AF59" s="488">
        <f t="shared" si="96"/>
        <v>0.59511764304723136</v>
      </c>
      <c r="AG59" s="488">
        <f t="shared" si="96"/>
        <v>0.31307357536842417</v>
      </c>
      <c r="AH59" s="488">
        <f t="shared" si="96"/>
        <v>0.25053918516338625</v>
      </c>
      <c r="AI59" s="488">
        <f t="shared" si="96"/>
        <v>0.27463448786432698</v>
      </c>
      <c r="AJ59" s="488">
        <f t="shared" si="96"/>
        <v>0.48384947718574001</v>
      </c>
      <c r="AK59" s="488">
        <f t="shared" si="96"/>
        <v>0.50418300355594181</v>
      </c>
      <c r="AL59" s="488">
        <f t="shared" si="96"/>
        <v>0.41467167530443927</v>
      </c>
      <c r="AM59" s="488">
        <f t="shared" si="96"/>
        <v>9.7988911591352146E-2</v>
      </c>
      <c r="AN59" s="488">
        <f t="shared" si="96"/>
        <v>-2.7687080046931656E-2</v>
      </c>
      <c r="AO59" s="488">
        <f t="shared" si="96"/>
        <v>0.15686228916704348</v>
      </c>
      <c r="AP59" s="488">
        <f t="shared" si="96"/>
        <v>0.38711128903876979</v>
      </c>
      <c r="AQ59" s="488">
        <f t="shared" si="96"/>
        <v>0.48690268677039916</v>
      </c>
      <c r="AR59" s="488">
        <f t="shared" si="96"/>
        <v>0.48510919500159377</v>
      </c>
      <c r="AS59" s="488">
        <f t="shared" si="96"/>
        <v>-0.15901155548487067</v>
      </c>
      <c r="AT59" s="488">
        <f t="shared" si="96"/>
        <v>-8.8263217162172558E-2</v>
      </c>
      <c r="AU59" s="488">
        <f t="shared" si="96"/>
        <v>-0.19322684968443682</v>
      </c>
      <c r="AV59" s="488">
        <f t="shared" si="96"/>
        <v>-0.20527963335831301</v>
      </c>
      <c r="AW59" s="488">
        <f t="shared" si="96"/>
        <v>0.23791662626878396</v>
      </c>
      <c r="AX59" s="488">
        <f t="shared" si="96"/>
        <v>-4.7842762196513844E-3</v>
      </c>
      <c r="AY59" s="488">
        <f t="shared" si="96"/>
        <v>3.1207076466621686E-3</v>
      </c>
      <c r="AZ59" s="488">
        <f t="shared" si="96"/>
        <v>0.30958083522230639</v>
      </c>
      <c r="BA59" s="488">
        <f t="shared" si="96"/>
        <v>0.60862279218399284</v>
      </c>
      <c r="BB59" s="488">
        <f t="shared" si="96"/>
        <v>0.77746102830060959</v>
      </c>
      <c r="BC59" s="488">
        <f t="shared" si="96"/>
        <v>0.86043050411439781</v>
      </c>
      <c r="BD59" s="488">
        <f t="shared" si="96"/>
        <v>0.36663047041160746</v>
      </c>
      <c r="BE59" s="488">
        <f t="shared" si="96"/>
        <v>0.19843125994052579</v>
      </c>
      <c r="BF59" s="488">
        <f t="shared" si="96"/>
        <v>0.11540299314089797</v>
      </c>
      <c r="BG59" s="488">
        <f>BG57/BC57-1</f>
        <v>-0.24788912195590762</v>
      </c>
      <c r="BH59" s="488">
        <f>BH57/BD57-1</f>
        <v>-0.21875884939053325</v>
      </c>
      <c r="BI59" s="488">
        <f t="shared" si="96"/>
        <v>-5.8062211581146994E-2</v>
      </c>
      <c r="BJ59" s="488">
        <f t="shared" si="96"/>
        <v>0.16165797422239536</v>
      </c>
      <c r="BK59" s="488">
        <f t="shared" si="96"/>
        <v>0.73812167385898309</v>
      </c>
      <c r="BL59" s="488">
        <f t="shared" si="96"/>
        <v>0.71006215202097667</v>
      </c>
      <c r="BM59" s="488">
        <f t="shared" si="96"/>
        <v>0.31527897304370756</v>
      </c>
      <c r="BN59" s="488">
        <f t="shared" si="96"/>
        <v>0.10746926775586596</v>
      </c>
      <c r="BO59" s="488">
        <f t="shared" si="96"/>
        <v>3.3994725408164062E-3</v>
      </c>
      <c r="BP59" s="488">
        <f t="shared" si="96"/>
        <v>0.1660308340109431</v>
      </c>
      <c r="BQ59" s="488">
        <f t="shared" si="96"/>
        <v>3.3254834696166524E-2</v>
      </c>
      <c r="BR59" s="488">
        <f t="shared" si="96"/>
        <v>0.27576082175370198</v>
      </c>
      <c r="BS59" s="488">
        <f t="shared" si="96"/>
        <v>0.32960951360589097</v>
      </c>
      <c r="BT59" s="488">
        <f t="shared" si="96"/>
        <v>0.18911641030486592</v>
      </c>
      <c r="BU59" s="488">
        <f t="shared" si="96"/>
        <v>0.31976139420721927</v>
      </c>
      <c r="BV59" s="489">
        <f t="shared" si="96"/>
        <v>2.8845605372948446E-2</v>
      </c>
      <c r="BW59" s="489">
        <f t="shared" si="96"/>
        <v>2.6242682698918829E-2</v>
      </c>
      <c r="BX59" s="489">
        <f t="shared" si="96"/>
        <v>5.8300513600654025E-2</v>
      </c>
      <c r="BY59" s="489">
        <f t="shared" si="96"/>
        <v>4.7882034071036417E-2</v>
      </c>
      <c r="BZ59" s="489">
        <f t="shared" si="96"/>
        <v>4.6912619248770326E-2</v>
      </c>
      <c r="CA59" s="489">
        <f t="shared" si="96"/>
        <v>5.1333468381618674E-2</v>
      </c>
      <c r="CB59" s="489">
        <f t="shared" si="96"/>
        <v>5.534520589013292E-2</v>
      </c>
      <c r="CC59" s="489">
        <f t="shared" si="96"/>
        <v>5.3012826499978294E-2</v>
      </c>
      <c r="CD59" s="489">
        <f t="shared" si="96"/>
        <v>5.9371780415750308E-2</v>
      </c>
      <c r="CE59" s="489">
        <f t="shared" si="96"/>
        <v>5.4917130242742473E-2</v>
      </c>
      <c r="CF59" s="489">
        <f t="shared" si="96"/>
        <v>6.1312040000000012E-2</v>
      </c>
      <c r="CG59" s="489">
        <f t="shared" si="96"/>
        <v>6.131203999999979E-2</v>
      </c>
      <c r="CH59" s="489">
        <f t="shared" si="96"/>
        <v>6.1312040000000012E-2</v>
      </c>
      <c r="CI59" s="489">
        <f t="shared" si="96"/>
        <v>6.131203999999979E-2</v>
      </c>
      <c r="CJ59" s="489">
        <f t="shared" si="96"/>
        <v>6.1312040000000234E-2</v>
      </c>
      <c r="CK59" s="489">
        <f t="shared" si="96"/>
        <v>6.1312040000000012E-2</v>
      </c>
      <c r="CL59" s="489">
        <f t="shared" si="96"/>
        <v>6.131203999999979E-2</v>
      </c>
      <c r="CM59" s="489">
        <f t="shared" si="96"/>
        <v>6.1312040000000456E-2</v>
      </c>
      <c r="CN59" s="489">
        <f t="shared" si="96"/>
        <v>6.1312040000000012E-2</v>
      </c>
      <c r="CO59" s="489">
        <f t="shared" si="96"/>
        <v>6.1312040000000234E-2</v>
      </c>
      <c r="CP59" s="550"/>
      <c r="CQ59" s="552"/>
      <c r="CY59" s="488">
        <f t="shared" ref="CY59:DK59" si="97">CY57/CX57-1</f>
        <v>0.50815047852937378</v>
      </c>
      <c r="CZ59" s="488">
        <f t="shared" si="97"/>
        <v>0.39976096841159725</v>
      </c>
      <c r="DA59" s="488">
        <f t="shared" si="97"/>
        <v>0.13472927153073866</v>
      </c>
      <c r="DB59" s="488">
        <f t="shared" si="97"/>
        <v>0.28059087998871268</v>
      </c>
      <c r="DC59" s="488">
        <f t="shared" si="97"/>
        <v>-9.6421336449976858E-2</v>
      </c>
      <c r="DD59" s="488">
        <f t="shared" si="97"/>
        <v>0.24322078738895536</v>
      </c>
      <c r="DE59" s="488">
        <f t="shared" si="97"/>
        <v>0.48067358188817932</v>
      </c>
      <c r="DF59" s="488">
        <f t="shared" si="97"/>
        <v>-8.6005530321870416E-2</v>
      </c>
      <c r="DG59" s="488">
        <f t="shared" si="97"/>
        <v>0.4151061890063823</v>
      </c>
      <c r="DH59" s="488">
        <f t="shared" si="97"/>
        <v>7.7470512594594032E-2</v>
      </c>
      <c r="DI59" s="488">
        <f t="shared" si="97"/>
        <v>0.27419694434690789</v>
      </c>
      <c r="DJ59" s="489">
        <f t="shared" si="97"/>
        <v>4.0946866103658941E-2</v>
      </c>
      <c r="DK59" s="489">
        <f t="shared" si="97"/>
        <v>5.2126198515034972E-2</v>
      </c>
      <c r="DL59" s="489">
        <f>DL57/DK57-1</f>
        <v>5.9407505317113696E-2</v>
      </c>
      <c r="DM59" s="489">
        <f>DM57/DL57-1</f>
        <v>6.1312040000000012E-2</v>
      </c>
      <c r="DN59" s="489">
        <f>DN57/DM57-1</f>
        <v>6.1312040000000012E-2</v>
      </c>
      <c r="DO59" s="550"/>
    </row>
    <row r="60" spans="1:119" s="536" customFormat="1">
      <c r="A60" s="549" t="s">
        <v>257</v>
      </c>
      <c r="B60" s="485"/>
      <c r="C60" s="485"/>
      <c r="D60" s="485"/>
      <c r="E60" s="485"/>
      <c r="F60" s="485"/>
      <c r="G60" s="485"/>
      <c r="H60" s="485"/>
      <c r="I60" s="485"/>
      <c r="J60" s="485"/>
      <c r="K60" s="485"/>
      <c r="L60" s="485"/>
      <c r="M60" s="485"/>
      <c r="N60" s="485"/>
      <c r="O60" s="485"/>
      <c r="P60" s="485"/>
      <c r="Q60" s="485"/>
      <c r="R60" s="485"/>
      <c r="S60" s="485"/>
      <c r="T60" s="485"/>
      <c r="U60" s="485"/>
      <c r="V60" s="485"/>
      <c r="W60" s="485"/>
      <c r="X60" s="485"/>
      <c r="Y60" s="485"/>
      <c r="Z60" s="485">
        <f t="shared" ref="Z60:BE60" si="98">Z69/Z49*1000</f>
        <v>28.011525383861482</v>
      </c>
      <c r="AA60" s="485">
        <f t="shared" si="98"/>
        <v>27.228698655810199</v>
      </c>
      <c r="AB60" s="485">
        <f t="shared" si="98"/>
        <v>30.42740833878317</v>
      </c>
      <c r="AC60" s="485">
        <f t="shared" si="98"/>
        <v>36.292837843153023</v>
      </c>
      <c r="AD60" s="485">
        <f t="shared" si="98"/>
        <v>38.132484541138673</v>
      </c>
      <c r="AE60" s="485">
        <f t="shared" si="98"/>
        <v>51.195810493686636</v>
      </c>
      <c r="AF60" s="485">
        <f t="shared" si="98"/>
        <v>48.535295873395484</v>
      </c>
      <c r="AG60" s="485">
        <f t="shared" si="98"/>
        <v>47.655166346975385</v>
      </c>
      <c r="AH60" s="485">
        <f t="shared" si="98"/>
        <v>47.686166146330983</v>
      </c>
      <c r="AI60" s="485">
        <f t="shared" si="98"/>
        <v>65.255945689419406</v>
      </c>
      <c r="AJ60" s="485">
        <f t="shared" si="98"/>
        <v>72.019073406793098</v>
      </c>
      <c r="AK60" s="485">
        <f t="shared" si="98"/>
        <v>71.682091250751469</v>
      </c>
      <c r="AL60" s="485">
        <f t="shared" si="98"/>
        <v>67.460268551075885</v>
      </c>
      <c r="AM60" s="485">
        <f t="shared" si="98"/>
        <v>71.650304782389995</v>
      </c>
      <c r="AN60" s="485">
        <f t="shared" si="98"/>
        <v>68.172602281285066</v>
      </c>
      <c r="AO60" s="485">
        <f t="shared" si="98"/>
        <v>77.391585372876378</v>
      </c>
      <c r="AP60" s="485">
        <f t="shared" si="98"/>
        <v>89.824762815819071</v>
      </c>
      <c r="AQ60" s="485">
        <f t="shared" si="98"/>
        <v>106.53703068885366</v>
      </c>
      <c r="AR60" s="485">
        <f t="shared" si="98"/>
        <v>103.99488358959995</v>
      </c>
      <c r="AS60" s="485">
        <f t="shared" si="98"/>
        <v>69.740066922842317</v>
      </c>
      <c r="AT60" s="485">
        <f t="shared" si="98"/>
        <v>85.315678343084741</v>
      </c>
      <c r="AU60" s="485">
        <f t="shared" si="98"/>
        <v>85.951215874112307</v>
      </c>
      <c r="AV60" s="485">
        <f t="shared" si="98"/>
        <v>82.646852015186425</v>
      </c>
      <c r="AW60" s="485">
        <f t="shared" si="98"/>
        <v>86.332388360884181</v>
      </c>
      <c r="AX60" s="485">
        <f t="shared" si="98"/>
        <v>84.907504572024493</v>
      </c>
      <c r="AY60" s="485">
        <f t="shared" si="98"/>
        <v>86.219444490730552</v>
      </c>
      <c r="AZ60" s="485">
        <f t="shared" si="98"/>
        <v>108.2327334905422</v>
      </c>
      <c r="BA60" s="485">
        <f t="shared" si="98"/>
        <v>132.26717655405628</v>
      </c>
      <c r="BB60" s="485">
        <f t="shared" si="98"/>
        <v>140.06594494999865</v>
      </c>
      <c r="BC60" s="485">
        <f t="shared" si="98"/>
        <v>150.47312251006053</v>
      </c>
      <c r="BD60" s="485">
        <f t="shared" si="98"/>
        <v>143.25693038720485</v>
      </c>
      <c r="BE60" s="485">
        <f t="shared" si="98"/>
        <v>165.39684151973489</v>
      </c>
      <c r="BF60" s="485">
        <f t="shared" ref="BF60:CO60" si="99">BF69/BF49*1000</f>
        <v>168.33637476785952</v>
      </c>
      <c r="BG60" s="485">
        <f t="shared" si="99"/>
        <v>120.64255942713773</v>
      </c>
      <c r="BH60" s="485">
        <f t="shared" si="99"/>
        <v>115.55662189687206</v>
      </c>
      <c r="BI60" s="485">
        <f t="shared" si="99"/>
        <v>156.77013140065802</v>
      </c>
      <c r="BJ60" s="485">
        <f t="shared" si="99"/>
        <v>195.54929210077364</v>
      </c>
      <c r="BK60" s="485">
        <f t="shared" si="99"/>
        <v>209.69144733012845</v>
      </c>
      <c r="BL60" s="485">
        <f t="shared" si="99"/>
        <v>197.60900552123934</v>
      </c>
      <c r="BM60" s="485">
        <f t="shared" si="99"/>
        <v>206.19645743258457</v>
      </c>
      <c r="BN60" s="485">
        <f t="shared" si="99"/>
        <v>216.56483133302174</v>
      </c>
      <c r="BO60" s="485">
        <f t="shared" si="99"/>
        <v>210.40428764737126</v>
      </c>
      <c r="BP60" s="485">
        <f t="shared" si="99"/>
        <v>230.41819351600378</v>
      </c>
      <c r="BQ60" s="485">
        <f t="shared" si="99"/>
        <v>213.05348653944031</v>
      </c>
      <c r="BR60" s="485">
        <f t="shared" si="99"/>
        <v>276.28492718436769</v>
      </c>
      <c r="BS60" s="485">
        <f t="shared" si="99"/>
        <v>279.75554255941529</v>
      </c>
      <c r="BT60" s="485">
        <f t="shared" si="99"/>
        <v>273.99405514268233</v>
      </c>
      <c r="BU60" s="485">
        <f t="shared" si="99"/>
        <v>281.17976643600076</v>
      </c>
      <c r="BV60" s="486">
        <f t="shared" si="99"/>
        <v>284.25453316442173</v>
      </c>
      <c r="BW60" s="486">
        <f t="shared" si="99"/>
        <v>287.09707849606593</v>
      </c>
      <c r="BX60" s="486">
        <f t="shared" si="99"/>
        <v>289.96804928102665</v>
      </c>
      <c r="BY60" s="486">
        <f t="shared" si="99"/>
        <v>294.64322559257539</v>
      </c>
      <c r="BZ60" s="486">
        <f t="shared" si="99"/>
        <v>297.58965784850119</v>
      </c>
      <c r="CA60" s="486">
        <f t="shared" si="99"/>
        <v>301.83476729749884</v>
      </c>
      <c r="CB60" s="486">
        <f t="shared" si="99"/>
        <v>306.01639067004527</v>
      </c>
      <c r="CC60" s="486">
        <f t="shared" si="99"/>
        <v>310.26309579030857</v>
      </c>
      <c r="CD60" s="486">
        <f t="shared" si="99"/>
        <v>315.25808566828067</v>
      </c>
      <c r="CE60" s="486">
        <f t="shared" si="99"/>
        <v>318.41066652496346</v>
      </c>
      <c r="CF60" s="486">
        <f t="shared" si="99"/>
        <v>324.77887985546272</v>
      </c>
      <c r="CG60" s="486">
        <f t="shared" si="99"/>
        <v>329.28595912992773</v>
      </c>
      <c r="CH60" s="486">
        <f t="shared" si="99"/>
        <v>334.58720202709776</v>
      </c>
      <c r="CI60" s="486">
        <f t="shared" si="99"/>
        <v>337.93307404736862</v>
      </c>
      <c r="CJ60" s="486">
        <f t="shared" si="99"/>
        <v>344.69173552831609</v>
      </c>
      <c r="CK60" s="486">
        <f t="shared" si="99"/>
        <v>349.47515302754022</v>
      </c>
      <c r="CL60" s="486">
        <f t="shared" si="99"/>
        <v>355.1014259412712</v>
      </c>
      <c r="CM60" s="486">
        <f t="shared" si="99"/>
        <v>358.652440200684</v>
      </c>
      <c r="CN60" s="486">
        <f t="shared" si="99"/>
        <v>365.8254890046976</v>
      </c>
      <c r="CO60" s="486">
        <f t="shared" si="99"/>
        <v>370.902187588971</v>
      </c>
      <c r="CP60" s="560"/>
      <c r="CQ60" s="501"/>
      <c r="CR60" s="485"/>
      <c r="CS60" s="485"/>
      <c r="CT60" s="485"/>
      <c r="CU60" s="485"/>
      <c r="CV60" s="485"/>
      <c r="CW60" s="485"/>
      <c r="CX60" s="485">
        <f t="shared" ref="CX60:DN60" si="100">CX69/CX49*1000</f>
        <v>30.650898856236054</v>
      </c>
      <c r="CY60" s="485">
        <f t="shared" si="100"/>
        <v>46.226167777387843</v>
      </c>
      <c r="CZ60" s="485">
        <f t="shared" si="100"/>
        <v>64.705585374033376</v>
      </c>
      <c r="DA60" s="485">
        <f t="shared" si="100"/>
        <v>71.299419351514231</v>
      </c>
      <c r="DB60" s="485">
        <f t="shared" si="100"/>
        <v>93.047576735287791</v>
      </c>
      <c r="DC60" s="485">
        <f t="shared" si="100"/>
        <v>84.959197282289395</v>
      </c>
      <c r="DD60" s="485">
        <f t="shared" si="100"/>
        <v>103.63306763431393</v>
      </c>
      <c r="DE60" s="485">
        <f t="shared" si="100"/>
        <v>150.13353874755941</v>
      </c>
      <c r="DF60" s="485">
        <f t="shared" si="100"/>
        <v>142.94256118571644</v>
      </c>
      <c r="DG60" s="485">
        <f t="shared" si="100"/>
        <v>202.27890300633081</v>
      </c>
      <c r="DH60" s="485">
        <f t="shared" si="100"/>
        <v>217.94955330930344</v>
      </c>
      <c r="DI60" s="485">
        <f t="shared" si="100"/>
        <v>277.71065484848793</v>
      </c>
      <c r="DJ60" s="486">
        <f t="shared" si="100"/>
        <v>289.08203584812844</v>
      </c>
      <c r="DK60" s="486">
        <f t="shared" si="100"/>
        <v>304.15078343587845</v>
      </c>
      <c r="DL60" s="486">
        <f t="shared" si="100"/>
        <v>322.2196227200497</v>
      </c>
      <c r="DM60" s="486">
        <f t="shared" si="100"/>
        <v>341.9755651170463</v>
      </c>
      <c r="DN60" s="486">
        <f t="shared" si="100"/>
        <v>362.94278464452526</v>
      </c>
      <c r="DO60" s="560"/>
    </row>
    <row r="61" spans="1:119" s="551" customFormat="1">
      <c r="A61" s="552" t="s">
        <v>223</v>
      </c>
      <c r="B61" s="488"/>
      <c r="C61" s="488"/>
      <c r="D61" s="488"/>
      <c r="E61" s="488"/>
      <c r="F61" s="488"/>
      <c r="G61" s="488"/>
      <c r="H61" s="488"/>
      <c r="I61" s="488"/>
      <c r="J61" s="488"/>
      <c r="K61" s="488"/>
      <c r="L61" s="488"/>
      <c r="M61" s="488"/>
      <c r="N61" s="488"/>
      <c r="O61" s="488"/>
      <c r="P61" s="488"/>
      <c r="Q61" s="488"/>
      <c r="R61" s="488"/>
      <c r="S61" s="488"/>
      <c r="T61" s="488"/>
      <c r="U61" s="488"/>
      <c r="V61" s="488"/>
      <c r="W61" s="488"/>
      <c r="X61" s="488"/>
      <c r="Y61" s="488"/>
      <c r="Z61" s="488"/>
      <c r="AA61" s="488">
        <f t="shared" ref="AA61:CL61" si="101">AA60/Z60-1</f>
        <v>-2.7946594029552574E-2</v>
      </c>
      <c r="AB61" s="488">
        <f t="shared" si="101"/>
        <v>0.11747567239282719</v>
      </c>
      <c r="AC61" s="488">
        <f t="shared" si="101"/>
        <v>0.19276796232736326</v>
      </c>
      <c r="AD61" s="488">
        <f t="shared" si="101"/>
        <v>5.0688973563766559E-2</v>
      </c>
      <c r="AE61" s="488">
        <f t="shared" si="101"/>
        <v>0.34257736178860276</v>
      </c>
      <c r="AF61" s="488">
        <f t="shared" si="101"/>
        <v>-5.1967428479704258E-2</v>
      </c>
      <c r="AG61" s="488">
        <f t="shared" si="101"/>
        <v>-1.8133803669723614E-2</v>
      </c>
      <c r="AH61" s="488">
        <f t="shared" si="101"/>
        <v>6.5050238477581956E-4</v>
      </c>
      <c r="AI61" s="488">
        <f t="shared" si="101"/>
        <v>0.36844604972379935</v>
      </c>
      <c r="AJ61" s="488">
        <f t="shared" si="101"/>
        <v>0.10364002308023035</v>
      </c>
      <c r="AK61" s="488">
        <f t="shared" si="101"/>
        <v>-4.6790681982009641E-3</v>
      </c>
      <c r="AL61" s="488">
        <f t="shared" si="101"/>
        <v>-5.8896477851172135E-2</v>
      </c>
      <c r="AM61" s="488">
        <f t="shared" si="101"/>
        <v>6.2111170342313837E-2</v>
      </c>
      <c r="AN61" s="488">
        <f t="shared" si="101"/>
        <v>-4.8537162705268311E-2</v>
      </c>
      <c r="AO61" s="488">
        <f t="shared" si="101"/>
        <v>0.13523003058550009</v>
      </c>
      <c r="AP61" s="488">
        <f t="shared" si="101"/>
        <v>0.16065283303138256</v>
      </c>
      <c r="AQ61" s="488">
        <f t="shared" si="101"/>
        <v>0.18605412749379835</v>
      </c>
      <c r="AR61" s="488">
        <f t="shared" si="101"/>
        <v>-2.3861628983054439E-2</v>
      </c>
      <c r="AS61" s="488">
        <f t="shared" si="101"/>
        <v>-0.32938944190696029</v>
      </c>
      <c r="AT61" s="488">
        <f t="shared" si="101"/>
        <v>0.22333806242937326</v>
      </c>
      <c r="AU61" s="488">
        <f t="shared" si="101"/>
        <v>7.4492466492717124E-3</v>
      </c>
      <c r="AV61" s="488">
        <f t="shared" si="101"/>
        <v>-3.8444643572763337E-2</v>
      </c>
      <c r="AW61" s="488">
        <f t="shared" si="101"/>
        <v>4.4593789791540273E-2</v>
      </c>
      <c r="AX61" s="488">
        <f t="shared" si="101"/>
        <v>-1.6504626084285157E-2</v>
      </c>
      <c r="AY61" s="488">
        <f t="shared" si="101"/>
        <v>1.5451401207924764E-2</v>
      </c>
      <c r="AZ61" s="488">
        <f t="shared" si="101"/>
        <v>0.25531698945448777</v>
      </c>
      <c r="BA61" s="488">
        <f t="shared" si="101"/>
        <v>0.2220626079411947</v>
      </c>
      <c r="BB61" s="488">
        <f t="shared" si="101"/>
        <v>5.8962235371790017E-2</v>
      </c>
      <c r="BC61" s="488">
        <f t="shared" si="101"/>
        <v>7.4301983710437725E-2</v>
      </c>
      <c r="BD61" s="488">
        <f t="shared" si="101"/>
        <v>-4.7956684904795654E-2</v>
      </c>
      <c r="BE61" s="488">
        <f t="shared" si="101"/>
        <v>0.15454687652938492</v>
      </c>
      <c r="BF61" s="488">
        <f t="shared" si="101"/>
        <v>1.7772608117029298E-2</v>
      </c>
      <c r="BG61" s="488">
        <f>BG60/BF60-1</f>
        <v>-0.28332447699727925</v>
      </c>
      <c r="BH61" s="488">
        <f>BH60/BG60-1</f>
        <v>-4.2157075864569404E-2</v>
      </c>
      <c r="BI61" s="488">
        <f t="shared" si="101"/>
        <v>0.35665207953696276</v>
      </c>
      <c r="BJ61" s="488">
        <f t="shared" si="101"/>
        <v>0.24736319574171683</v>
      </c>
      <c r="BK61" s="488">
        <f t="shared" si="101"/>
        <v>7.2320155585461565E-2</v>
      </c>
      <c r="BL61" s="488">
        <f t="shared" si="101"/>
        <v>-5.7620098305044776E-2</v>
      </c>
      <c r="BM61" s="488">
        <f t="shared" si="101"/>
        <v>4.3456784212307698E-2</v>
      </c>
      <c r="BN61" s="488">
        <f t="shared" si="101"/>
        <v>5.0283957491496167E-2</v>
      </c>
      <c r="BO61" s="488">
        <f t="shared" si="101"/>
        <v>-2.8446648736687674E-2</v>
      </c>
      <c r="BP61" s="488">
        <f t="shared" si="101"/>
        <v>9.5121188319959415E-2</v>
      </c>
      <c r="BQ61" s="488">
        <f t="shared" si="101"/>
        <v>-7.5361700877831894E-2</v>
      </c>
      <c r="BR61" s="488">
        <f t="shared" si="101"/>
        <v>0.29678669742502439</v>
      </c>
      <c r="BS61" s="488">
        <f t="shared" si="101"/>
        <v>1.2561725355113573E-2</v>
      </c>
      <c r="BT61" s="488">
        <f t="shared" si="101"/>
        <v>-2.0594721248496151E-2</v>
      </c>
      <c r="BU61" s="488">
        <f t="shared" si="101"/>
        <v>2.6225792707715856E-2</v>
      </c>
      <c r="BV61" s="489">
        <f t="shared" si="101"/>
        <v>1.093523466284263E-2</v>
      </c>
      <c r="BW61" s="489">
        <f t="shared" si="101"/>
        <v>1.0000000000000009E-2</v>
      </c>
      <c r="BX61" s="489">
        <f t="shared" si="101"/>
        <v>1.0000000000000231E-2</v>
      </c>
      <c r="BY61" s="489">
        <f t="shared" si="101"/>
        <v>1.6123073983981273E-2</v>
      </c>
      <c r="BZ61" s="489">
        <f t="shared" si="101"/>
        <v>1.0000000000000231E-2</v>
      </c>
      <c r="CA61" s="489">
        <f t="shared" si="101"/>
        <v>1.4264976409760877E-2</v>
      </c>
      <c r="CB61" s="489">
        <f t="shared" si="101"/>
        <v>1.3854014930045677E-2</v>
      </c>
      <c r="CC61" s="489">
        <f t="shared" si="101"/>
        <v>1.3877377976273753E-2</v>
      </c>
      <c r="CD61" s="489">
        <f t="shared" si="101"/>
        <v>1.6099207239741897E-2</v>
      </c>
      <c r="CE61" s="489">
        <f t="shared" si="101"/>
        <v>1.0000000000000009E-2</v>
      </c>
      <c r="CF61" s="489">
        <f t="shared" si="101"/>
        <v>2.0000000000000018E-2</v>
      </c>
      <c r="CG61" s="489">
        <f t="shared" si="101"/>
        <v>1.3877377976273531E-2</v>
      </c>
      <c r="CH61" s="489">
        <f t="shared" si="101"/>
        <v>1.6099207239742341E-2</v>
      </c>
      <c r="CI61" s="489">
        <f t="shared" si="101"/>
        <v>9.9999999999995648E-3</v>
      </c>
      <c r="CJ61" s="489">
        <f t="shared" si="101"/>
        <v>2.000000000000024E-2</v>
      </c>
      <c r="CK61" s="489">
        <f t="shared" si="101"/>
        <v>1.3877377976273531E-2</v>
      </c>
      <c r="CL61" s="489">
        <f t="shared" si="101"/>
        <v>1.6099207239742119E-2</v>
      </c>
      <c r="CM61" s="489">
        <f t="shared" ref="CM61:CO61" si="102">CM60/CL60-1</f>
        <v>1.0000000000000231E-2</v>
      </c>
      <c r="CN61" s="489">
        <f t="shared" si="102"/>
        <v>1.9999999999999796E-2</v>
      </c>
      <c r="CO61" s="489">
        <f t="shared" si="102"/>
        <v>1.3877377976273753E-2</v>
      </c>
      <c r="CP61" s="550"/>
      <c r="CQ61" s="552"/>
      <c r="CR61" s="489"/>
      <c r="CS61" s="489"/>
      <c r="CT61" s="489"/>
      <c r="CU61" s="489"/>
      <c r="CV61" s="489"/>
      <c r="CW61" s="489"/>
      <c r="CX61" s="489"/>
      <c r="CY61" s="493"/>
      <c r="CZ61" s="490"/>
      <c r="DA61" s="493"/>
      <c r="DB61" s="493"/>
      <c r="DC61" s="493"/>
      <c r="DD61" s="493"/>
      <c r="DE61" s="493"/>
      <c r="DF61" s="493"/>
      <c r="DG61" s="493"/>
      <c r="DH61" s="493"/>
      <c r="DI61" s="493"/>
      <c r="DJ61" s="497"/>
      <c r="DK61" s="497"/>
      <c r="DL61" s="497"/>
      <c r="DM61" s="497"/>
      <c r="DN61" s="497"/>
      <c r="DO61" s="550"/>
    </row>
    <row r="62" spans="1:119" s="551" customFormat="1">
      <c r="A62" s="552" t="s">
        <v>225</v>
      </c>
      <c r="B62" s="488"/>
      <c r="C62" s="488"/>
      <c r="D62" s="488"/>
      <c r="E62" s="488"/>
      <c r="F62" s="488"/>
      <c r="G62" s="488"/>
      <c r="H62" s="488"/>
      <c r="I62" s="488"/>
      <c r="J62" s="488"/>
      <c r="K62" s="488"/>
      <c r="L62" s="488"/>
      <c r="M62" s="488"/>
      <c r="N62" s="488"/>
      <c r="O62" s="488"/>
      <c r="P62" s="488"/>
      <c r="Q62" s="488"/>
      <c r="R62" s="488"/>
      <c r="S62" s="488"/>
      <c r="T62" s="488"/>
      <c r="U62" s="488"/>
      <c r="V62" s="488"/>
      <c r="W62" s="488"/>
      <c r="X62" s="488"/>
      <c r="Y62" s="488"/>
      <c r="Z62" s="488"/>
      <c r="AA62" s="488"/>
      <c r="AB62" s="488"/>
      <c r="AC62" s="488"/>
      <c r="AD62" s="488">
        <f t="shared" ref="AD62:CO62" si="103">AD60/Z60-1</f>
        <v>0.36131410262678032</v>
      </c>
      <c r="AE62" s="488">
        <f t="shared" si="103"/>
        <v>0.88021510468926545</v>
      </c>
      <c r="AF62" s="488">
        <f t="shared" si="103"/>
        <v>0.59511764304723136</v>
      </c>
      <c r="AG62" s="488">
        <f t="shared" si="103"/>
        <v>0.31307357536842417</v>
      </c>
      <c r="AH62" s="488">
        <f t="shared" si="103"/>
        <v>0.25053918516338625</v>
      </c>
      <c r="AI62" s="488">
        <f t="shared" si="103"/>
        <v>0.27463448786432698</v>
      </c>
      <c r="AJ62" s="488">
        <f t="shared" si="103"/>
        <v>0.48384947718574001</v>
      </c>
      <c r="AK62" s="488">
        <f t="shared" si="103"/>
        <v>0.50418300355594181</v>
      </c>
      <c r="AL62" s="488">
        <f t="shared" si="103"/>
        <v>0.41467167530443927</v>
      </c>
      <c r="AM62" s="488">
        <f t="shared" si="103"/>
        <v>9.7988911591352146E-2</v>
      </c>
      <c r="AN62" s="488">
        <f t="shared" si="103"/>
        <v>-5.3409061565977023E-2</v>
      </c>
      <c r="AO62" s="488">
        <f t="shared" si="103"/>
        <v>7.9650216985892586E-2</v>
      </c>
      <c r="AP62" s="488">
        <f t="shared" si="103"/>
        <v>0.33152097886788656</v>
      </c>
      <c r="AQ62" s="488">
        <f t="shared" si="103"/>
        <v>0.48690268677039916</v>
      </c>
      <c r="AR62" s="488">
        <f t="shared" si="103"/>
        <v>0.52546448440547389</v>
      </c>
      <c r="AS62" s="488">
        <f t="shared" si="103"/>
        <v>-9.8867576018357495E-2</v>
      </c>
      <c r="AT62" s="488">
        <f t="shared" si="103"/>
        <v>-5.0198679421842418E-2</v>
      </c>
      <c r="AU62" s="488">
        <f t="shared" si="103"/>
        <v>-0.19322684968443682</v>
      </c>
      <c r="AV62" s="488">
        <f t="shared" si="103"/>
        <v>-0.20527963335831301</v>
      </c>
      <c r="AW62" s="488">
        <f t="shared" si="103"/>
        <v>0.23791662626878396</v>
      </c>
      <c r="AX62" s="488">
        <f t="shared" si="103"/>
        <v>-4.7842762196513844E-3</v>
      </c>
      <c r="AY62" s="488">
        <f t="shared" si="103"/>
        <v>3.1207076466621686E-3</v>
      </c>
      <c r="AZ62" s="488">
        <f t="shared" si="103"/>
        <v>0.30958083522230639</v>
      </c>
      <c r="BA62" s="488">
        <f t="shared" si="103"/>
        <v>0.53206900753349728</v>
      </c>
      <c r="BB62" s="488">
        <f t="shared" si="103"/>
        <v>0.64962974304803534</v>
      </c>
      <c r="BC62" s="488">
        <f t="shared" si="103"/>
        <v>0.7452341916473133</v>
      </c>
      <c r="BD62" s="488">
        <f t="shared" si="103"/>
        <v>0.32360077923859509</v>
      </c>
      <c r="BE62" s="488">
        <f t="shared" si="103"/>
        <v>0.25047533204232919</v>
      </c>
      <c r="BF62" s="488">
        <f t="shared" si="103"/>
        <v>0.20183656939560124</v>
      </c>
      <c r="BG62" s="488">
        <f>BG60/BC60-1</f>
        <v>-0.1982451256763702</v>
      </c>
      <c r="BH62" s="488">
        <f>BH60/BD60-1</f>
        <v>-0.19336103611505884</v>
      </c>
      <c r="BI62" s="488">
        <f t="shared" si="103"/>
        <v>-5.2157647267088492E-2</v>
      </c>
      <c r="BJ62" s="488">
        <f t="shared" si="103"/>
        <v>0.16165797422239536</v>
      </c>
      <c r="BK62" s="488">
        <f t="shared" si="103"/>
        <v>0.73812167385898309</v>
      </c>
      <c r="BL62" s="488">
        <f t="shared" si="103"/>
        <v>0.71006215202097667</v>
      </c>
      <c r="BM62" s="488">
        <f t="shared" si="103"/>
        <v>0.31527897304370756</v>
      </c>
      <c r="BN62" s="488">
        <f t="shared" si="103"/>
        <v>0.10746926775586596</v>
      </c>
      <c r="BO62" s="488">
        <f t="shared" si="103"/>
        <v>3.3994725408164062E-3</v>
      </c>
      <c r="BP62" s="488">
        <f t="shared" si="103"/>
        <v>0.1660308340109431</v>
      </c>
      <c r="BQ62" s="488">
        <f t="shared" si="103"/>
        <v>3.3254834696166524E-2</v>
      </c>
      <c r="BR62" s="488">
        <f t="shared" si="103"/>
        <v>0.27576082175370198</v>
      </c>
      <c r="BS62" s="488">
        <f t="shared" si="103"/>
        <v>0.32960951360589097</v>
      </c>
      <c r="BT62" s="488">
        <f t="shared" si="103"/>
        <v>0.18911641030486592</v>
      </c>
      <c r="BU62" s="488">
        <f t="shared" si="103"/>
        <v>0.31976139420721927</v>
      </c>
      <c r="BV62" s="489">
        <f t="shared" si="103"/>
        <v>2.8845605372948446E-2</v>
      </c>
      <c r="BW62" s="489">
        <f t="shared" si="103"/>
        <v>2.6242682698918829E-2</v>
      </c>
      <c r="BX62" s="489">
        <f t="shared" si="103"/>
        <v>5.8300513600654025E-2</v>
      </c>
      <c r="BY62" s="489">
        <f t="shared" si="103"/>
        <v>4.7882034071036417E-2</v>
      </c>
      <c r="BZ62" s="489">
        <f t="shared" si="103"/>
        <v>4.6912619248770326E-2</v>
      </c>
      <c r="CA62" s="489">
        <f t="shared" si="103"/>
        <v>5.1333468381618674E-2</v>
      </c>
      <c r="CB62" s="489">
        <f t="shared" si="103"/>
        <v>5.534520589013292E-2</v>
      </c>
      <c r="CC62" s="489">
        <f t="shared" si="103"/>
        <v>5.3012826499978294E-2</v>
      </c>
      <c r="CD62" s="489">
        <f t="shared" si="103"/>
        <v>5.9371780415750308E-2</v>
      </c>
      <c r="CE62" s="489">
        <f t="shared" si="103"/>
        <v>5.4917130242742473E-2</v>
      </c>
      <c r="CF62" s="489">
        <f t="shared" si="103"/>
        <v>6.1312040000000012E-2</v>
      </c>
      <c r="CG62" s="489">
        <f t="shared" si="103"/>
        <v>6.131203999999979E-2</v>
      </c>
      <c r="CH62" s="489">
        <f t="shared" si="103"/>
        <v>6.1312040000000012E-2</v>
      </c>
      <c r="CI62" s="489">
        <f t="shared" si="103"/>
        <v>6.131203999999979E-2</v>
      </c>
      <c r="CJ62" s="489">
        <f t="shared" si="103"/>
        <v>6.1312040000000234E-2</v>
      </c>
      <c r="CK62" s="489">
        <f t="shared" si="103"/>
        <v>6.1312040000000012E-2</v>
      </c>
      <c r="CL62" s="489">
        <f t="shared" si="103"/>
        <v>6.131203999999979E-2</v>
      </c>
      <c r="CM62" s="489">
        <f t="shared" si="103"/>
        <v>6.1312040000000456E-2</v>
      </c>
      <c r="CN62" s="489">
        <f t="shared" si="103"/>
        <v>6.1312040000000012E-2</v>
      </c>
      <c r="CO62" s="489">
        <f t="shared" si="103"/>
        <v>6.1312040000000234E-2</v>
      </c>
      <c r="CP62" s="550"/>
      <c r="CQ62" s="552"/>
      <c r="CR62" s="488"/>
      <c r="CS62" s="488"/>
      <c r="CT62" s="488"/>
      <c r="CU62" s="488"/>
      <c r="CV62" s="488"/>
      <c r="CW62" s="488"/>
      <c r="CX62" s="488"/>
      <c r="CY62" s="488">
        <f t="shared" ref="CY62:DK62" si="104">CY60/CX60-1</f>
        <v>0.50815047852937378</v>
      </c>
      <c r="CZ62" s="488">
        <f t="shared" si="104"/>
        <v>0.39976096841159725</v>
      </c>
      <c r="DA62" s="488">
        <f t="shared" si="104"/>
        <v>0.10190517463623761</v>
      </c>
      <c r="DB62" s="488">
        <f t="shared" si="104"/>
        <v>0.30502572926369398</v>
      </c>
      <c r="DC62" s="488">
        <f t="shared" si="104"/>
        <v>-8.6927351971874844E-2</v>
      </c>
      <c r="DD62" s="488">
        <f t="shared" si="104"/>
        <v>0.21979810249357534</v>
      </c>
      <c r="DE62" s="488">
        <f t="shared" si="104"/>
        <v>0.4487030266953973</v>
      </c>
      <c r="DF62" s="488">
        <f t="shared" si="104"/>
        <v>-4.7897209523144357E-2</v>
      </c>
      <c r="DG62" s="488">
        <f t="shared" si="104"/>
        <v>0.4151061890063823</v>
      </c>
      <c r="DH62" s="488">
        <f t="shared" si="104"/>
        <v>7.7470512594594032E-2</v>
      </c>
      <c r="DI62" s="488">
        <f t="shared" si="104"/>
        <v>0.27419694434690789</v>
      </c>
      <c r="DJ62" s="489">
        <f t="shared" si="104"/>
        <v>4.0946866103658941E-2</v>
      </c>
      <c r="DK62" s="489">
        <f t="shared" si="104"/>
        <v>5.2126198515034972E-2</v>
      </c>
      <c r="DL62" s="489">
        <f>DL60/DK60-1</f>
        <v>5.9407505317113696E-2</v>
      </c>
      <c r="DM62" s="489">
        <f>DM60/DL60-1</f>
        <v>6.1312040000000012E-2</v>
      </c>
      <c r="DN62" s="489">
        <f>DN60/DM60-1</f>
        <v>6.1312040000000012E-2</v>
      </c>
      <c r="DO62" s="550"/>
    </row>
    <row r="63" spans="1:119" s="536" customFormat="1">
      <c r="A63" s="549" t="s">
        <v>259</v>
      </c>
      <c r="B63" s="485"/>
      <c r="C63" s="485"/>
      <c r="D63" s="485"/>
      <c r="E63" s="485"/>
      <c r="F63" s="485"/>
      <c r="G63" s="485"/>
      <c r="H63" s="485"/>
      <c r="I63" s="485"/>
      <c r="J63" s="485"/>
      <c r="K63" s="485"/>
      <c r="L63" s="485"/>
      <c r="M63" s="485"/>
      <c r="N63" s="485"/>
      <c r="O63" s="485"/>
      <c r="P63" s="485"/>
      <c r="Q63" s="485"/>
      <c r="R63" s="485"/>
      <c r="S63" s="485"/>
      <c r="T63" s="485"/>
      <c r="U63" s="485"/>
      <c r="V63" s="485"/>
      <c r="W63" s="485"/>
      <c r="X63" s="485"/>
      <c r="Y63" s="485"/>
      <c r="Z63" s="485"/>
      <c r="AA63" s="485"/>
      <c r="AB63" s="485"/>
      <c r="AC63" s="485"/>
      <c r="AD63" s="485"/>
      <c r="AE63" s="485"/>
      <c r="AF63" s="485"/>
      <c r="AG63" s="485"/>
      <c r="AH63" s="485"/>
      <c r="AI63" s="485"/>
      <c r="AJ63" s="485"/>
      <c r="AK63" s="485"/>
      <c r="AL63" s="485"/>
      <c r="AM63" s="485"/>
      <c r="AN63" s="485"/>
      <c r="AO63" s="485"/>
      <c r="AP63" s="485"/>
      <c r="AQ63" s="485"/>
      <c r="AR63" s="485"/>
      <c r="AS63" s="485"/>
      <c r="AT63" s="485"/>
      <c r="AU63" s="485"/>
      <c r="AV63" s="485"/>
      <c r="AW63" s="485"/>
      <c r="AX63" s="485"/>
      <c r="AY63" s="485"/>
      <c r="AZ63" s="485"/>
      <c r="BA63" s="485"/>
      <c r="BB63" s="485"/>
      <c r="BC63" s="485"/>
      <c r="BD63" s="485"/>
      <c r="BE63" s="485"/>
      <c r="BF63" s="485"/>
      <c r="BG63" s="485"/>
      <c r="BH63" s="485"/>
      <c r="BI63" s="485"/>
      <c r="BJ63" s="485"/>
      <c r="BK63" s="485"/>
      <c r="BL63" s="485"/>
      <c r="BM63" s="485"/>
      <c r="BN63" s="485"/>
      <c r="BO63" s="485"/>
      <c r="BP63" s="485"/>
      <c r="BQ63" s="485"/>
      <c r="BR63" s="485"/>
      <c r="BS63" s="485"/>
      <c r="BT63" s="485"/>
      <c r="BU63" s="485"/>
      <c r="BV63" s="486"/>
      <c r="BW63" s="486"/>
      <c r="BX63" s="486"/>
      <c r="BY63" s="486"/>
      <c r="BZ63" s="486"/>
      <c r="CA63" s="486"/>
      <c r="CB63" s="486"/>
      <c r="CC63" s="486"/>
      <c r="CD63" s="486"/>
      <c r="CE63" s="486"/>
      <c r="CF63" s="486"/>
      <c r="CG63" s="486"/>
      <c r="CH63" s="486"/>
      <c r="CI63" s="486"/>
      <c r="CJ63" s="486"/>
      <c r="CK63" s="486"/>
      <c r="CL63" s="486"/>
      <c r="CM63" s="486"/>
      <c r="CN63" s="486"/>
      <c r="CO63" s="486"/>
      <c r="CP63" s="560"/>
      <c r="CQ63" s="501"/>
      <c r="CR63" s="485"/>
      <c r="CS63" s="485"/>
      <c r="CT63" s="485"/>
      <c r="CU63" s="485"/>
      <c r="CV63" s="485"/>
      <c r="CW63" s="485"/>
      <c r="CX63" s="485" t="e">
        <f t="shared" ref="CX63:DG63" si="105">CX72/CX54*1000</f>
        <v>#DIV/0!</v>
      </c>
      <c r="CY63" s="485" t="e">
        <f t="shared" si="105"/>
        <v>#DIV/0!</v>
      </c>
      <c r="CZ63" s="485" t="e">
        <f t="shared" si="105"/>
        <v>#DIV/0!</v>
      </c>
      <c r="DA63" s="485">
        <f t="shared" si="105"/>
        <v>215</v>
      </c>
      <c r="DB63" s="485">
        <f t="shared" si="105"/>
        <v>215.00000000000003</v>
      </c>
      <c r="DC63" s="485" t="e">
        <f t="shared" si="105"/>
        <v>#DIV/0!</v>
      </c>
      <c r="DD63" s="485">
        <f t="shared" si="105"/>
        <v>300</v>
      </c>
      <c r="DE63" s="485">
        <f t="shared" si="105"/>
        <v>300</v>
      </c>
      <c r="DF63" s="485" t="e">
        <f t="shared" si="105"/>
        <v>#DIV/0!</v>
      </c>
      <c r="DG63" s="485" t="e">
        <f t="shared" si="105"/>
        <v>#DIV/0!</v>
      </c>
      <c r="DH63" s="485"/>
      <c r="DI63" s="485"/>
      <c r="DJ63" s="486"/>
      <c r="DK63" s="486"/>
      <c r="DL63" s="486"/>
      <c r="DM63" s="486"/>
      <c r="DN63" s="486"/>
      <c r="DO63" s="560"/>
    </row>
    <row r="64" spans="1:119" s="551" customFormat="1">
      <c r="A64" s="552" t="s">
        <v>223</v>
      </c>
      <c r="B64" s="488"/>
      <c r="C64" s="488"/>
      <c r="D64" s="488"/>
      <c r="E64" s="488"/>
      <c r="F64" s="488"/>
      <c r="G64" s="488"/>
      <c r="H64" s="488"/>
      <c r="I64" s="488"/>
      <c r="J64" s="488"/>
      <c r="K64" s="488"/>
      <c r="L64" s="488"/>
      <c r="M64" s="488"/>
      <c r="N64" s="488"/>
      <c r="O64" s="488"/>
      <c r="P64" s="488"/>
      <c r="Q64" s="488"/>
      <c r="R64" s="488"/>
      <c r="S64" s="488"/>
      <c r="T64" s="488"/>
      <c r="U64" s="488"/>
      <c r="V64" s="488"/>
      <c r="W64" s="488"/>
      <c r="X64" s="488"/>
      <c r="Y64" s="488"/>
      <c r="Z64" s="488"/>
      <c r="AA64" s="488" t="e">
        <f t="shared" ref="AA64:BE64" si="106">AA63/Z63-1</f>
        <v>#DIV/0!</v>
      </c>
      <c r="AB64" s="488" t="e">
        <f t="shared" si="106"/>
        <v>#DIV/0!</v>
      </c>
      <c r="AC64" s="488" t="e">
        <f t="shared" si="106"/>
        <v>#DIV/0!</v>
      </c>
      <c r="AD64" s="488" t="e">
        <f t="shared" si="106"/>
        <v>#DIV/0!</v>
      </c>
      <c r="AE64" s="488" t="e">
        <f t="shared" si="106"/>
        <v>#DIV/0!</v>
      </c>
      <c r="AF64" s="488" t="e">
        <f t="shared" si="106"/>
        <v>#DIV/0!</v>
      </c>
      <c r="AG64" s="488" t="e">
        <f t="shared" si="106"/>
        <v>#DIV/0!</v>
      </c>
      <c r="AH64" s="488" t="e">
        <f t="shared" si="106"/>
        <v>#DIV/0!</v>
      </c>
      <c r="AI64" s="488" t="e">
        <f t="shared" si="106"/>
        <v>#DIV/0!</v>
      </c>
      <c r="AJ64" s="488" t="e">
        <f t="shared" si="106"/>
        <v>#DIV/0!</v>
      </c>
      <c r="AK64" s="488" t="e">
        <f t="shared" si="106"/>
        <v>#DIV/0!</v>
      </c>
      <c r="AL64" s="488" t="e">
        <f t="shared" si="106"/>
        <v>#DIV/0!</v>
      </c>
      <c r="AM64" s="488" t="e">
        <f t="shared" si="106"/>
        <v>#DIV/0!</v>
      </c>
      <c r="AN64" s="488" t="e">
        <f t="shared" si="106"/>
        <v>#DIV/0!</v>
      </c>
      <c r="AO64" s="488" t="e">
        <f t="shared" si="106"/>
        <v>#DIV/0!</v>
      </c>
      <c r="AP64" s="488" t="e">
        <f t="shared" si="106"/>
        <v>#DIV/0!</v>
      </c>
      <c r="AQ64" s="488" t="e">
        <f t="shared" si="106"/>
        <v>#DIV/0!</v>
      </c>
      <c r="AR64" s="488" t="e">
        <f t="shared" si="106"/>
        <v>#DIV/0!</v>
      </c>
      <c r="AS64" s="488" t="e">
        <f t="shared" si="106"/>
        <v>#DIV/0!</v>
      </c>
      <c r="AT64" s="488" t="e">
        <f t="shared" si="106"/>
        <v>#DIV/0!</v>
      </c>
      <c r="AU64" s="488" t="e">
        <f t="shared" si="106"/>
        <v>#DIV/0!</v>
      </c>
      <c r="AV64" s="488" t="e">
        <f t="shared" si="106"/>
        <v>#DIV/0!</v>
      </c>
      <c r="AW64" s="488" t="e">
        <f t="shared" si="106"/>
        <v>#DIV/0!</v>
      </c>
      <c r="AX64" s="488" t="e">
        <f t="shared" si="106"/>
        <v>#DIV/0!</v>
      </c>
      <c r="AY64" s="488" t="e">
        <f t="shared" si="106"/>
        <v>#DIV/0!</v>
      </c>
      <c r="AZ64" s="488" t="e">
        <f t="shared" si="106"/>
        <v>#DIV/0!</v>
      </c>
      <c r="BA64" s="488" t="e">
        <f t="shared" si="106"/>
        <v>#DIV/0!</v>
      </c>
      <c r="BB64" s="488" t="e">
        <f t="shared" si="106"/>
        <v>#DIV/0!</v>
      </c>
      <c r="BC64" s="488" t="e">
        <f t="shared" si="106"/>
        <v>#DIV/0!</v>
      </c>
      <c r="BD64" s="488" t="e">
        <f t="shared" si="106"/>
        <v>#DIV/0!</v>
      </c>
      <c r="BE64" s="488" t="e">
        <f t="shared" si="106"/>
        <v>#DIV/0!</v>
      </c>
      <c r="BF64" s="488" t="e">
        <f>BF63/BE63-1</f>
        <v>#DIV/0!</v>
      </c>
      <c r="BG64" s="572" t="s">
        <v>224</v>
      </c>
      <c r="BH64" s="572" t="s">
        <v>224</v>
      </c>
      <c r="BI64" s="572" t="s">
        <v>224</v>
      </c>
      <c r="BJ64" s="572" t="s">
        <v>224</v>
      </c>
      <c r="BK64" s="572" t="s">
        <v>224</v>
      </c>
      <c r="BL64" s="572" t="s">
        <v>224</v>
      </c>
      <c r="BM64" s="572" t="s">
        <v>224</v>
      </c>
      <c r="BN64" s="572" t="s">
        <v>224</v>
      </c>
      <c r="BO64" s="572" t="s">
        <v>224</v>
      </c>
      <c r="BP64" s="572" t="s">
        <v>224</v>
      </c>
      <c r="BQ64" s="572" t="s">
        <v>224</v>
      </c>
      <c r="BR64" s="572" t="s">
        <v>224</v>
      </c>
      <c r="BS64" s="572" t="s">
        <v>224</v>
      </c>
      <c r="BT64" s="572" t="s">
        <v>224</v>
      </c>
      <c r="BU64" s="572" t="s">
        <v>224</v>
      </c>
      <c r="BV64" s="572" t="s">
        <v>224</v>
      </c>
      <c r="BW64" s="572" t="s">
        <v>224</v>
      </c>
      <c r="BX64" s="572" t="s">
        <v>224</v>
      </c>
      <c r="BY64" s="572" t="s">
        <v>224</v>
      </c>
      <c r="BZ64" s="572" t="s">
        <v>224</v>
      </c>
      <c r="CA64" s="572" t="s">
        <v>224</v>
      </c>
      <c r="CB64" s="572" t="s">
        <v>224</v>
      </c>
      <c r="CC64" s="572" t="s">
        <v>224</v>
      </c>
      <c r="CD64" s="572" t="s">
        <v>224</v>
      </c>
      <c r="CE64" s="572" t="s">
        <v>224</v>
      </c>
      <c r="CF64" s="572" t="s">
        <v>224</v>
      </c>
      <c r="CG64" s="572" t="s">
        <v>224</v>
      </c>
      <c r="CH64" s="572" t="s">
        <v>224</v>
      </c>
      <c r="CI64" s="572" t="s">
        <v>224</v>
      </c>
      <c r="CJ64" s="572" t="s">
        <v>224</v>
      </c>
      <c r="CK64" s="572" t="s">
        <v>224</v>
      </c>
      <c r="CL64" s="572" t="s">
        <v>224</v>
      </c>
      <c r="CM64" s="572" t="s">
        <v>224</v>
      </c>
      <c r="CN64" s="572" t="s">
        <v>224</v>
      </c>
      <c r="CO64" s="572" t="s">
        <v>224</v>
      </c>
      <c r="CP64" s="550"/>
      <c r="CQ64" s="552"/>
      <c r="CR64" s="489"/>
      <c r="CS64" s="489"/>
      <c r="CT64" s="489"/>
      <c r="CU64" s="489"/>
      <c r="CV64" s="489"/>
      <c r="CW64" s="489"/>
      <c r="CX64" s="489"/>
      <c r="CY64" s="493"/>
      <c r="CZ64" s="490"/>
      <c r="DA64" s="493"/>
      <c r="DB64" s="493"/>
      <c r="DC64" s="493"/>
      <c r="DD64" s="493"/>
      <c r="DE64" s="493"/>
      <c r="DF64" s="493"/>
      <c r="DG64" s="493"/>
      <c r="DH64" s="493"/>
      <c r="DI64" s="493"/>
      <c r="DJ64" s="497"/>
      <c r="DK64" s="497"/>
      <c r="DL64" s="497"/>
      <c r="DM64" s="497"/>
      <c r="DN64" s="497"/>
      <c r="DO64" s="550"/>
    </row>
    <row r="65" spans="1:119" s="551" customFormat="1">
      <c r="A65" s="552" t="s">
        <v>225</v>
      </c>
      <c r="B65" s="488"/>
      <c r="C65" s="488"/>
      <c r="D65" s="488"/>
      <c r="E65" s="488"/>
      <c r="F65" s="488"/>
      <c r="G65" s="488"/>
      <c r="H65" s="488"/>
      <c r="I65" s="488"/>
      <c r="J65" s="488"/>
      <c r="K65" s="488"/>
      <c r="L65" s="488"/>
      <c r="M65" s="488"/>
      <c r="N65" s="488"/>
      <c r="O65" s="488"/>
      <c r="P65" s="488"/>
      <c r="Q65" s="488"/>
      <c r="R65" s="488"/>
      <c r="S65" s="488"/>
      <c r="T65" s="488"/>
      <c r="U65" s="488"/>
      <c r="V65" s="488"/>
      <c r="W65" s="488"/>
      <c r="X65" s="488"/>
      <c r="Y65" s="488"/>
      <c r="Z65" s="488"/>
      <c r="AA65" s="488"/>
      <c r="AB65" s="488"/>
      <c r="AC65" s="488"/>
      <c r="AD65" s="488" t="e">
        <f t="shared" ref="AD65:BE65" si="107">AD63/Z63-1</f>
        <v>#DIV/0!</v>
      </c>
      <c r="AE65" s="488" t="e">
        <f t="shared" si="107"/>
        <v>#DIV/0!</v>
      </c>
      <c r="AF65" s="488" t="e">
        <f t="shared" si="107"/>
        <v>#DIV/0!</v>
      </c>
      <c r="AG65" s="488" t="e">
        <f t="shared" si="107"/>
        <v>#DIV/0!</v>
      </c>
      <c r="AH65" s="488" t="e">
        <f t="shared" si="107"/>
        <v>#DIV/0!</v>
      </c>
      <c r="AI65" s="488" t="e">
        <f t="shared" si="107"/>
        <v>#DIV/0!</v>
      </c>
      <c r="AJ65" s="488" t="e">
        <f t="shared" si="107"/>
        <v>#DIV/0!</v>
      </c>
      <c r="AK65" s="488" t="e">
        <f t="shared" si="107"/>
        <v>#DIV/0!</v>
      </c>
      <c r="AL65" s="488" t="e">
        <f t="shared" si="107"/>
        <v>#DIV/0!</v>
      </c>
      <c r="AM65" s="488" t="e">
        <f t="shared" si="107"/>
        <v>#DIV/0!</v>
      </c>
      <c r="AN65" s="488" t="e">
        <f t="shared" si="107"/>
        <v>#DIV/0!</v>
      </c>
      <c r="AO65" s="488" t="e">
        <f t="shared" si="107"/>
        <v>#DIV/0!</v>
      </c>
      <c r="AP65" s="488" t="e">
        <f t="shared" si="107"/>
        <v>#DIV/0!</v>
      </c>
      <c r="AQ65" s="488" t="e">
        <f t="shared" si="107"/>
        <v>#DIV/0!</v>
      </c>
      <c r="AR65" s="488" t="e">
        <f t="shared" si="107"/>
        <v>#DIV/0!</v>
      </c>
      <c r="AS65" s="488" t="e">
        <f t="shared" si="107"/>
        <v>#DIV/0!</v>
      </c>
      <c r="AT65" s="488" t="e">
        <f t="shared" si="107"/>
        <v>#DIV/0!</v>
      </c>
      <c r="AU65" s="488" t="e">
        <f t="shared" si="107"/>
        <v>#DIV/0!</v>
      </c>
      <c r="AV65" s="488" t="e">
        <f t="shared" si="107"/>
        <v>#DIV/0!</v>
      </c>
      <c r="AW65" s="488" t="e">
        <f t="shared" si="107"/>
        <v>#DIV/0!</v>
      </c>
      <c r="AX65" s="488" t="e">
        <f t="shared" si="107"/>
        <v>#DIV/0!</v>
      </c>
      <c r="AY65" s="488" t="e">
        <f t="shared" si="107"/>
        <v>#DIV/0!</v>
      </c>
      <c r="AZ65" s="488" t="e">
        <f t="shared" si="107"/>
        <v>#DIV/0!</v>
      </c>
      <c r="BA65" s="488" t="e">
        <f t="shared" si="107"/>
        <v>#DIV/0!</v>
      </c>
      <c r="BB65" s="488" t="e">
        <f t="shared" si="107"/>
        <v>#DIV/0!</v>
      </c>
      <c r="BC65" s="488" t="e">
        <f t="shared" si="107"/>
        <v>#DIV/0!</v>
      </c>
      <c r="BD65" s="488" t="e">
        <f t="shared" si="107"/>
        <v>#DIV/0!</v>
      </c>
      <c r="BE65" s="488" t="e">
        <f t="shared" si="107"/>
        <v>#DIV/0!</v>
      </c>
      <c r="BF65" s="488" t="e">
        <f>BF63/BB63-1</f>
        <v>#DIV/0!</v>
      </c>
      <c r="BG65" s="572" t="s">
        <v>224</v>
      </c>
      <c r="BH65" s="572" t="s">
        <v>224</v>
      </c>
      <c r="BI65" s="572" t="s">
        <v>224</v>
      </c>
      <c r="BJ65" s="572" t="s">
        <v>224</v>
      </c>
      <c r="BK65" s="572" t="s">
        <v>224</v>
      </c>
      <c r="BL65" s="572" t="s">
        <v>224</v>
      </c>
      <c r="BM65" s="572" t="s">
        <v>224</v>
      </c>
      <c r="BN65" s="572" t="s">
        <v>224</v>
      </c>
      <c r="BO65" s="572" t="s">
        <v>224</v>
      </c>
      <c r="BP65" s="572" t="s">
        <v>224</v>
      </c>
      <c r="BQ65" s="572" t="s">
        <v>224</v>
      </c>
      <c r="BR65" s="572" t="s">
        <v>224</v>
      </c>
      <c r="BS65" s="572" t="s">
        <v>224</v>
      </c>
      <c r="BT65" s="572" t="s">
        <v>224</v>
      </c>
      <c r="BU65" s="572" t="s">
        <v>224</v>
      </c>
      <c r="BV65" s="572" t="s">
        <v>224</v>
      </c>
      <c r="BW65" s="572" t="s">
        <v>224</v>
      </c>
      <c r="BX65" s="572" t="s">
        <v>224</v>
      </c>
      <c r="BY65" s="572" t="s">
        <v>224</v>
      </c>
      <c r="BZ65" s="572" t="s">
        <v>224</v>
      </c>
      <c r="CA65" s="572" t="s">
        <v>224</v>
      </c>
      <c r="CB65" s="572" t="s">
        <v>224</v>
      </c>
      <c r="CC65" s="572" t="s">
        <v>224</v>
      </c>
      <c r="CD65" s="572" t="s">
        <v>224</v>
      </c>
      <c r="CE65" s="572" t="s">
        <v>224</v>
      </c>
      <c r="CF65" s="572" t="s">
        <v>224</v>
      </c>
      <c r="CG65" s="572" t="s">
        <v>224</v>
      </c>
      <c r="CH65" s="572" t="s">
        <v>224</v>
      </c>
      <c r="CI65" s="572" t="s">
        <v>224</v>
      </c>
      <c r="CJ65" s="572" t="s">
        <v>224</v>
      </c>
      <c r="CK65" s="572" t="s">
        <v>224</v>
      </c>
      <c r="CL65" s="572" t="s">
        <v>224</v>
      </c>
      <c r="CM65" s="572" t="s">
        <v>224</v>
      </c>
      <c r="CN65" s="572" t="s">
        <v>224</v>
      </c>
      <c r="CO65" s="572" t="s">
        <v>224</v>
      </c>
      <c r="CP65" s="550"/>
      <c r="CQ65" s="552"/>
      <c r="CR65" s="488"/>
      <c r="CS65" s="488"/>
      <c r="CT65" s="488"/>
      <c r="CU65" s="488"/>
      <c r="CV65" s="488"/>
      <c r="CW65" s="488"/>
      <c r="CX65" s="488"/>
      <c r="CY65" s="488" t="e">
        <f t="shared" ref="CY65:DG65" si="108">CY63/CX63-1</f>
        <v>#DIV/0!</v>
      </c>
      <c r="CZ65" s="488" t="e">
        <f t="shared" si="108"/>
        <v>#DIV/0!</v>
      </c>
      <c r="DA65" s="488" t="e">
        <f t="shared" si="108"/>
        <v>#DIV/0!</v>
      </c>
      <c r="DB65" s="488">
        <f t="shared" si="108"/>
        <v>0</v>
      </c>
      <c r="DC65" s="488" t="e">
        <f t="shared" si="108"/>
        <v>#DIV/0!</v>
      </c>
      <c r="DD65" s="488" t="e">
        <f t="shared" si="108"/>
        <v>#DIV/0!</v>
      </c>
      <c r="DE65" s="488">
        <f t="shared" si="108"/>
        <v>0</v>
      </c>
      <c r="DF65" s="488" t="e">
        <f t="shared" si="108"/>
        <v>#DIV/0!</v>
      </c>
      <c r="DG65" s="488" t="e">
        <f t="shared" si="108"/>
        <v>#DIV/0!</v>
      </c>
      <c r="DH65" s="488"/>
      <c r="DI65" s="488"/>
      <c r="DJ65" s="489"/>
      <c r="DK65" s="489"/>
      <c r="DL65" s="489"/>
      <c r="DM65" s="489"/>
      <c r="DN65" s="489"/>
      <c r="DO65" s="550"/>
    </row>
    <row r="66" spans="1:119">
      <c r="A66" s="504" t="s">
        <v>602</v>
      </c>
      <c r="B66" s="558"/>
      <c r="C66" s="558"/>
      <c r="D66" s="558"/>
      <c r="E66" s="558"/>
      <c r="F66" s="558"/>
      <c r="G66" s="558"/>
      <c r="H66" s="558"/>
      <c r="I66" s="558"/>
      <c r="J66" s="558"/>
      <c r="K66" s="558"/>
      <c r="L66" s="558"/>
      <c r="M66" s="558"/>
      <c r="N66" s="558"/>
      <c r="O66" s="558"/>
      <c r="P66" s="558"/>
      <c r="Q66" s="558"/>
      <c r="R66" s="558"/>
      <c r="S66" s="558"/>
      <c r="T66" s="558"/>
      <c r="U66" s="558"/>
      <c r="V66" s="558"/>
      <c r="W66" s="558"/>
      <c r="X66" s="558"/>
      <c r="Y66" s="558"/>
      <c r="Z66" s="546">
        <f t="shared" ref="Z66:CK66" si="109">+Z69+Z72</f>
        <v>468.03100000000006</v>
      </c>
      <c r="AA66" s="546">
        <f t="shared" si="109"/>
        <v>417.05731999999995</v>
      </c>
      <c r="AB66" s="546">
        <f t="shared" si="109"/>
        <v>528.02167680000002</v>
      </c>
      <c r="AC66" s="546">
        <f t="shared" si="109"/>
        <v>645.81370012949981</v>
      </c>
      <c r="AD66" s="546">
        <f t="shared" si="109"/>
        <v>587.32250482862673</v>
      </c>
      <c r="AE66" s="546">
        <f t="shared" si="109"/>
        <v>661.09918474389769</v>
      </c>
      <c r="AF66" s="546">
        <f t="shared" si="109"/>
        <v>760.83877471122605</v>
      </c>
      <c r="AG66" s="546">
        <f t="shared" si="109"/>
        <v>809.99085839263125</v>
      </c>
      <c r="AH66" s="546">
        <f t="shared" si="109"/>
        <v>687.17159167021714</v>
      </c>
      <c r="AI66" s="546">
        <f t="shared" si="109"/>
        <v>751.58523022818167</v>
      </c>
      <c r="AJ66" s="546">
        <f t="shared" si="109"/>
        <v>1154.7154238189285</v>
      </c>
      <c r="AK66" s="546">
        <f t="shared" si="109"/>
        <v>1249.9836184922706</v>
      </c>
      <c r="AL66" s="546">
        <f t="shared" si="109"/>
        <v>870.16080491279808</v>
      </c>
      <c r="AM66" s="546">
        <f t="shared" si="109"/>
        <v>1021.79074499709</v>
      </c>
      <c r="AN66" s="546">
        <f t="shared" si="109"/>
        <v>1290.7444932490469</v>
      </c>
      <c r="AO66" s="546">
        <f t="shared" si="109"/>
        <v>1438.4482656584473</v>
      </c>
      <c r="AP66" s="546">
        <f t="shared" si="109"/>
        <v>1452.7543084275371</v>
      </c>
      <c r="AQ66" s="546">
        <f t="shared" si="109"/>
        <v>1525.6565640425463</v>
      </c>
      <c r="AR66" s="546">
        <f t="shared" si="109"/>
        <v>1554.3814780980767</v>
      </c>
      <c r="AS66" s="546">
        <f t="shared" si="109"/>
        <v>922.38394654682645</v>
      </c>
      <c r="AT66" s="546">
        <f t="shared" si="109"/>
        <v>1028.7190028765017</v>
      </c>
      <c r="AU66" s="546">
        <f t="shared" si="109"/>
        <v>1035.3509321464101</v>
      </c>
      <c r="AV66" s="546">
        <f t="shared" si="109"/>
        <v>1381.3383679192852</v>
      </c>
      <c r="AW66" s="546">
        <f t="shared" si="109"/>
        <v>1408.2806012290534</v>
      </c>
      <c r="AX66" s="546">
        <f t="shared" si="109"/>
        <v>1188.95800681439</v>
      </c>
      <c r="AY66" s="546">
        <f t="shared" si="109"/>
        <v>1429.2393840226125</v>
      </c>
      <c r="AZ66" s="546">
        <f t="shared" si="109"/>
        <v>1989.7516060580751</v>
      </c>
      <c r="BA66" s="546">
        <f t="shared" si="109"/>
        <v>2354.4098806908023</v>
      </c>
      <c r="BB66" s="546">
        <f t="shared" si="109"/>
        <v>2592.2433820434198</v>
      </c>
      <c r="BC66" s="546">
        <f>+BC69+BC72</f>
        <v>2814.9198431268924</v>
      </c>
      <c r="BD66" s="546">
        <f t="shared" si="109"/>
        <v>2901.4368070547171</v>
      </c>
      <c r="BE66" s="546">
        <f>+BE69+BE72</f>
        <v>3148.3674278771446</v>
      </c>
      <c r="BF66" s="546">
        <f>+BF69+BF72</f>
        <v>3263.9002477289778</v>
      </c>
      <c r="BG66" s="546">
        <f>+BG69+BG72</f>
        <v>1744.3876307706678</v>
      </c>
      <c r="BH66" s="546">
        <f>+BH69+BH72</f>
        <v>1310.2811883247866</v>
      </c>
      <c r="BI66" s="546">
        <f t="shared" si="109"/>
        <v>1594.0502780441052</v>
      </c>
      <c r="BJ66" s="546">
        <f t="shared" si="109"/>
        <v>1943.6282558200319</v>
      </c>
      <c r="BK66" s="546">
        <f t="shared" si="109"/>
        <v>2204.9465057080411</v>
      </c>
      <c r="BL66" s="546">
        <f t="shared" si="109"/>
        <v>2588.5963860366955</v>
      </c>
      <c r="BM66" s="546">
        <f t="shared" si="109"/>
        <v>2637.8662471428415</v>
      </c>
      <c r="BN66" s="546">
        <f t="shared" si="109"/>
        <v>2488.0044289141297</v>
      </c>
      <c r="BO66" s="546">
        <f t="shared" si="109"/>
        <v>2744.7898322048331</v>
      </c>
      <c r="BP66" s="546">
        <f t="shared" si="109"/>
        <v>3136.2133028520975</v>
      </c>
      <c r="BQ66" s="546">
        <f t="shared" si="109"/>
        <v>2409.5020454300247</v>
      </c>
      <c r="BR66" s="546">
        <f t="shared" si="109"/>
        <v>3635.1786539814616</v>
      </c>
      <c r="BS66" s="546">
        <f t="shared" si="109"/>
        <v>4152.005402235478</v>
      </c>
      <c r="BT66" s="546">
        <f t="shared" si="109"/>
        <v>4116.6126081412594</v>
      </c>
      <c r="BU66" s="546">
        <f t="shared" si="109"/>
        <v>3586.519888447926</v>
      </c>
      <c r="BV66" s="547">
        <f t="shared" si="109"/>
        <v>3304.1279258657205</v>
      </c>
      <c r="BW66" s="547">
        <f t="shared" si="109"/>
        <v>3337.1692051243772</v>
      </c>
      <c r="BX66" s="547">
        <f t="shared" si="109"/>
        <v>3471.6571240908906</v>
      </c>
      <c r="BY66" s="547">
        <f t="shared" si="109"/>
        <v>3633.4598360121131</v>
      </c>
      <c r="BZ66" s="547">
        <f t="shared" si="109"/>
        <v>3376.2108796224561</v>
      </c>
      <c r="CA66" s="547">
        <f t="shared" si="109"/>
        <v>3546.6321168480554</v>
      </c>
      <c r="CB66" s="547">
        <f t="shared" si="109"/>
        <v>3811.5132438150226</v>
      </c>
      <c r="CC66" s="547">
        <f t="shared" si="109"/>
        <v>3980.3392653738483</v>
      </c>
      <c r="CD66" s="547">
        <f t="shared" si="109"/>
        <v>3639.9776148824258</v>
      </c>
      <c r="CE66" s="547">
        <f t="shared" si="109"/>
        <v>3823.4324866725001</v>
      </c>
      <c r="CF66" s="547">
        <f t="shared" si="109"/>
        <v>4133.895204590307</v>
      </c>
      <c r="CG66" s="547">
        <f t="shared" si="109"/>
        <v>4358.91334409306</v>
      </c>
      <c r="CH66" s="547">
        <f t="shared" si="109"/>
        <v>3986.1795540237231</v>
      </c>
      <c r="CI66" s="547">
        <f t="shared" si="109"/>
        <v>4187.0830035465178</v>
      </c>
      <c r="CJ66" s="547">
        <f t="shared" si="109"/>
        <v>4527.0741434344964</v>
      </c>
      <c r="CK66" s="547">
        <f t="shared" si="109"/>
        <v>4773.493984947534</v>
      </c>
      <c r="CL66" s="547">
        <f t="shared" ref="CL66:CO66" si="110">+CL69+CL72</f>
        <v>4365.3091084819798</v>
      </c>
      <c r="CM66" s="547">
        <f t="shared" si="110"/>
        <v>4585.3206875494725</v>
      </c>
      <c r="CN66" s="547">
        <f t="shared" si="110"/>
        <v>4957.6487273784896</v>
      </c>
      <c r="CO66" s="547">
        <f t="shared" si="110"/>
        <v>5227.5058083475906</v>
      </c>
      <c r="CP66" s="560"/>
      <c r="CQ66" s="561"/>
      <c r="CR66" s="546"/>
      <c r="CS66" s="546"/>
      <c r="CT66" s="546"/>
      <c r="CU66" s="546"/>
      <c r="CV66" s="546"/>
      <c r="CW66" s="546"/>
      <c r="CX66" s="546">
        <f>SUM(Z66:AC66)</f>
        <v>2058.9236969294998</v>
      </c>
      <c r="CY66" s="546">
        <f>SUM(AD66:AG66)</f>
        <v>2819.2513226763817</v>
      </c>
      <c r="CZ66" s="546">
        <f>SUM(AH66:AK66)</f>
        <v>3843.4558642095981</v>
      </c>
      <c r="DA66" s="546">
        <f>SUM(AL66:AO66)</f>
        <v>4621.1443088173819</v>
      </c>
      <c r="DB66" s="546">
        <f>SUM(AP66:AS66)</f>
        <v>5455.1762971149865</v>
      </c>
      <c r="DC66" s="546">
        <f>AT66+AU66+AV66+AW66</f>
        <v>4853.6889041712502</v>
      </c>
      <c r="DD66" s="546">
        <f>AX66+AY66+AZ66+BA66</f>
        <v>6962.3588775858807</v>
      </c>
      <c r="DE66" s="546">
        <f>BB66+BC66+BD66+BE66</f>
        <v>11456.967460102174</v>
      </c>
      <c r="DF66" s="546">
        <f>+SUM(BF66:BI66)</f>
        <v>7912.6193448685372</v>
      </c>
      <c r="DG66" s="546">
        <f>+SUM(BJ66:BM66)</f>
        <v>9375.0373947076096</v>
      </c>
      <c r="DH66" s="546">
        <f>+SUM(BN66:BQ66)</f>
        <v>10778.509609401084</v>
      </c>
      <c r="DI66" s="546">
        <f>+SUM(BR66:BU66)</f>
        <v>15490.316552806125</v>
      </c>
      <c r="DJ66" s="547">
        <f>SUM(BV66:BY66)</f>
        <v>13746.414091093102</v>
      </c>
      <c r="DK66" s="547">
        <f>SUM(BZ66:CC66)</f>
        <v>14714.695505659383</v>
      </c>
      <c r="DL66" s="547">
        <f>SUM(CD66:CG66)</f>
        <v>15956.218650238294</v>
      </c>
      <c r="DM66" s="547">
        <f>SUM(CH66:CK66)</f>
        <v>17473.830685952271</v>
      </c>
      <c r="DN66" s="547">
        <f>SUM(CL66:CO66)</f>
        <v>19135.784331757532</v>
      </c>
    </row>
    <row r="67" spans="1:119" s="551" customFormat="1">
      <c r="A67" s="92" t="s">
        <v>223</v>
      </c>
      <c r="B67" s="488"/>
      <c r="C67" s="488"/>
      <c r="D67" s="488"/>
      <c r="E67" s="488"/>
      <c r="F67" s="488"/>
      <c r="G67" s="488"/>
      <c r="H67" s="488"/>
      <c r="I67" s="488"/>
      <c r="J67" s="488"/>
      <c r="K67" s="488"/>
      <c r="L67" s="488"/>
      <c r="M67" s="488"/>
      <c r="N67" s="488"/>
      <c r="O67" s="488"/>
      <c r="P67" s="488"/>
      <c r="Q67" s="488"/>
      <c r="R67" s="488"/>
      <c r="S67" s="488"/>
      <c r="T67" s="488"/>
      <c r="U67" s="488"/>
      <c r="V67" s="488"/>
      <c r="W67" s="488"/>
      <c r="X67" s="488"/>
      <c r="Y67" s="488"/>
      <c r="Z67" s="488"/>
      <c r="AA67" s="488">
        <f t="shared" ref="AA67:CL67" si="111">AA66/Z66-1</f>
        <v>-0.10891090547421023</v>
      </c>
      <c r="AB67" s="488">
        <f t="shared" si="111"/>
        <v>0.26606500228793517</v>
      </c>
      <c r="AC67" s="488">
        <f t="shared" si="111"/>
        <v>0.22308179475388501</v>
      </c>
      <c r="AD67" s="488">
        <f t="shared" si="111"/>
        <v>-9.0569765381478096E-2</v>
      </c>
      <c r="AE67" s="488">
        <f t="shared" si="111"/>
        <v>0.12561527833298003</v>
      </c>
      <c r="AF67" s="488">
        <f t="shared" si="111"/>
        <v>0.15086932833832845</v>
      </c>
      <c r="AG67" s="488">
        <f t="shared" si="111"/>
        <v>6.4602495712788421E-2</v>
      </c>
      <c r="AH67" s="488">
        <f t="shared" si="111"/>
        <v>-0.15163043563990353</v>
      </c>
      <c r="AI67" s="488">
        <f t="shared" si="111"/>
        <v>9.3737342082787167E-2</v>
      </c>
      <c r="AJ67" s="488">
        <f t="shared" si="111"/>
        <v>0.53637322472177407</v>
      </c>
      <c r="AK67" s="488">
        <f t="shared" si="111"/>
        <v>8.2503613191782454E-2</v>
      </c>
      <c r="AL67" s="488">
        <f t="shared" si="111"/>
        <v>-0.30386223304079341</v>
      </c>
      <c r="AM67" s="488">
        <f t="shared" si="111"/>
        <v>0.17425507932351336</v>
      </c>
      <c r="AN67" s="488">
        <f t="shared" si="111"/>
        <v>0.26321803125425935</v>
      </c>
      <c r="AO67" s="488">
        <f t="shared" si="111"/>
        <v>0.11443300605343065</v>
      </c>
      <c r="AP67" s="488">
        <f t="shared" si="111"/>
        <v>9.9454690937677004E-3</v>
      </c>
      <c r="AQ67" s="488">
        <f t="shared" si="111"/>
        <v>5.0182095618025446E-2</v>
      </c>
      <c r="AR67" s="488">
        <f t="shared" si="111"/>
        <v>1.88279031680747E-2</v>
      </c>
      <c r="AS67" s="488">
        <f t="shared" si="111"/>
        <v>-0.4065910077135988</v>
      </c>
      <c r="AT67" s="488">
        <f t="shared" si="111"/>
        <v>0.11528285669732963</v>
      </c>
      <c r="AU67" s="488">
        <f t="shared" si="111"/>
        <v>6.4467840599464754E-3</v>
      </c>
      <c r="AV67" s="488">
        <f t="shared" si="111"/>
        <v>0.33417407086851281</v>
      </c>
      <c r="AW67" s="488">
        <f t="shared" si="111"/>
        <v>1.9504441442795395E-2</v>
      </c>
      <c r="AX67" s="488">
        <f t="shared" si="111"/>
        <v>-0.15573785098172432</v>
      </c>
      <c r="AY67" s="488">
        <f t="shared" si="111"/>
        <v>0.2020940822393007</v>
      </c>
      <c r="AZ67" s="488">
        <f t="shared" si="111"/>
        <v>0.39217518653725714</v>
      </c>
      <c r="BA67" s="488">
        <f t="shared" si="111"/>
        <v>0.18326823987600993</v>
      </c>
      <c r="BB67" s="488">
        <f t="shared" si="111"/>
        <v>0.10101618384426558</v>
      </c>
      <c r="BC67" s="488">
        <f t="shared" si="111"/>
        <v>8.5901062618565005E-2</v>
      </c>
      <c r="BD67" s="488">
        <f t="shared" si="111"/>
        <v>3.0735143005606647E-2</v>
      </c>
      <c r="BE67" s="488">
        <f t="shared" si="111"/>
        <v>8.5106323950267182E-2</v>
      </c>
      <c r="BF67" s="488">
        <f t="shared" si="111"/>
        <v>3.6696104409177366E-2</v>
      </c>
      <c r="BG67" s="488">
        <f>BG66/BF66-1</f>
        <v>-0.46555118160108822</v>
      </c>
      <c r="BH67" s="488">
        <f>BH66/BG66-1</f>
        <v>-0.24885893180410457</v>
      </c>
      <c r="BI67" s="488">
        <f t="shared" si="111"/>
        <v>0.21657113926982463</v>
      </c>
      <c r="BJ67" s="488">
        <f t="shared" si="111"/>
        <v>0.21930172629489308</v>
      </c>
      <c r="BK67" s="488">
        <f t="shared" si="111"/>
        <v>0.13444867819013928</v>
      </c>
      <c r="BL67" s="488">
        <f t="shared" si="111"/>
        <v>0.17399509663181556</v>
      </c>
      <c r="BM67" s="488">
        <f t="shared" si="111"/>
        <v>1.9033427293615679E-2</v>
      </c>
      <c r="BN67" s="488">
        <f t="shared" si="111"/>
        <v>-5.6811757757252446E-2</v>
      </c>
      <c r="BO67" s="488">
        <f t="shared" si="111"/>
        <v>0.10320938351495434</v>
      </c>
      <c r="BP67" s="488">
        <f t="shared" si="111"/>
        <v>0.14260598973905481</v>
      </c>
      <c r="BQ67" s="488">
        <f t="shared" si="111"/>
        <v>-0.23171614531485973</v>
      </c>
      <c r="BR67" s="488">
        <f t="shared" si="111"/>
        <v>0.50868461011523647</v>
      </c>
      <c r="BS67" s="488">
        <f t="shared" si="111"/>
        <v>0.14217368593093971</v>
      </c>
      <c r="BT67" s="488">
        <f t="shared" si="111"/>
        <v>-8.524264943191695E-3</v>
      </c>
      <c r="BU67" s="488">
        <f t="shared" si="111"/>
        <v>-0.12876915322199378</v>
      </c>
      <c r="BV67" s="489">
        <f t="shared" si="111"/>
        <v>-7.8737040742972497E-2</v>
      </c>
      <c r="BW67" s="489">
        <f t="shared" si="111"/>
        <v>9.9999999999997868E-3</v>
      </c>
      <c r="BX67" s="489">
        <f t="shared" si="111"/>
        <v>4.0300000000000225E-2</v>
      </c>
      <c r="BY67" s="489">
        <f t="shared" si="111"/>
        <v>4.6606766203500793E-2</v>
      </c>
      <c r="BZ67" s="489">
        <f t="shared" si="111"/>
        <v>-7.0799999999999863E-2</v>
      </c>
      <c r="CA67" s="489">
        <f t="shared" si="111"/>
        <v>5.0477071279581009E-2</v>
      </c>
      <c r="CB67" s="489">
        <f t="shared" si="111"/>
        <v>7.4685255825848396E-2</v>
      </c>
      <c r="CC67" s="489">
        <f t="shared" si="111"/>
        <v>4.4293699315562263E-2</v>
      </c>
      <c r="CD67" s="489">
        <f t="shared" si="111"/>
        <v>-8.5510713484232226E-2</v>
      </c>
      <c r="CE67" s="489">
        <f t="shared" si="111"/>
        <v>5.04E-2</v>
      </c>
      <c r="CF67" s="489">
        <f t="shared" si="111"/>
        <v>8.1199999999999939E-2</v>
      </c>
      <c r="CG67" s="489">
        <f t="shared" si="111"/>
        <v>5.4432473095324507E-2</v>
      </c>
      <c r="CH67" s="489">
        <f t="shared" si="111"/>
        <v>-8.5510713484231893E-2</v>
      </c>
      <c r="CI67" s="489">
        <f t="shared" si="111"/>
        <v>5.0399999999999778E-2</v>
      </c>
      <c r="CJ67" s="489">
        <f t="shared" si="111"/>
        <v>8.1200000000000383E-2</v>
      </c>
      <c r="CK67" s="489">
        <f t="shared" si="111"/>
        <v>5.4432473095324507E-2</v>
      </c>
      <c r="CL67" s="489">
        <f t="shared" si="111"/>
        <v>-8.5510713484232115E-2</v>
      </c>
      <c r="CM67" s="489">
        <f t="shared" ref="CM67:CO67" si="112">CM66/CL66-1</f>
        <v>5.0400000000000222E-2</v>
      </c>
      <c r="CN67" s="489">
        <f t="shared" si="112"/>
        <v>8.1199999999999939E-2</v>
      </c>
      <c r="CO67" s="489">
        <f t="shared" si="112"/>
        <v>5.4432473095324729E-2</v>
      </c>
      <c r="CP67" s="550"/>
      <c r="CQ67" s="552"/>
      <c r="CR67" s="562"/>
      <c r="CS67" s="562"/>
      <c r="CT67" s="562"/>
      <c r="CU67" s="562"/>
      <c r="CV67" s="562"/>
      <c r="CW67" s="562"/>
      <c r="CX67" s="562"/>
      <c r="CY67" s="493"/>
      <c r="CZ67" s="490"/>
      <c r="DA67" s="493"/>
      <c r="DB67" s="493"/>
      <c r="DC67" s="493"/>
      <c r="DD67" s="493"/>
      <c r="DE67" s="493"/>
      <c r="DF67" s="493"/>
      <c r="DG67" s="493"/>
      <c r="DH67" s="493"/>
      <c r="DI67" s="493"/>
      <c r="DJ67" s="497"/>
      <c r="DK67" s="497"/>
      <c r="DL67" s="497"/>
      <c r="DM67" s="497"/>
      <c r="DN67" s="497"/>
      <c r="DO67" s="550"/>
    </row>
    <row r="68" spans="1:119" s="551" customFormat="1">
      <c r="A68" s="92" t="s">
        <v>225</v>
      </c>
      <c r="B68" s="488"/>
      <c r="C68" s="488"/>
      <c r="D68" s="488"/>
      <c r="E68" s="488"/>
      <c r="F68" s="488"/>
      <c r="G68" s="488"/>
      <c r="H68" s="488"/>
      <c r="I68" s="488"/>
      <c r="J68" s="488"/>
      <c r="K68" s="488"/>
      <c r="L68" s="488"/>
      <c r="M68" s="488"/>
      <c r="N68" s="488"/>
      <c r="O68" s="488"/>
      <c r="P68" s="488"/>
      <c r="Q68" s="488"/>
      <c r="R68" s="488"/>
      <c r="S68" s="488"/>
      <c r="T68" s="488"/>
      <c r="U68" s="488"/>
      <c r="V68" s="488"/>
      <c r="W68" s="488"/>
      <c r="X68" s="488"/>
      <c r="Y68" s="488"/>
      <c r="Z68" s="488"/>
      <c r="AA68" s="488"/>
      <c r="AB68" s="488"/>
      <c r="AC68" s="488"/>
      <c r="AD68" s="488">
        <f t="shared" ref="AD68:CO68" si="113">AD66/Z66-1</f>
        <v>0.2548794947954871</v>
      </c>
      <c r="AE68" s="488">
        <f t="shared" si="113"/>
        <v>0.58515185573028128</v>
      </c>
      <c r="AF68" s="488">
        <f t="shared" si="113"/>
        <v>0.44092337140812243</v>
      </c>
      <c r="AG68" s="488">
        <f t="shared" si="113"/>
        <v>0.25421752160136935</v>
      </c>
      <c r="AH68" s="488">
        <f t="shared" si="113"/>
        <v>0.17000725499310665</v>
      </c>
      <c r="AI68" s="488">
        <f t="shared" si="113"/>
        <v>0.13687211778870556</v>
      </c>
      <c r="AJ68" s="488">
        <f t="shared" si="113"/>
        <v>0.51768740263953683</v>
      </c>
      <c r="AK68" s="488">
        <f t="shared" si="113"/>
        <v>0.54320706899430116</v>
      </c>
      <c r="AL68" s="488">
        <f t="shared" si="113"/>
        <v>0.26629333264172517</v>
      </c>
      <c r="AM68" s="488">
        <f t="shared" si="113"/>
        <v>0.35951413612382166</v>
      </c>
      <c r="AN68" s="488">
        <f t="shared" si="113"/>
        <v>0.1178031111598361</v>
      </c>
      <c r="AO68" s="488">
        <f t="shared" si="113"/>
        <v>0.15077369365328375</v>
      </c>
      <c r="AP68" s="488">
        <f t="shared" si="113"/>
        <v>0.66952395491213013</v>
      </c>
      <c r="AQ68" s="488">
        <f t="shared" si="113"/>
        <v>0.49312035904855578</v>
      </c>
      <c r="AR68" s="488">
        <f t="shared" si="113"/>
        <v>0.20425187651616938</v>
      </c>
      <c r="AS68" s="488">
        <f t="shared" si="113"/>
        <v>-0.35876460171154867</v>
      </c>
      <c r="AT68" s="488">
        <f t="shared" si="113"/>
        <v>-0.29188370193856916</v>
      </c>
      <c r="AU68" s="488">
        <f t="shared" si="113"/>
        <v>-0.32137352760241722</v>
      </c>
      <c r="AV68" s="488">
        <f t="shared" si="113"/>
        <v>-0.11132602428492977</v>
      </c>
      <c r="AW68" s="488">
        <f t="shared" si="113"/>
        <v>0.52678351190011696</v>
      </c>
      <c r="AX68" s="488">
        <f t="shared" si="113"/>
        <v>0.15576557202679098</v>
      </c>
      <c r="AY68" s="488">
        <f t="shared" si="113"/>
        <v>0.38043955884563996</v>
      </c>
      <c r="AZ68" s="488">
        <f t="shared" si="113"/>
        <v>0.44045199371045118</v>
      </c>
      <c r="BA68" s="488">
        <f t="shared" si="113"/>
        <v>0.67183292778160131</v>
      </c>
      <c r="BB68" s="488">
        <f t="shared" si="113"/>
        <v>1.1802648766283119</v>
      </c>
      <c r="BC68" s="488">
        <f t="shared" si="113"/>
        <v>0.96952300265072777</v>
      </c>
      <c r="BD68" s="488">
        <f t="shared" si="113"/>
        <v>0.45819045865870378</v>
      </c>
      <c r="BE68" s="488">
        <f t="shared" si="113"/>
        <v>0.33722146415448662</v>
      </c>
      <c r="BF68" s="488">
        <f t="shared" si="113"/>
        <v>0.25910254813963607</v>
      </c>
      <c r="BG68" s="488">
        <f>BG66/BC66-1</f>
        <v>-0.38030646413257974</v>
      </c>
      <c r="BH68" s="488">
        <f>BH66/BD66-1</f>
        <v>-0.5484026448072572</v>
      </c>
      <c r="BI68" s="488">
        <f t="shared" si="113"/>
        <v>-0.49368988386500734</v>
      </c>
      <c r="BJ68" s="488">
        <f t="shared" si="113"/>
        <v>-0.4045074578573874</v>
      </c>
      <c r="BK68" s="488">
        <f t="shared" si="113"/>
        <v>0.26402324048462722</v>
      </c>
      <c r="BL68" s="488">
        <f t="shared" si="113"/>
        <v>0.97560371705118754</v>
      </c>
      <c r="BM68" s="488">
        <f t="shared" si="113"/>
        <v>0.65481997868943975</v>
      </c>
      <c r="BN68" s="488">
        <f t="shared" si="113"/>
        <v>0.28008245479247851</v>
      </c>
      <c r="BO68" s="488">
        <f t="shared" si="113"/>
        <v>0.24483284519568893</v>
      </c>
      <c r="BP68" s="488">
        <f t="shared" si="113"/>
        <v>0.21154974941993099</v>
      </c>
      <c r="BQ68" s="488">
        <f t="shared" si="113"/>
        <v>-8.6571562132903956E-2</v>
      </c>
      <c r="BR68" s="488">
        <f t="shared" si="113"/>
        <v>0.46108206711191713</v>
      </c>
      <c r="BS68" s="488">
        <f t="shared" si="113"/>
        <v>0.51268609112423658</v>
      </c>
      <c r="BT68" s="488">
        <f t="shared" si="113"/>
        <v>0.31260606681234937</v>
      </c>
      <c r="BU68" s="488">
        <f t="shared" si="113"/>
        <v>0.48849007837544223</v>
      </c>
      <c r="BV68" s="489">
        <f t="shared" si="113"/>
        <v>-9.1068626779362005E-2</v>
      </c>
      <c r="BW68" s="489">
        <f t="shared" si="113"/>
        <v>-0.19625123721476501</v>
      </c>
      <c r="BX68" s="489">
        <f t="shared" si="113"/>
        <v>-0.156671405702559</v>
      </c>
      <c r="BY68" s="489">
        <f t="shared" si="113"/>
        <v>1.3087881574386229E-2</v>
      </c>
      <c r="BZ68" s="489">
        <f t="shared" si="113"/>
        <v>2.181602994013887E-2</v>
      </c>
      <c r="CA68" s="489">
        <f t="shared" si="113"/>
        <v>6.276664407727317E-2</v>
      </c>
      <c r="CB68" s="489">
        <f t="shared" si="113"/>
        <v>9.7894494639394702E-2</v>
      </c>
      <c r="CC68" s="489">
        <f t="shared" si="113"/>
        <v>9.5468078640563947E-2</v>
      </c>
      <c r="CD68" s="489">
        <f t="shared" si="113"/>
        <v>7.8125077095144491E-2</v>
      </c>
      <c r="CE68" s="489">
        <f t="shared" si="113"/>
        <v>7.8045977339888717E-2</v>
      </c>
      <c r="CF68" s="489">
        <f t="shared" si="113"/>
        <v>8.4581094214592145E-2</v>
      </c>
      <c r="CG68" s="489">
        <f t="shared" si="113"/>
        <v>9.511100775065584E-2</v>
      </c>
      <c r="CH68" s="489">
        <f t="shared" si="113"/>
        <v>9.5111007750656062E-2</v>
      </c>
      <c r="CI68" s="489">
        <f t="shared" si="113"/>
        <v>9.511100775065584E-2</v>
      </c>
      <c r="CJ68" s="489">
        <f t="shared" si="113"/>
        <v>9.5111007750656285E-2</v>
      </c>
      <c r="CK68" s="489">
        <f t="shared" si="113"/>
        <v>9.5111007750656285E-2</v>
      </c>
      <c r="CL68" s="489">
        <f t="shared" si="113"/>
        <v>9.5111007750656062E-2</v>
      </c>
      <c r="CM68" s="489">
        <f t="shared" si="113"/>
        <v>9.5111007750656507E-2</v>
      </c>
      <c r="CN68" s="489">
        <f t="shared" si="113"/>
        <v>9.5111007750656062E-2</v>
      </c>
      <c r="CO68" s="489">
        <f t="shared" si="113"/>
        <v>9.5111007750656285E-2</v>
      </c>
      <c r="CP68" s="550"/>
      <c r="CQ68" s="552"/>
      <c r="CR68" s="562"/>
      <c r="CS68" s="562"/>
      <c r="CT68" s="562"/>
      <c r="CU68" s="562"/>
      <c r="CV68" s="562"/>
      <c r="CW68" s="562"/>
      <c r="CX68" s="562"/>
      <c r="CY68" s="488">
        <f t="shared" ref="CY68:DK68" si="114">CY66/CX66-1</f>
        <v>0.36928402294886831</v>
      </c>
      <c r="CZ68" s="488">
        <f t="shared" si="114"/>
        <v>0.3632895490001633</v>
      </c>
      <c r="DA68" s="488">
        <f t="shared" si="114"/>
        <v>0.20234093276565157</v>
      </c>
      <c r="DB68" s="488">
        <f t="shared" si="114"/>
        <v>0.18048170162230792</v>
      </c>
      <c r="DC68" s="488">
        <f t="shared" si="114"/>
        <v>-0.11025993665169675</v>
      </c>
      <c r="DD68" s="488">
        <f t="shared" si="114"/>
        <v>0.4344468743356098</v>
      </c>
      <c r="DE68" s="488">
        <f t="shared" si="114"/>
        <v>0.64555830308976381</v>
      </c>
      <c r="DF68" s="488">
        <f t="shared" si="114"/>
        <v>-0.30936180342455366</v>
      </c>
      <c r="DG68" s="488">
        <f t="shared" si="114"/>
        <v>0.18482097850283608</v>
      </c>
      <c r="DH68" s="488">
        <f t="shared" si="114"/>
        <v>0.14970310576955792</v>
      </c>
      <c r="DI68" s="488">
        <f t="shared" si="114"/>
        <v>0.43714828062085442</v>
      </c>
      <c r="DJ68" s="489">
        <f t="shared" si="114"/>
        <v>-0.11258016940894011</v>
      </c>
      <c r="DK68" s="489">
        <f t="shared" si="114"/>
        <v>7.0438836495815504E-2</v>
      </c>
      <c r="DL68" s="489">
        <f>DL66/DK66-1</f>
        <v>8.4373009560504419E-2</v>
      </c>
      <c r="DM68" s="489">
        <f>DM66/DL66-1</f>
        <v>9.5111007750656062E-2</v>
      </c>
      <c r="DN68" s="489">
        <f>DN66/DM66-1</f>
        <v>9.5111007750656285E-2</v>
      </c>
      <c r="DO68" s="550"/>
    </row>
    <row r="69" spans="1:119" s="551" customFormat="1">
      <c r="A69" s="549" t="s">
        <v>257</v>
      </c>
      <c r="B69" s="488"/>
      <c r="C69" s="488"/>
      <c r="D69" s="488"/>
      <c r="E69" s="488"/>
      <c r="F69" s="488"/>
      <c r="G69" s="488"/>
      <c r="H69" s="488"/>
      <c r="I69" s="488"/>
      <c r="J69" s="488"/>
      <c r="K69" s="488"/>
      <c r="L69" s="488"/>
      <c r="M69" s="488"/>
      <c r="N69" s="488"/>
      <c r="O69" s="488"/>
      <c r="P69" s="488"/>
      <c r="Q69" s="488"/>
      <c r="R69" s="488"/>
      <c r="S69" s="488"/>
      <c r="T69" s="488"/>
      <c r="U69" s="488"/>
      <c r="V69" s="488"/>
      <c r="W69" s="488"/>
      <c r="X69" s="488"/>
      <c r="Y69" s="488"/>
      <c r="Z69" s="485">
        <f t="shared" ref="Z69:BE69" si="115">Z41+Z27</f>
        <v>468.03100000000006</v>
      </c>
      <c r="AA69" s="485">
        <f t="shared" si="115"/>
        <v>417.05731999999995</v>
      </c>
      <c r="AB69" s="485">
        <f t="shared" si="115"/>
        <v>528.02167680000002</v>
      </c>
      <c r="AC69" s="485">
        <f t="shared" si="115"/>
        <v>645.81370012949981</v>
      </c>
      <c r="AD69" s="485">
        <f t="shared" si="115"/>
        <v>587.32250482862673</v>
      </c>
      <c r="AE69" s="485">
        <f t="shared" si="115"/>
        <v>661.09918474389769</v>
      </c>
      <c r="AF69" s="485">
        <f t="shared" si="115"/>
        <v>760.83877471122605</v>
      </c>
      <c r="AG69" s="485">
        <f t="shared" si="115"/>
        <v>809.99085839263125</v>
      </c>
      <c r="AH69" s="485">
        <f t="shared" si="115"/>
        <v>687.17159167021714</v>
      </c>
      <c r="AI69" s="485">
        <f t="shared" si="115"/>
        <v>751.58523022818167</v>
      </c>
      <c r="AJ69" s="485">
        <f t="shared" si="115"/>
        <v>1154.7154238189285</v>
      </c>
      <c r="AK69" s="485">
        <f t="shared" si="115"/>
        <v>1249.9836184922706</v>
      </c>
      <c r="AL69" s="485">
        <f t="shared" si="115"/>
        <v>870.16080491279808</v>
      </c>
      <c r="AM69" s="485">
        <f t="shared" si="115"/>
        <v>1021.79074499709</v>
      </c>
      <c r="AN69" s="485">
        <f t="shared" si="115"/>
        <v>1240.7444932490469</v>
      </c>
      <c r="AO69" s="485">
        <f t="shared" si="115"/>
        <v>1288.4482656584473</v>
      </c>
      <c r="AP69" s="485">
        <f t="shared" si="115"/>
        <v>1352.7543084275371</v>
      </c>
      <c r="AQ69" s="485">
        <f t="shared" si="115"/>
        <v>1525.6565640425463</v>
      </c>
      <c r="AR69" s="485">
        <f t="shared" si="115"/>
        <v>1554.3814780980767</v>
      </c>
      <c r="AS69" s="485">
        <f t="shared" si="115"/>
        <v>922.38394654682645</v>
      </c>
      <c r="AT69" s="485">
        <f t="shared" si="115"/>
        <v>1028.7190028765017</v>
      </c>
      <c r="AU69" s="485">
        <f t="shared" si="115"/>
        <v>1035.3509321464101</v>
      </c>
      <c r="AV69" s="485">
        <f t="shared" si="115"/>
        <v>1381.3383679192852</v>
      </c>
      <c r="AW69" s="485">
        <f t="shared" si="115"/>
        <v>1408.2806012290534</v>
      </c>
      <c r="AX69" s="485">
        <f t="shared" si="115"/>
        <v>1188.95800681439</v>
      </c>
      <c r="AY69" s="485">
        <f t="shared" si="115"/>
        <v>1429.2393840226125</v>
      </c>
      <c r="AZ69" s="485">
        <f t="shared" si="115"/>
        <v>1989.7516060580751</v>
      </c>
      <c r="BA69" s="485">
        <f t="shared" si="115"/>
        <v>2154.0098806908022</v>
      </c>
      <c r="BB69" s="485">
        <f t="shared" si="115"/>
        <v>2242.54538204342</v>
      </c>
      <c r="BC69" s="485">
        <f t="shared" si="115"/>
        <v>2465.2218431268925</v>
      </c>
      <c r="BD69" s="485">
        <f t="shared" si="115"/>
        <v>2726.5878070547169</v>
      </c>
      <c r="BE69" s="485">
        <f t="shared" si="115"/>
        <v>3104.6551778771445</v>
      </c>
      <c r="BF69" s="485">
        <f t="shared" ref="BF69:CO69" si="116">BF41+BF27</f>
        <v>3263.9002477289778</v>
      </c>
      <c r="BG69" s="485">
        <f t="shared" si="116"/>
        <v>1744.3876307706678</v>
      </c>
      <c r="BH69" s="485">
        <f t="shared" si="116"/>
        <v>1310.2811883247866</v>
      </c>
      <c r="BI69" s="485">
        <f t="shared" si="116"/>
        <v>1594.0502780441052</v>
      </c>
      <c r="BJ69" s="485">
        <f t="shared" si="116"/>
        <v>1943.6282558200319</v>
      </c>
      <c r="BK69" s="485">
        <f t="shared" si="116"/>
        <v>2204.9465057080411</v>
      </c>
      <c r="BL69" s="485">
        <f t="shared" si="116"/>
        <v>2588.5963860366955</v>
      </c>
      <c r="BM69" s="485">
        <f t="shared" si="116"/>
        <v>2637.8662471428415</v>
      </c>
      <c r="BN69" s="485">
        <f t="shared" si="116"/>
        <v>2488.0044289141297</v>
      </c>
      <c r="BO69" s="485">
        <f t="shared" si="116"/>
        <v>2744.7898322048331</v>
      </c>
      <c r="BP69" s="485">
        <f t="shared" si="116"/>
        <v>3136.2133028520975</v>
      </c>
      <c r="BQ69" s="485">
        <f t="shared" si="116"/>
        <v>2409.5020454300247</v>
      </c>
      <c r="BR69" s="485">
        <f t="shared" si="116"/>
        <v>3635.1786539814616</v>
      </c>
      <c r="BS69" s="485">
        <f t="shared" si="116"/>
        <v>4152.005402235478</v>
      </c>
      <c r="BT69" s="485">
        <f t="shared" si="116"/>
        <v>4116.6126081412594</v>
      </c>
      <c r="BU69" s="485">
        <f t="shared" si="116"/>
        <v>3586.519888447926</v>
      </c>
      <c r="BV69" s="486">
        <f t="shared" si="116"/>
        <v>3304.1279258657205</v>
      </c>
      <c r="BW69" s="486">
        <f t="shared" si="116"/>
        <v>3337.1692051243772</v>
      </c>
      <c r="BX69" s="486">
        <f t="shared" si="116"/>
        <v>3471.6571240908906</v>
      </c>
      <c r="BY69" s="486">
        <f t="shared" si="116"/>
        <v>3633.4598360121131</v>
      </c>
      <c r="BZ69" s="486">
        <f t="shared" si="116"/>
        <v>3376.2108796224561</v>
      </c>
      <c r="CA69" s="486">
        <f t="shared" si="116"/>
        <v>3546.6321168480554</v>
      </c>
      <c r="CB69" s="486">
        <f t="shared" si="116"/>
        <v>3811.5132438150226</v>
      </c>
      <c r="CC69" s="486">
        <f t="shared" si="116"/>
        <v>3980.3392653738483</v>
      </c>
      <c r="CD69" s="486">
        <f t="shared" si="116"/>
        <v>3639.9776148824258</v>
      </c>
      <c r="CE69" s="486">
        <f t="shared" si="116"/>
        <v>3823.4324866725001</v>
      </c>
      <c r="CF69" s="486">
        <f t="shared" si="116"/>
        <v>4133.895204590307</v>
      </c>
      <c r="CG69" s="486">
        <f t="shared" si="116"/>
        <v>4358.91334409306</v>
      </c>
      <c r="CH69" s="486">
        <f t="shared" si="116"/>
        <v>3986.1795540237231</v>
      </c>
      <c r="CI69" s="486">
        <f t="shared" si="116"/>
        <v>4187.0830035465178</v>
      </c>
      <c r="CJ69" s="486">
        <f t="shared" si="116"/>
        <v>4527.0741434344964</v>
      </c>
      <c r="CK69" s="486">
        <f t="shared" si="116"/>
        <v>4773.493984947534</v>
      </c>
      <c r="CL69" s="486">
        <f t="shared" si="116"/>
        <v>4365.3091084819798</v>
      </c>
      <c r="CM69" s="486">
        <f t="shared" si="116"/>
        <v>4585.3206875494725</v>
      </c>
      <c r="CN69" s="486">
        <f t="shared" si="116"/>
        <v>4957.6487273784896</v>
      </c>
      <c r="CO69" s="486">
        <f t="shared" si="116"/>
        <v>5227.5058083475906</v>
      </c>
      <c r="CP69" s="550"/>
      <c r="CQ69" s="552"/>
      <c r="CR69" s="562"/>
      <c r="CS69" s="562"/>
      <c r="CT69" s="562"/>
      <c r="CU69" s="562"/>
      <c r="CV69" s="562"/>
      <c r="CW69" s="562"/>
      <c r="CX69" s="485">
        <f>SUM(Z69:AC69)</f>
        <v>2058.9236969294998</v>
      </c>
      <c r="CY69" s="485">
        <f>SUM(AD69:AG69)</f>
        <v>2819.2513226763817</v>
      </c>
      <c r="CZ69" s="485">
        <f>SUM(AH69:AK69)</f>
        <v>3843.4558642095981</v>
      </c>
      <c r="DA69" s="485">
        <f>SUM(AL69:AO69)</f>
        <v>4421.1443088173819</v>
      </c>
      <c r="DB69" s="485">
        <f>SUM(AP69:AS69)</f>
        <v>5355.1762971149865</v>
      </c>
      <c r="DC69" s="485">
        <f>AT69+AU69+AV69+AW69</f>
        <v>4853.6889041712502</v>
      </c>
      <c r="DD69" s="485">
        <f>AX69+AY69+AZ69+BA69</f>
        <v>6761.9588775858811</v>
      </c>
      <c r="DE69" s="485">
        <f>BB69+BC69+BD69+BE69</f>
        <v>10539.010210102173</v>
      </c>
      <c r="DF69" s="485">
        <f>+SUM(BF69:BI69)</f>
        <v>7912.6193448685372</v>
      </c>
      <c r="DG69" s="485">
        <f>+SUM(BJ69:BM69)</f>
        <v>9375.0373947076096</v>
      </c>
      <c r="DH69" s="485">
        <f>+SUM(BN69:BQ69)</f>
        <v>10778.509609401084</v>
      </c>
      <c r="DI69" s="485">
        <f>+SUM(BR69:BU69)</f>
        <v>15490.316552806125</v>
      </c>
      <c r="DJ69" s="486">
        <f>SUM(BV69:BY69)</f>
        <v>13746.414091093102</v>
      </c>
      <c r="DK69" s="486">
        <f>SUM(BZ69:CC69)</f>
        <v>14714.695505659383</v>
      </c>
      <c r="DL69" s="486">
        <f>SUM(CD69:CG69)</f>
        <v>15956.218650238294</v>
      </c>
      <c r="DM69" s="486">
        <f>SUM(CH69:CK69)</f>
        <v>17473.830685952271</v>
      </c>
      <c r="DN69" s="486">
        <f>SUM(CL69:CO69)</f>
        <v>19135.784331757532</v>
      </c>
      <c r="DO69" s="550"/>
    </row>
    <row r="70" spans="1:119" s="551" customFormat="1">
      <c r="A70" s="552" t="s">
        <v>223</v>
      </c>
      <c r="B70" s="488"/>
      <c r="C70" s="488"/>
      <c r="D70" s="488"/>
      <c r="E70" s="488"/>
      <c r="F70" s="488"/>
      <c r="G70" s="488"/>
      <c r="H70" s="488"/>
      <c r="I70" s="488"/>
      <c r="J70" s="488"/>
      <c r="K70" s="488"/>
      <c r="L70" s="488"/>
      <c r="M70" s="488"/>
      <c r="N70" s="488"/>
      <c r="O70" s="488"/>
      <c r="P70" s="488"/>
      <c r="Q70" s="488"/>
      <c r="R70" s="488"/>
      <c r="S70" s="488"/>
      <c r="T70" s="488"/>
      <c r="U70" s="488"/>
      <c r="V70" s="488"/>
      <c r="W70" s="488"/>
      <c r="X70" s="488"/>
      <c r="Y70" s="488"/>
      <c r="Z70" s="488"/>
      <c r="AA70" s="488">
        <f t="shared" ref="AA70:CL70" si="117">AA69/Z69-1</f>
        <v>-0.10891090547421023</v>
      </c>
      <c r="AB70" s="488">
        <f t="shared" si="117"/>
        <v>0.26606500228793517</v>
      </c>
      <c r="AC70" s="488">
        <f t="shared" si="117"/>
        <v>0.22308179475388501</v>
      </c>
      <c r="AD70" s="488">
        <f t="shared" si="117"/>
        <v>-9.0569765381478096E-2</v>
      </c>
      <c r="AE70" s="488">
        <f t="shared" si="117"/>
        <v>0.12561527833298003</v>
      </c>
      <c r="AF70" s="488">
        <f t="shared" si="117"/>
        <v>0.15086932833832845</v>
      </c>
      <c r="AG70" s="488">
        <f t="shared" si="117"/>
        <v>6.4602495712788421E-2</v>
      </c>
      <c r="AH70" s="488">
        <f t="shared" si="117"/>
        <v>-0.15163043563990353</v>
      </c>
      <c r="AI70" s="488">
        <f t="shared" si="117"/>
        <v>9.3737342082787167E-2</v>
      </c>
      <c r="AJ70" s="488">
        <f t="shared" si="117"/>
        <v>0.53637322472177407</v>
      </c>
      <c r="AK70" s="488">
        <f t="shared" si="117"/>
        <v>8.2503613191782454E-2</v>
      </c>
      <c r="AL70" s="488">
        <f t="shared" si="117"/>
        <v>-0.30386223304079341</v>
      </c>
      <c r="AM70" s="488">
        <f t="shared" si="117"/>
        <v>0.17425507932351336</v>
      </c>
      <c r="AN70" s="488">
        <f t="shared" si="117"/>
        <v>0.21428433299479588</v>
      </c>
      <c r="AO70" s="488">
        <f t="shared" si="117"/>
        <v>3.8447700287173703E-2</v>
      </c>
      <c r="AP70" s="488">
        <f t="shared" si="117"/>
        <v>4.9909681655884608E-2</v>
      </c>
      <c r="AQ70" s="488">
        <f t="shared" si="117"/>
        <v>0.12781497315354584</v>
      </c>
      <c r="AR70" s="488">
        <f t="shared" si="117"/>
        <v>1.88279031680747E-2</v>
      </c>
      <c r="AS70" s="488">
        <f t="shared" si="117"/>
        <v>-0.4065910077135988</v>
      </c>
      <c r="AT70" s="488">
        <f t="shared" si="117"/>
        <v>0.11528285669732963</v>
      </c>
      <c r="AU70" s="488">
        <f t="shared" si="117"/>
        <v>6.4467840599464754E-3</v>
      </c>
      <c r="AV70" s="488">
        <f t="shared" si="117"/>
        <v>0.33417407086851281</v>
      </c>
      <c r="AW70" s="488">
        <f t="shared" si="117"/>
        <v>1.9504441442795395E-2</v>
      </c>
      <c r="AX70" s="488">
        <f t="shared" si="117"/>
        <v>-0.15573785098172432</v>
      </c>
      <c r="AY70" s="488">
        <f t="shared" si="117"/>
        <v>0.2020940822393007</v>
      </c>
      <c r="AZ70" s="488">
        <f t="shared" si="117"/>
        <v>0.39217518653725714</v>
      </c>
      <c r="BA70" s="488">
        <f t="shared" si="117"/>
        <v>8.255215079742606E-2</v>
      </c>
      <c r="BB70" s="488">
        <f t="shared" si="117"/>
        <v>4.1102644025116541E-2</v>
      </c>
      <c r="BC70" s="488">
        <f t="shared" si="117"/>
        <v>9.9296300920594271E-2</v>
      </c>
      <c r="BD70" s="488">
        <f t="shared" si="117"/>
        <v>0.1060212753900911</v>
      </c>
      <c r="BE70" s="488">
        <f t="shared" si="117"/>
        <v>0.13865952522938163</v>
      </c>
      <c r="BF70" s="488">
        <f t="shared" si="117"/>
        <v>5.1292353169062554E-2</v>
      </c>
      <c r="BG70" s="488">
        <f>BG69/BF69-1</f>
        <v>-0.46555118160108822</v>
      </c>
      <c r="BH70" s="488">
        <f>BH69/BG69-1</f>
        <v>-0.24885893180410457</v>
      </c>
      <c r="BI70" s="488">
        <f t="shared" si="117"/>
        <v>0.21657113926982463</v>
      </c>
      <c r="BJ70" s="488">
        <f t="shared" si="117"/>
        <v>0.21930172629489308</v>
      </c>
      <c r="BK70" s="488">
        <f t="shared" si="117"/>
        <v>0.13444867819013928</v>
      </c>
      <c r="BL70" s="488">
        <f t="shared" si="117"/>
        <v>0.17399509663181556</v>
      </c>
      <c r="BM70" s="488">
        <f t="shared" si="117"/>
        <v>1.9033427293615679E-2</v>
      </c>
      <c r="BN70" s="488">
        <f t="shared" si="117"/>
        <v>-5.6811757757252446E-2</v>
      </c>
      <c r="BO70" s="488">
        <f t="shared" si="117"/>
        <v>0.10320938351495434</v>
      </c>
      <c r="BP70" s="488">
        <f t="shared" si="117"/>
        <v>0.14260598973905481</v>
      </c>
      <c r="BQ70" s="488">
        <f t="shared" si="117"/>
        <v>-0.23171614531485973</v>
      </c>
      <c r="BR70" s="488">
        <f t="shared" si="117"/>
        <v>0.50868461011523647</v>
      </c>
      <c r="BS70" s="488">
        <f t="shared" si="117"/>
        <v>0.14217368593093971</v>
      </c>
      <c r="BT70" s="488">
        <f t="shared" si="117"/>
        <v>-8.524264943191695E-3</v>
      </c>
      <c r="BU70" s="488">
        <f t="shared" si="117"/>
        <v>-0.12876915322199378</v>
      </c>
      <c r="BV70" s="489">
        <f t="shared" si="117"/>
        <v>-7.8737040742972497E-2</v>
      </c>
      <c r="BW70" s="489">
        <f t="shared" si="117"/>
        <v>9.9999999999997868E-3</v>
      </c>
      <c r="BX70" s="489">
        <f t="shared" si="117"/>
        <v>4.0300000000000225E-2</v>
      </c>
      <c r="BY70" s="489">
        <f t="shared" si="117"/>
        <v>4.6606766203500793E-2</v>
      </c>
      <c r="BZ70" s="489">
        <f t="shared" si="117"/>
        <v>-7.0799999999999863E-2</v>
      </c>
      <c r="CA70" s="489">
        <f t="shared" si="117"/>
        <v>5.0477071279581009E-2</v>
      </c>
      <c r="CB70" s="489">
        <f t="shared" si="117"/>
        <v>7.4685255825848396E-2</v>
      </c>
      <c r="CC70" s="489">
        <f t="shared" si="117"/>
        <v>4.4293699315562263E-2</v>
      </c>
      <c r="CD70" s="489">
        <f t="shared" si="117"/>
        <v>-8.5510713484232226E-2</v>
      </c>
      <c r="CE70" s="489">
        <f t="shared" si="117"/>
        <v>5.04E-2</v>
      </c>
      <c r="CF70" s="489">
        <f t="shared" si="117"/>
        <v>8.1199999999999939E-2</v>
      </c>
      <c r="CG70" s="489">
        <f t="shared" si="117"/>
        <v>5.4432473095324507E-2</v>
      </c>
      <c r="CH70" s="489">
        <f t="shared" si="117"/>
        <v>-8.5510713484231893E-2</v>
      </c>
      <c r="CI70" s="489">
        <f t="shared" si="117"/>
        <v>5.0399999999999778E-2</v>
      </c>
      <c r="CJ70" s="489">
        <f t="shared" si="117"/>
        <v>8.1200000000000383E-2</v>
      </c>
      <c r="CK70" s="489">
        <f t="shared" si="117"/>
        <v>5.4432473095324507E-2</v>
      </c>
      <c r="CL70" s="489">
        <f t="shared" si="117"/>
        <v>-8.5510713484232115E-2</v>
      </c>
      <c r="CM70" s="489">
        <f t="shared" ref="CM70:CO70" si="118">CM69/CL69-1</f>
        <v>5.0400000000000222E-2</v>
      </c>
      <c r="CN70" s="489">
        <f t="shared" si="118"/>
        <v>8.1199999999999939E-2</v>
      </c>
      <c r="CO70" s="489">
        <f t="shared" si="118"/>
        <v>5.4432473095324729E-2</v>
      </c>
      <c r="CP70" s="550"/>
      <c r="CQ70" s="552"/>
      <c r="CR70" s="562"/>
      <c r="CS70" s="562"/>
      <c r="CT70" s="562"/>
      <c r="CU70" s="562"/>
      <c r="CV70" s="562"/>
      <c r="CW70" s="562"/>
      <c r="CX70" s="488"/>
      <c r="CY70" s="488"/>
      <c r="CZ70" s="488"/>
      <c r="DA70" s="488"/>
      <c r="DB70" s="488"/>
      <c r="DC70" s="488"/>
      <c r="DD70" s="488"/>
      <c r="DE70" s="488"/>
      <c r="DF70" s="488"/>
      <c r="DG70" s="488"/>
      <c r="DH70" s="488"/>
      <c r="DI70" s="488"/>
      <c r="DJ70" s="489"/>
      <c r="DK70" s="489"/>
      <c r="DL70" s="489"/>
      <c r="DM70" s="489"/>
      <c r="DN70" s="489"/>
      <c r="DO70" s="550"/>
    </row>
    <row r="71" spans="1:119" s="551" customFormat="1">
      <c r="A71" s="552" t="s">
        <v>225</v>
      </c>
      <c r="B71" s="488"/>
      <c r="C71" s="488"/>
      <c r="D71" s="488"/>
      <c r="E71" s="488"/>
      <c r="F71" s="488"/>
      <c r="G71" s="488"/>
      <c r="H71" s="488"/>
      <c r="I71" s="488"/>
      <c r="J71" s="488"/>
      <c r="K71" s="488"/>
      <c r="L71" s="488"/>
      <c r="M71" s="488"/>
      <c r="N71" s="488"/>
      <c r="O71" s="488"/>
      <c r="P71" s="488"/>
      <c r="Q71" s="488"/>
      <c r="R71" s="488"/>
      <c r="S71" s="488"/>
      <c r="T71" s="488"/>
      <c r="U71" s="488"/>
      <c r="V71" s="488"/>
      <c r="W71" s="488"/>
      <c r="X71" s="488"/>
      <c r="Y71" s="488"/>
      <c r="Z71" s="488"/>
      <c r="AA71" s="488"/>
      <c r="AB71" s="488"/>
      <c r="AC71" s="488"/>
      <c r="AD71" s="488">
        <f t="shared" ref="AD71:CO71" si="119">AD69/Z69-1</f>
        <v>0.2548794947954871</v>
      </c>
      <c r="AE71" s="488">
        <f t="shared" si="119"/>
        <v>0.58515185573028128</v>
      </c>
      <c r="AF71" s="488">
        <f t="shared" si="119"/>
        <v>0.44092337140812243</v>
      </c>
      <c r="AG71" s="488">
        <f t="shared" si="119"/>
        <v>0.25421752160136935</v>
      </c>
      <c r="AH71" s="488">
        <f t="shared" si="119"/>
        <v>0.17000725499310665</v>
      </c>
      <c r="AI71" s="488">
        <f t="shared" si="119"/>
        <v>0.13687211778870556</v>
      </c>
      <c r="AJ71" s="488">
        <f t="shared" si="119"/>
        <v>0.51768740263953683</v>
      </c>
      <c r="AK71" s="488">
        <f t="shared" si="119"/>
        <v>0.54320706899430116</v>
      </c>
      <c r="AL71" s="488">
        <f t="shared" si="119"/>
        <v>0.26629333264172517</v>
      </c>
      <c r="AM71" s="488">
        <f t="shared" si="119"/>
        <v>0.35951413612382166</v>
      </c>
      <c r="AN71" s="488">
        <f t="shared" si="119"/>
        <v>7.4502399167406086E-2</v>
      </c>
      <c r="AO71" s="488">
        <f t="shared" si="119"/>
        <v>3.0772121007931919E-2</v>
      </c>
      <c r="AP71" s="488">
        <f t="shared" si="119"/>
        <v>0.55460266744961184</v>
      </c>
      <c r="AQ71" s="488">
        <f t="shared" si="119"/>
        <v>0.49312035904855578</v>
      </c>
      <c r="AR71" s="488">
        <f t="shared" si="119"/>
        <v>0.2527812829761038</v>
      </c>
      <c r="AS71" s="488">
        <f t="shared" si="119"/>
        <v>-0.28411254752595572</v>
      </c>
      <c r="AT71" s="488">
        <f t="shared" si="119"/>
        <v>-0.23953744115418796</v>
      </c>
      <c r="AU71" s="488">
        <f t="shared" si="119"/>
        <v>-0.32137352760241722</v>
      </c>
      <c r="AV71" s="488">
        <f t="shared" si="119"/>
        <v>-0.11132602428492977</v>
      </c>
      <c r="AW71" s="488">
        <f t="shared" si="119"/>
        <v>0.52678351190011696</v>
      </c>
      <c r="AX71" s="488">
        <f t="shared" si="119"/>
        <v>0.15576557202679098</v>
      </c>
      <c r="AY71" s="488">
        <f t="shared" si="119"/>
        <v>0.38043955884563996</v>
      </c>
      <c r="AZ71" s="488">
        <f t="shared" si="119"/>
        <v>0.44045199371045118</v>
      </c>
      <c r="BA71" s="488">
        <f t="shared" si="119"/>
        <v>0.5295317416223202</v>
      </c>
      <c r="BB71" s="488">
        <f t="shared" si="119"/>
        <v>0.88614347116593084</v>
      </c>
      <c r="BC71" s="488">
        <f t="shared" si="119"/>
        <v>0.72484880467573887</v>
      </c>
      <c r="BD71" s="488">
        <f t="shared" si="119"/>
        <v>0.3703156709376394</v>
      </c>
      <c r="BE71" s="488">
        <f t="shared" si="119"/>
        <v>0.44133748211102231</v>
      </c>
      <c r="BF71" s="488">
        <f t="shared" si="119"/>
        <v>0.45544445783072329</v>
      </c>
      <c r="BG71" s="488">
        <f>BG69/BC69-1</f>
        <v>-0.29240135704862857</v>
      </c>
      <c r="BH71" s="488">
        <f>BH69/BD69-1</f>
        <v>-0.51944287840846637</v>
      </c>
      <c r="BI71" s="488">
        <f t="shared" si="119"/>
        <v>-0.48656124860408445</v>
      </c>
      <c r="BJ71" s="488">
        <f t="shared" si="119"/>
        <v>-0.4045074578573874</v>
      </c>
      <c r="BK71" s="488">
        <f t="shared" si="119"/>
        <v>0.26402324048462722</v>
      </c>
      <c r="BL71" s="488">
        <f t="shared" si="119"/>
        <v>0.97560371705118754</v>
      </c>
      <c r="BM71" s="488">
        <f t="shared" si="119"/>
        <v>0.65481997868943975</v>
      </c>
      <c r="BN71" s="488">
        <f t="shared" si="119"/>
        <v>0.28008245479247851</v>
      </c>
      <c r="BO71" s="488">
        <f t="shared" si="119"/>
        <v>0.24483284519568893</v>
      </c>
      <c r="BP71" s="488">
        <f t="shared" si="119"/>
        <v>0.21154974941993099</v>
      </c>
      <c r="BQ71" s="488">
        <f t="shared" si="119"/>
        <v>-8.6571562132903956E-2</v>
      </c>
      <c r="BR71" s="488">
        <f t="shared" si="119"/>
        <v>0.46108206711191713</v>
      </c>
      <c r="BS71" s="488">
        <f t="shared" si="119"/>
        <v>0.51268609112423658</v>
      </c>
      <c r="BT71" s="488">
        <f t="shared" si="119"/>
        <v>0.31260606681234937</v>
      </c>
      <c r="BU71" s="488">
        <f t="shared" si="119"/>
        <v>0.48849007837544223</v>
      </c>
      <c r="BV71" s="489">
        <f t="shared" si="119"/>
        <v>-9.1068626779362005E-2</v>
      </c>
      <c r="BW71" s="489">
        <f t="shared" si="119"/>
        <v>-0.19625123721476501</v>
      </c>
      <c r="BX71" s="489">
        <f t="shared" si="119"/>
        <v>-0.156671405702559</v>
      </c>
      <c r="BY71" s="489">
        <f t="shared" si="119"/>
        <v>1.3087881574386229E-2</v>
      </c>
      <c r="BZ71" s="489">
        <f t="shared" si="119"/>
        <v>2.181602994013887E-2</v>
      </c>
      <c r="CA71" s="489">
        <f t="shared" si="119"/>
        <v>6.276664407727317E-2</v>
      </c>
      <c r="CB71" s="489">
        <f t="shared" si="119"/>
        <v>9.7894494639394702E-2</v>
      </c>
      <c r="CC71" s="489">
        <f t="shared" si="119"/>
        <v>9.5468078640563947E-2</v>
      </c>
      <c r="CD71" s="489">
        <f t="shared" si="119"/>
        <v>7.8125077095144491E-2</v>
      </c>
      <c r="CE71" s="489">
        <f t="shared" si="119"/>
        <v>7.8045977339888717E-2</v>
      </c>
      <c r="CF71" s="489">
        <f t="shared" si="119"/>
        <v>8.4581094214592145E-2</v>
      </c>
      <c r="CG71" s="489">
        <f t="shared" si="119"/>
        <v>9.511100775065584E-2</v>
      </c>
      <c r="CH71" s="489">
        <f t="shared" si="119"/>
        <v>9.5111007750656062E-2</v>
      </c>
      <c r="CI71" s="489">
        <f t="shared" si="119"/>
        <v>9.511100775065584E-2</v>
      </c>
      <c r="CJ71" s="489">
        <f t="shared" si="119"/>
        <v>9.5111007750656285E-2</v>
      </c>
      <c r="CK71" s="489">
        <f t="shared" si="119"/>
        <v>9.5111007750656285E-2</v>
      </c>
      <c r="CL71" s="489">
        <f t="shared" si="119"/>
        <v>9.5111007750656062E-2</v>
      </c>
      <c r="CM71" s="489">
        <f t="shared" si="119"/>
        <v>9.5111007750656507E-2</v>
      </c>
      <c r="CN71" s="489">
        <f t="shared" si="119"/>
        <v>9.5111007750656062E-2</v>
      </c>
      <c r="CO71" s="489">
        <f t="shared" si="119"/>
        <v>9.5111007750656285E-2</v>
      </c>
      <c r="CP71" s="550"/>
      <c r="CQ71" s="552"/>
      <c r="CR71" s="562"/>
      <c r="CS71" s="562"/>
      <c r="CT71" s="562"/>
      <c r="CU71" s="562"/>
      <c r="CV71" s="562"/>
      <c r="CW71" s="562"/>
      <c r="CX71" s="488"/>
      <c r="CY71" s="488">
        <f t="shared" ref="CY71:DK71" si="120">CY69/CX69-1</f>
        <v>0.36928402294886831</v>
      </c>
      <c r="CZ71" s="488">
        <f t="shared" si="120"/>
        <v>0.3632895490001633</v>
      </c>
      <c r="DA71" s="488">
        <f t="shared" si="120"/>
        <v>0.15030443044428843</v>
      </c>
      <c r="DB71" s="488">
        <f t="shared" si="120"/>
        <v>0.21126475931464217</v>
      </c>
      <c r="DC71" s="488">
        <f t="shared" si="120"/>
        <v>-9.364535640290772E-2</v>
      </c>
      <c r="DD71" s="488">
        <f t="shared" si="120"/>
        <v>0.39315869044978702</v>
      </c>
      <c r="DE71" s="488">
        <f t="shared" si="120"/>
        <v>0.55857354368661216</v>
      </c>
      <c r="DF71" s="488">
        <f t="shared" si="120"/>
        <v>-0.24920659652802191</v>
      </c>
      <c r="DG71" s="488">
        <f t="shared" si="120"/>
        <v>0.18482097850283608</v>
      </c>
      <c r="DH71" s="488">
        <f t="shared" si="120"/>
        <v>0.14970310576955792</v>
      </c>
      <c r="DI71" s="488">
        <f t="shared" si="120"/>
        <v>0.43714828062085442</v>
      </c>
      <c r="DJ71" s="489">
        <f t="shared" si="120"/>
        <v>-0.11258016940894011</v>
      </c>
      <c r="DK71" s="489">
        <f t="shared" si="120"/>
        <v>7.0438836495815504E-2</v>
      </c>
      <c r="DL71" s="489">
        <f>DL69/DK69-1</f>
        <v>8.4373009560504419E-2</v>
      </c>
      <c r="DM71" s="489">
        <f>DM69/DL69-1</f>
        <v>9.5111007750656062E-2</v>
      </c>
      <c r="DN71" s="489">
        <f>DN69/DM69-1</f>
        <v>9.5111007750656285E-2</v>
      </c>
      <c r="DO71" s="550"/>
    </row>
    <row r="72" spans="1:119" s="551" customFormat="1">
      <c r="A72" s="549" t="s">
        <v>259</v>
      </c>
      <c r="B72" s="488"/>
      <c r="C72" s="488"/>
      <c r="D72" s="488"/>
      <c r="E72" s="488"/>
      <c r="F72" s="488"/>
      <c r="G72" s="488"/>
      <c r="H72" s="488"/>
      <c r="I72" s="488"/>
      <c r="J72" s="488"/>
      <c r="K72" s="488"/>
      <c r="L72" s="488"/>
      <c r="M72" s="488"/>
      <c r="N72" s="488"/>
      <c r="O72" s="488"/>
      <c r="P72" s="488"/>
      <c r="Q72" s="488"/>
      <c r="R72" s="488"/>
      <c r="S72" s="488"/>
      <c r="T72" s="488"/>
      <c r="U72" s="488"/>
      <c r="V72" s="488"/>
      <c r="W72" s="488"/>
      <c r="X72" s="488"/>
      <c r="Y72" s="488"/>
      <c r="Z72" s="485">
        <f t="shared" ref="Z72:BE72" si="121">Z30</f>
        <v>0</v>
      </c>
      <c r="AA72" s="485">
        <f t="shared" si="121"/>
        <v>0</v>
      </c>
      <c r="AB72" s="485">
        <f t="shared" si="121"/>
        <v>0</v>
      </c>
      <c r="AC72" s="485">
        <f t="shared" si="121"/>
        <v>0</v>
      </c>
      <c r="AD72" s="485">
        <f t="shared" si="121"/>
        <v>0</v>
      </c>
      <c r="AE72" s="485">
        <f t="shared" si="121"/>
        <v>0</v>
      </c>
      <c r="AF72" s="485">
        <f t="shared" si="121"/>
        <v>0</v>
      </c>
      <c r="AG72" s="485">
        <f t="shared" si="121"/>
        <v>0</v>
      </c>
      <c r="AH72" s="485">
        <f t="shared" si="121"/>
        <v>0</v>
      </c>
      <c r="AI72" s="485">
        <f t="shared" si="121"/>
        <v>0</v>
      </c>
      <c r="AJ72" s="485">
        <f t="shared" si="121"/>
        <v>0</v>
      </c>
      <c r="AK72" s="485">
        <f t="shared" si="121"/>
        <v>0</v>
      </c>
      <c r="AL72" s="485">
        <f t="shared" si="121"/>
        <v>0</v>
      </c>
      <c r="AM72" s="485">
        <f t="shared" si="121"/>
        <v>0</v>
      </c>
      <c r="AN72" s="485">
        <f t="shared" si="121"/>
        <v>50</v>
      </c>
      <c r="AO72" s="485">
        <f t="shared" si="121"/>
        <v>150</v>
      </c>
      <c r="AP72" s="485">
        <f t="shared" si="121"/>
        <v>100</v>
      </c>
      <c r="AQ72" s="485">
        <f t="shared" si="121"/>
        <v>0</v>
      </c>
      <c r="AR72" s="485">
        <f t="shared" si="121"/>
        <v>0</v>
      </c>
      <c r="AS72" s="485">
        <f t="shared" si="121"/>
        <v>0</v>
      </c>
      <c r="AT72" s="485">
        <f t="shared" si="121"/>
        <v>0</v>
      </c>
      <c r="AU72" s="485">
        <f t="shared" si="121"/>
        <v>0</v>
      </c>
      <c r="AV72" s="485">
        <f t="shared" si="121"/>
        <v>0</v>
      </c>
      <c r="AW72" s="485">
        <f t="shared" si="121"/>
        <v>0</v>
      </c>
      <c r="AX72" s="485">
        <f t="shared" si="121"/>
        <v>0</v>
      </c>
      <c r="AY72" s="485">
        <f t="shared" si="121"/>
        <v>0</v>
      </c>
      <c r="AZ72" s="485">
        <f t="shared" si="121"/>
        <v>0</v>
      </c>
      <c r="BA72" s="485">
        <f t="shared" si="121"/>
        <v>200.4</v>
      </c>
      <c r="BB72" s="485">
        <f t="shared" si="121"/>
        <v>349.69799999999998</v>
      </c>
      <c r="BC72" s="485">
        <f t="shared" si="121"/>
        <v>349.69799999999998</v>
      </c>
      <c r="BD72" s="485">
        <f t="shared" si="121"/>
        <v>174.84899999999999</v>
      </c>
      <c r="BE72" s="485">
        <f t="shared" si="121"/>
        <v>43.712249999999997</v>
      </c>
      <c r="BF72" s="485">
        <f t="shared" ref="BF72:CO72" si="122">BF30</f>
        <v>0</v>
      </c>
      <c r="BG72" s="485">
        <f t="shared" si="122"/>
        <v>0</v>
      </c>
      <c r="BH72" s="485">
        <f t="shared" si="122"/>
        <v>0</v>
      </c>
      <c r="BI72" s="485">
        <f t="shared" si="122"/>
        <v>0</v>
      </c>
      <c r="BJ72" s="485">
        <f t="shared" si="122"/>
        <v>0</v>
      </c>
      <c r="BK72" s="485">
        <f t="shared" si="122"/>
        <v>0</v>
      </c>
      <c r="BL72" s="485">
        <f t="shared" si="122"/>
        <v>0</v>
      </c>
      <c r="BM72" s="485">
        <f t="shared" si="122"/>
        <v>0</v>
      </c>
      <c r="BN72" s="485">
        <f t="shared" si="122"/>
        <v>0</v>
      </c>
      <c r="BO72" s="485">
        <f t="shared" si="122"/>
        <v>0</v>
      </c>
      <c r="BP72" s="485">
        <f t="shared" si="122"/>
        <v>0</v>
      </c>
      <c r="BQ72" s="485">
        <f t="shared" si="122"/>
        <v>0</v>
      </c>
      <c r="BR72" s="485">
        <f t="shared" si="122"/>
        <v>0</v>
      </c>
      <c r="BS72" s="485">
        <f t="shared" si="122"/>
        <v>0</v>
      </c>
      <c r="BT72" s="485">
        <f t="shared" si="122"/>
        <v>0</v>
      </c>
      <c r="BU72" s="485">
        <f t="shared" si="122"/>
        <v>0</v>
      </c>
      <c r="BV72" s="486">
        <f t="shared" si="122"/>
        <v>0</v>
      </c>
      <c r="BW72" s="486">
        <f t="shared" si="122"/>
        <v>0</v>
      </c>
      <c r="BX72" s="486">
        <f t="shared" si="122"/>
        <v>0</v>
      </c>
      <c r="BY72" s="486">
        <f t="shared" si="122"/>
        <v>0</v>
      </c>
      <c r="BZ72" s="486">
        <f t="shared" si="122"/>
        <v>0</v>
      </c>
      <c r="CA72" s="486">
        <f t="shared" si="122"/>
        <v>0</v>
      </c>
      <c r="CB72" s="486">
        <f t="shared" si="122"/>
        <v>0</v>
      </c>
      <c r="CC72" s="486">
        <f t="shared" si="122"/>
        <v>0</v>
      </c>
      <c r="CD72" s="486">
        <f t="shared" si="122"/>
        <v>0</v>
      </c>
      <c r="CE72" s="486">
        <f t="shared" si="122"/>
        <v>0</v>
      </c>
      <c r="CF72" s="486">
        <f t="shared" si="122"/>
        <v>0</v>
      </c>
      <c r="CG72" s="486">
        <f t="shared" si="122"/>
        <v>0</v>
      </c>
      <c r="CH72" s="486">
        <f t="shared" si="122"/>
        <v>0</v>
      </c>
      <c r="CI72" s="486">
        <f t="shared" si="122"/>
        <v>0</v>
      </c>
      <c r="CJ72" s="486">
        <f t="shared" si="122"/>
        <v>0</v>
      </c>
      <c r="CK72" s="486">
        <f t="shared" si="122"/>
        <v>0</v>
      </c>
      <c r="CL72" s="486">
        <f t="shared" si="122"/>
        <v>0</v>
      </c>
      <c r="CM72" s="486">
        <f t="shared" si="122"/>
        <v>0</v>
      </c>
      <c r="CN72" s="486">
        <f t="shared" si="122"/>
        <v>0</v>
      </c>
      <c r="CO72" s="486">
        <f t="shared" si="122"/>
        <v>0</v>
      </c>
      <c r="CP72" s="550"/>
      <c r="CQ72" s="552"/>
      <c r="CR72" s="562"/>
      <c r="CS72" s="562"/>
      <c r="CT72" s="562"/>
      <c r="CU72" s="562"/>
      <c r="CV72" s="562"/>
      <c r="CW72" s="562"/>
      <c r="CX72" s="485">
        <f>SUM(Z72:AC72)</f>
        <v>0</v>
      </c>
      <c r="CY72" s="485">
        <f>SUM(AD72:AG72)</f>
        <v>0</v>
      </c>
      <c r="CZ72" s="485">
        <f>SUM(AH72:AK72)</f>
        <v>0</v>
      </c>
      <c r="DA72" s="485">
        <f>SUM(AL72:AO72)</f>
        <v>200</v>
      </c>
      <c r="DB72" s="485">
        <f>SUM(AP72:AS72)</f>
        <v>100</v>
      </c>
      <c r="DC72" s="485">
        <f>AT72+AU72+AV72+AW72</f>
        <v>0</v>
      </c>
      <c r="DD72" s="485">
        <f>AX72+AY72+AZ72+BA72</f>
        <v>200.4</v>
      </c>
      <c r="DE72" s="485">
        <f>BB72+BC72+BD72+BE72</f>
        <v>917.95724999999993</v>
      </c>
      <c r="DF72" s="485">
        <f>+SUM(BF72:BI72)</f>
        <v>0</v>
      </c>
      <c r="DG72" s="485">
        <f>+SUM(BJ72:BM72)</f>
        <v>0</v>
      </c>
      <c r="DH72" s="485">
        <f>+SUM(BN72:BQ72)</f>
        <v>0</v>
      </c>
      <c r="DI72" s="485">
        <f>+SUM(BR72:BU72)</f>
        <v>0</v>
      </c>
      <c r="DJ72" s="486">
        <f>SUM(BV72:BY72)</f>
        <v>0</v>
      </c>
      <c r="DK72" s="486">
        <f>SUM(BW72:BZ72)</f>
        <v>0</v>
      </c>
      <c r="DL72" s="486">
        <f>SUM(CD72:CG72)</f>
        <v>0</v>
      </c>
      <c r="DM72" s="486">
        <f>SUM(CH72:CK72)</f>
        <v>0</v>
      </c>
      <c r="DN72" s="486">
        <f>SUM(CL72:CO72)</f>
        <v>0</v>
      </c>
      <c r="DO72" s="550"/>
    </row>
    <row r="73" spans="1:119" s="551" customFormat="1">
      <c r="A73" s="552" t="s">
        <v>223</v>
      </c>
      <c r="B73" s="488"/>
      <c r="C73" s="488"/>
      <c r="D73" s="488"/>
      <c r="E73" s="488"/>
      <c r="F73" s="488"/>
      <c r="G73" s="488"/>
      <c r="H73" s="488"/>
      <c r="I73" s="488"/>
      <c r="J73" s="488"/>
      <c r="K73" s="488"/>
      <c r="L73" s="488"/>
      <c r="M73" s="488"/>
      <c r="N73" s="488"/>
      <c r="O73" s="488"/>
      <c r="P73" s="488"/>
      <c r="Q73" s="488"/>
      <c r="R73" s="488"/>
      <c r="S73" s="488"/>
      <c r="T73" s="488"/>
      <c r="U73" s="488"/>
      <c r="V73" s="488"/>
      <c r="W73" s="488"/>
      <c r="X73" s="488"/>
      <c r="Y73" s="488"/>
      <c r="Z73" s="488"/>
      <c r="AA73" s="488"/>
      <c r="AB73" s="488"/>
      <c r="AC73" s="488"/>
      <c r="AD73" s="488"/>
      <c r="AE73" s="488"/>
      <c r="AF73" s="488"/>
      <c r="AG73" s="488"/>
      <c r="AH73" s="488"/>
      <c r="AI73" s="488"/>
      <c r="AJ73" s="488"/>
      <c r="AK73" s="488"/>
      <c r="AL73" s="488"/>
      <c r="AM73" s="488"/>
      <c r="AN73" s="488"/>
      <c r="AO73" s="488">
        <f>AO72/AN72-1</f>
        <v>2</v>
      </c>
      <c r="AP73" s="488">
        <f>AP72/AO72-1</f>
        <v>-0.33333333333333337</v>
      </c>
      <c r="AQ73" s="488">
        <f>AQ72/AP72-1</f>
        <v>-1</v>
      </c>
      <c r="AR73" s="489"/>
      <c r="AS73" s="489"/>
      <c r="AT73" s="488"/>
      <c r="AU73" s="488"/>
      <c r="AV73" s="489"/>
      <c r="AW73" s="489"/>
      <c r="AX73" s="488"/>
      <c r="AY73" s="488"/>
      <c r="AZ73" s="488"/>
      <c r="BA73" s="489"/>
      <c r="BB73" s="489"/>
      <c r="BC73" s="489"/>
      <c r="BD73" s="489"/>
      <c r="BE73" s="489"/>
      <c r="BF73" s="489"/>
      <c r="BG73" s="489"/>
      <c r="BH73" s="489"/>
      <c r="BI73" s="489"/>
      <c r="BJ73" s="489"/>
      <c r="BK73" s="489"/>
      <c r="BL73" s="489"/>
      <c r="BM73" s="489"/>
      <c r="BN73" s="489"/>
      <c r="BO73" s="489"/>
      <c r="BP73" s="489"/>
      <c r="BQ73" s="489"/>
      <c r="BR73" s="489"/>
      <c r="BS73" s="489"/>
      <c r="BT73" s="489"/>
      <c r="BU73" s="489"/>
      <c r="BV73" s="489"/>
      <c r="BW73" s="489"/>
      <c r="BX73" s="489"/>
      <c r="BY73" s="489"/>
      <c r="BZ73" s="489"/>
      <c r="CA73" s="489"/>
      <c r="CB73" s="489"/>
      <c r="CC73" s="489"/>
      <c r="CD73" s="489"/>
      <c r="CE73" s="489"/>
      <c r="CF73" s="489"/>
      <c r="CG73" s="489"/>
      <c r="CH73" s="489"/>
      <c r="CI73" s="489"/>
      <c r="CJ73" s="489"/>
      <c r="CK73" s="489"/>
      <c r="CL73" s="489"/>
      <c r="CM73" s="489"/>
      <c r="CN73" s="489"/>
      <c r="CO73" s="489"/>
      <c r="CP73" s="550"/>
      <c r="CQ73" s="552"/>
      <c r="CR73" s="562"/>
      <c r="CS73" s="562"/>
      <c r="CT73" s="562"/>
      <c r="CU73" s="562"/>
      <c r="CV73" s="562"/>
      <c r="CW73" s="562"/>
      <c r="CX73" s="488"/>
      <c r="CY73" s="488"/>
      <c r="CZ73" s="488"/>
      <c r="DA73" s="488"/>
      <c r="DB73" s="488"/>
      <c r="DC73" s="488"/>
      <c r="DD73" s="488"/>
      <c r="DE73" s="488"/>
      <c r="DF73" s="488"/>
      <c r="DG73" s="488"/>
      <c r="DH73" s="488"/>
      <c r="DI73" s="488"/>
      <c r="DJ73" s="489"/>
      <c r="DK73" s="489"/>
      <c r="DL73" s="489"/>
      <c r="DM73" s="489"/>
      <c r="DN73" s="489"/>
      <c r="DO73" s="550"/>
    </row>
    <row r="74" spans="1:119" s="551" customFormat="1">
      <c r="A74" s="552" t="s">
        <v>225</v>
      </c>
      <c r="B74" s="488"/>
      <c r="C74" s="488"/>
      <c r="D74" s="488"/>
      <c r="E74" s="488"/>
      <c r="F74" s="488"/>
      <c r="G74" s="488"/>
      <c r="H74" s="488"/>
      <c r="I74" s="488"/>
      <c r="J74" s="488"/>
      <c r="K74" s="488"/>
      <c r="L74" s="488"/>
      <c r="M74" s="488"/>
      <c r="N74" s="488"/>
      <c r="O74" s="488"/>
      <c r="P74" s="488"/>
      <c r="Q74" s="488"/>
      <c r="R74" s="488"/>
      <c r="S74" s="488"/>
      <c r="T74" s="488"/>
      <c r="U74" s="488"/>
      <c r="V74" s="488"/>
      <c r="W74" s="488"/>
      <c r="X74" s="488"/>
      <c r="Y74" s="488"/>
      <c r="Z74" s="488"/>
      <c r="AA74" s="488"/>
      <c r="AB74" s="488"/>
      <c r="AC74" s="488"/>
      <c r="AD74" s="488"/>
      <c r="AE74" s="488"/>
      <c r="AF74" s="488"/>
      <c r="AG74" s="488"/>
      <c r="AH74" s="488"/>
      <c r="AI74" s="488"/>
      <c r="AJ74" s="488"/>
      <c r="AK74" s="488"/>
      <c r="AL74" s="488"/>
      <c r="AM74" s="488"/>
      <c r="AN74" s="488"/>
      <c r="AO74" s="488"/>
      <c r="AP74" s="489"/>
      <c r="AQ74" s="489"/>
      <c r="AR74" s="489"/>
      <c r="AS74" s="489"/>
      <c r="AT74" s="488"/>
      <c r="AU74" s="488"/>
      <c r="AV74" s="489"/>
      <c r="AW74" s="489"/>
      <c r="AX74" s="488"/>
      <c r="AY74" s="573"/>
      <c r="AZ74" s="573"/>
      <c r="BA74" s="573"/>
      <c r="BB74" s="573"/>
      <c r="BC74" s="573"/>
      <c r="BD74" s="489"/>
      <c r="BE74" s="489"/>
      <c r="BF74" s="489"/>
      <c r="BG74" s="489"/>
      <c r="BH74" s="489"/>
      <c r="BI74" s="489"/>
      <c r="BJ74" s="489"/>
      <c r="BK74" s="489"/>
      <c r="BL74" s="489"/>
      <c r="BM74" s="489"/>
      <c r="BN74" s="489"/>
      <c r="BO74" s="489"/>
      <c r="BP74" s="489"/>
      <c r="BQ74" s="489"/>
      <c r="BR74" s="489"/>
      <c r="BS74" s="489"/>
      <c r="BT74" s="489"/>
      <c r="BU74" s="489"/>
      <c r="BV74" s="489"/>
      <c r="BW74" s="489"/>
      <c r="BX74" s="489"/>
      <c r="BY74" s="489"/>
      <c r="BZ74" s="489"/>
      <c r="CA74" s="489"/>
      <c r="CB74" s="489"/>
      <c r="CC74" s="489"/>
      <c r="CD74" s="489"/>
      <c r="CE74" s="489"/>
      <c r="CF74" s="489"/>
      <c r="CG74" s="489"/>
      <c r="CH74" s="489"/>
      <c r="CI74" s="489"/>
      <c r="CJ74" s="489"/>
      <c r="CK74" s="489"/>
      <c r="CL74" s="489"/>
      <c r="CM74" s="489"/>
      <c r="CN74" s="489"/>
      <c r="CO74" s="489"/>
      <c r="CP74" s="550"/>
      <c r="CQ74" s="552"/>
      <c r="CR74" s="562"/>
      <c r="CS74" s="562"/>
      <c r="CT74" s="562"/>
      <c r="CU74" s="562"/>
      <c r="CV74" s="562"/>
      <c r="CW74" s="562"/>
      <c r="CX74" s="488"/>
      <c r="CY74" s="488" t="e">
        <f t="shared" ref="CY74:DK74" si="123">CY72/CX72-1</f>
        <v>#DIV/0!</v>
      </c>
      <c r="CZ74" s="488" t="e">
        <f t="shared" si="123"/>
        <v>#DIV/0!</v>
      </c>
      <c r="DA74" s="488" t="e">
        <f t="shared" si="123"/>
        <v>#DIV/0!</v>
      </c>
      <c r="DB74" s="488">
        <f t="shared" si="123"/>
        <v>-0.5</v>
      </c>
      <c r="DC74" s="488">
        <f t="shared" si="123"/>
        <v>-1</v>
      </c>
      <c r="DD74" s="488" t="e">
        <f t="shared" si="123"/>
        <v>#DIV/0!</v>
      </c>
      <c r="DE74" s="488">
        <f t="shared" si="123"/>
        <v>3.5806249999999995</v>
      </c>
      <c r="DF74" s="488">
        <f t="shared" si="123"/>
        <v>-1</v>
      </c>
      <c r="DG74" s="488" t="e">
        <f t="shared" si="123"/>
        <v>#DIV/0!</v>
      </c>
      <c r="DH74" s="488" t="e">
        <f t="shared" si="123"/>
        <v>#DIV/0!</v>
      </c>
      <c r="DI74" s="488" t="e">
        <f t="shared" si="123"/>
        <v>#DIV/0!</v>
      </c>
      <c r="DJ74" s="489" t="e">
        <f t="shared" si="123"/>
        <v>#DIV/0!</v>
      </c>
      <c r="DK74" s="489" t="e">
        <f t="shared" si="123"/>
        <v>#DIV/0!</v>
      </c>
      <c r="DL74" s="489" t="e">
        <f>DL72/DK72-1</f>
        <v>#DIV/0!</v>
      </c>
      <c r="DM74" s="489" t="e">
        <f>DM72/DL72-1</f>
        <v>#DIV/0!</v>
      </c>
      <c r="DN74" s="489" t="e">
        <f>DN72/DM72-1</f>
        <v>#DIV/0!</v>
      </c>
      <c r="DO74" s="550"/>
    </row>
    <row r="75" spans="1:119" s="551" customFormat="1">
      <c r="A75" s="92"/>
      <c r="B75" s="488"/>
      <c r="C75" s="488"/>
      <c r="D75" s="488"/>
      <c r="E75" s="488"/>
      <c r="F75" s="488"/>
      <c r="G75" s="488"/>
      <c r="H75" s="488"/>
      <c r="I75" s="488"/>
      <c r="J75" s="488"/>
      <c r="K75" s="488"/>
      <c r="L75" s="488"/>
      <c r="M75" s="488"/>
      <c r="N75" s="488"/>
      <c r="O75" s="488"/>
      <c r="P75" s="488"/>
      <c r="Q75" s="488"/>
      <c r="R75" s="488"/>
      <c r="S75" s="488"/>
      <c r="T75" s="488"/>
      <c r="U75" s="488"/>
      <c r="V75" s="488"/>
      <c r="W75" s="488"/>
      <c r="X75" s="488"/>
      <c r="Y75" s="488"/>
      <c r="Z75" s="488"/>
      <c r="AA75" s="488"/>
      <c r="AB75" s="488"/>
      <c r="AC75" s="488"/>
      <c r="AD75" s="488"/>
      <c r="AE75" s="488"/>
      <c r="AF75" s="488"/>
      <c r="AG75" s="488"/>
      <c r="AH75" s="488"/>
      <c r="AI75" s="488"/>
      <c r="AJ75" s="488"/>
      <c r="AK75" s="488"/>
      <c r="AL75" s="488"/>
      <c r="AM75" s="488"/>
      <c r="AN75" s="488"/>
      <c r="AO75" s="488"/>
      <c r="AP75" s="499"/>
      <c r="AQ75" s="488"/>
      <c r="AR75" s="488"/>
      <c r="AS75" s="488"/>
      <c r="AT75" s="488"/>
      <c r="AU75" s="488"/>
      <c r="AV75" s="488"/>
      <c r="AW75" s="488"/>
      <c r="AX75" s="488"/>
      <c r="AY75" s="488"/>
      <c r="AZ75" s="488"/>
      <c r="BA75" s="488"/>
      <c r="BB75" s="488"/>
      <c r="BC75" s="488"/>
      <c r="BD75" s="488"/>
      <c r="BE75" s="488"/>
      <c r="BF75" s="488"/>
      <c r="BG75" s="488"/>
      <c r="BH75" s="488"/>
      <c r="BI75" s="488"/>
      <c r="BJ75" s="488"/>
      <c r="BK75" s="488"/>
      <c r="BL75" s="488"/>
      <c r="BM75" s="488"/>
      <c r="BN75" s="488"/>
      <c r="BO75" s="488"/>
      <c r="BP75" s="488"/>
      <c r="BQ75" s="488"/>
      <c r="BR75" s="488"/>
      <c r="BS75" s="488"/>
      <c r="BT75" s="488"/>
      <c r="BU75" s="488"/>
      <c r="BV75" s="488"/>
      <c r="BW75" s="488"/>
      <c r="BX75" s="488"/>
      <c r="BY75" s="488"/>
      <c r="BZ75" s="488"/>
      <c r="CA75" s="488"/>
      <c r="CB75" s="488"/>
      <c r="CC75" s="488"/>
      <c r="CD75" s="488"/>
      <c r="CE75" s="488"/>
      <c r="CF75" s="488"/>
      <c r="CG75" s="488"/>
      <c r="CH75" s="488"/>
      <c r="CI75" s="488"/>
      <c r="CJ75" s="488"/>
      <c r="CK75" s="488"/>
      <c r="CL75" s="488"/>
      <c r="CM75" s="488"/>
      <c r="CN75" s="488"/>
      <c r="CO75" s="488"/>
      <c r="CP75" s="550"/>
      <c r="CQ75" s="552"/>
      <c r="CR75" s="562"/>
      <c r="CS75" s="562"/>
      <c r="CT75" s="562"/>
      <c r="CU75" s="562"/>
      <c r="CV75" s="562"/>
      <c r="CW75" s="562"/>
      <c r="CX75" s="563"/>
      <c r="CY75" s="563"/>
      <c r="CZ75" s="563"/>
      <c r="DA75" s="512"/>
      <c r="DB75" s="512"/>
      <c r="DC75" s="512"/>
      <c r="DD75" s="512"/>
      <c r="DE75" s="512"/>
      <c r="DF75" s="512"/>
      <c r="DG75" s="512"/>
      <c r="DH75" s="512"/>
      <c r="DI75" s="512"/>
      <c r="DJ75" s="574"/>
      <c r="DK75" s="574"/>
      <c r="DL75" s="574"/>
      <c r="DM75" s="574"/>
      <c r="DN75" s="574"/>
      <c r="DO75" s="550"/>
    </row>
    <row r="76" spans="1:119" s="545" customFormat="1" ht="15.75">
      <c r="A76" s="543" t="s">
        <v>608</v>
      </c>
      <c r="B76" s="477"/>
      <c r="C76" s="477"/>
      <c r="D76" s="477"/>
      <c r="E76" s="477"/>
      <c r="F76" s="477"/>
      <c r="G76" s="477"/>
      <c r="H76" s="477"/>
      <c r="I76" s="477"/>
      <c r="J76" s="477"/>
      <c r="K76" s="477"/>
      <c r="L76" s="477"/>
      <c r="M76" s="477"/>
      <c r="N76" s="477"/>
      <c r="O76" s="477"/>
      <c r="P76" s="477"/>
      <c r="Q76" s="477"/>
      <c r="R76" s="477"/>
      <c r="S76" s="477"/>
      <c r="T76" s="477"/>
      <c r="U76" s="477"/>
      <c r="V76" s="477"/>
      <c r="W76" s="477"/>
      <c r="X76" s="477"/>
      <c r="Y76" s="477"/>
      <c r="Z76" s="477"/>
      <c r="AA76" s="477"/>
      <c r="AB76" s="477"/>
      <c r="AC76" s="477"/>
      <c r="AD76" s="477"/>
      <c r="AE76" s="477"/>
      <c r="AF76" s="477"/>
      <c r="AG76" s="477"/>
      <c r="AH76" s="477"/>
      <c r="AI76" s="477"/>
      <c r="AJ76" s="477"/>
      <c r="AK76" s="477"/>
      <c r="AL76" s="575"/>
      <c r="AM76" s="575"/>
      <c r="AN76" s="477"/>
      <c r="AO76" s="477"/>
      <c r="AP76" s="571"/>
      <c r="AQ76" s="571"/>
      <c r="AR76" s="571"/>
      <c r="AS76" s="571"/>
      <c r="AT76" s="571"/>
      <c r="AU76" s="571"/>
      <c r="AV76" s="571"/>
      <c r="AW76" s="571"/>
      <c r="AX76" s="477"/>
      <c r="AY76" s="477"/>
      <c r="AZ76" s="477"/>
      <c r="BA76" s="477"/>
      <c r="BB76" s="544"/>
      <c r="BC76" s="544"/>
      <c r="BD76" s="544"/>
      <c r="BE76" s="544"/>
      <c r="BF76" s="544"/>
      <c r="BG76" s="544"/>
      <c r="BH76" s="544"/>
      <c r="BI76" s="544"/>
      <c r="BJ76" s="544"/>
      <c r="BK76" s="544"/>
      <c r="BL76" s="544"/>
      <c r="BM76" s="544"/>
      <c r="BN76" s="544"/>
      <c r="BO76" s="544"/>
      <c r="BP76" s="544"/>
      <c r="BQ76" s="544"/>
      <c r="BR76" s="544"/>
      <c r="BS76" s="544"/>
      <c r="BT76" s="544"/>
      <c r="BU76" s="544"/>
      <c r="BV76" s="544"/>
      <c r="BW76" s="544"/>
      <c r="BX76" s="544"/>
      <c r="BY76" s="544"/>
      <c r="BZ76" s="544"/>
      <c r="CA76" s="544"/>
      <c r="CB76" s="544"/>
      <c r="CC76" s="544"/>
      <c r="CD76" s="544"/>
      <c r="CE76" s="544"/>
      <c r="CF76" s="544"/>
      <c r="CG76" s="544"/>
      <c r="CH76" s="544"/>
      <c r="CI76" s="544"/>
      <c r="CJ76" s="544"/>
      <c r="CK76" s="544"/>
      <c r="CL76" s="544"/>
      <c r="CM76" s="544"/>
      <c r="CN76" s="544"/>
      <c r="CO76" s="544"/>
      <c r="CP76" s="479"/>
      <c r="CQ76" s="479"/>
      <c r="CR76" s="477"/>
      <c r="CS76" s="477"/>
      <c r="CT76" s="477"/>
      <c r="CU76" s="477"/>
      <c r="CV76" s="477"/>
      <c r="CW76" s="477"/>
      <c r="CX76" s="477"/>
      <c r="CY76" s="477"/>
      <c r="CZ76" s="477"/>
      <c r="DA76" s="477"/>
      <c r="DB76" s="477"/>
      <c r="DC76" s="477"/>
      <c r="DD76" s="477"/>
      <c r="DE76" s="576"/>
      <c r="DF76" s="576"/>
      <c r="DG76" s="576"/>
      <c r="DH76" s="576"/>
      <c r="DI76" s="576"/>
      <c r="DJ76" s="477"/>
      <c r="DK76" s="477"/>
      <c r="DL76" s="477"/>
      <c r="DM76" s="477"/>
      <c r="DN76" s="477"/>
      <c r="DO76" s="479"/>
    </row>
    <row r="77" spans="1:119" s="485" customFormat="1">
      <c r="A77" s="555" t="s">
        <v>609</v>
      </c>
      <c r="AI77" s="485">
        <f>5500*0.12</f>
        <v>660</v>
      </c>
      <c r="AJ77" s="485">
        <f>AI77*3</f>
        <v>1980</v>
      </c>
      <c r="AK77" s="485">
        <f>AJ77*1.1</f>
        <v>2178</v>
      </c>
      <c r="AL77" s="485">
        <f>AK77*1.6</f>
        <v>3484.8</v>
      </c>
      <c r="AM77" s="485">
        <f>AL77*1.1</f>
        <v>3833.2800000000007</v>
      </c>
      <c r="AN77" s="485">
        <f>AM77*1.65</f>
        <v>6324.9120000000012</v>
      </c>
      <c r="AO77" s="485">
        <f>AN77*1.11</f>
        <v>7020.652320000002</v>
      </c>
      <c r="AP77" s="485">
        <f>AO77*0.9</f>
        <v>6318.587088000002</v>
      </c>
      <c r="AQ77" s="485">
        <f>AP77*1.087</f>
        <v>6868.3041646560023</v>
      </c>
      <c r="AR77" s="485">
        <f>AQ77*(1+AR78)</f>
        <v>5151.2281234920019</v>
      </c>
      <c r="AS77" s="485">
        <f t="shared" ref="AS77:CO77" si="124">AR77*(1+AS78)</f>
        <v>772.68421852380038</v>
      </c>
      <c r="AT77" s="485">
        <f t="shared" si="124"/>
        <v>656.78158574523036</v>
      </c>
      <c r="AU77" s="485">
        <f>AT77*(1+AU78)</f>
        <v>6830.5284917503959</v>
      </c>
      <c r="AV77" s="485">
        <f>AU77*(1+AV78)</f>
        <v>6830.5284917503959</v>
      </c>
      <c r="AW77" s="485">
        <f t="shared" si="124"/>
        <v>2049.158547525119</v>
      </c>
      <c r="AX77" s="485">
        <f t="shared" si="124"/>
        <v>3688.4853855452143</v>
      </c>
      <c r="AY77" s="485">
        <f t="shared" si="124"/>
        <v>5532.7280783178212</v>
      </c>
      <c r="AZ77" s="485">
        <f t="shared" si="124"/>
        <v>6915.9100978972765</v>
      </c>
      <c r="BA77" s="485">
        <f t="shared" si="124"/>
        <v>3457.9550489486383</v>
      </c>
      <c r="BB77" s="485">
        <f t="shared" si="124"/>
        <v>4149.5460587383659</v>
      </c>
      <c r="BC77" s="485">
        <f t="shared" si="124"/>
        <v>6058.3372457580144</v>
      </c>
      <c r="BD77" s="485">
        <f t="shared" si="124"/>
        <v>7875.8384194854189</v>
      </c>
      <c r="BE77" s="485">
        <f t="shared" si="124"/>
        <v>6694.4626565626058</v>
      </c>
      <c r="BF77" s="485">
        <f t="shared" si="124"/>
        <v>8769.7460800970148</v>
      </c>
      <c r="BG77" s="485">
        <f t="shared" si="124"/>
        <v>7322.7379768810069</v>
      </c>
      <c r="BH77" s="485">
        <f t="shared" si="124"/>
        <v>6480.6231095396915</v>
      </c>
      <c r="BI77" s="485">
        <f t="shared" si="124"/>
        <v>5832.5607985857223</v>
      </c>
      <c r="BJ77" s="485">
        <f t="shared" si="124"/>
        <v>7290.7009982321524</v>
      </c>
      <c r="BK77" s="485">
        <f t="shared" si="124"/>
        <v>6926.1659483205449</v>
      </c>
      <c r="BL77" s="485">
        <f t="shared" si="124"/>
        <v>6579.857650904517</v>
      </c>
      <c r="BM77" s="485">
        <f t="shared" si="124"/>
        <v>5592.8790032688394</v>
      </c>
      <c r="BN77" s="485">
        <f t="shared" si="124"/>
        <v>3915.0153022881873</v>
      </c>
      <c r="BO77" s="485">
        <f t="shared" si="124"/>
        <v>3327.7630069449592</v>
      </c>
      <c r="BP77" s="485">
        <f t="shared" si="124"/>
        <v>3494.1511572922072</v>
      </c>
      <c r="BQ77" s="485">
        <f t="shared" si="124"/>
        <v>3319.4435994275968</v>
      </c>
      <c r="BR77" s="485">
        <f t="shared" si="124"/>
        <v>3153.4714194562171</v>
      </c>
      <c r="BS77" s="485">
        <f t="shared" si="124"/>
        <v>3311.144990429028</v>
      </c>
      <c r="BT77" s="485">
        <f t="shared" si="124"/>
        <v>3642.2594894719309</v>
      </c>
      <c r="BU77" s="485">
        <f t="shared" si="124"/>
        <v>3460.1465149983342</v>
      </c>
      <c r="BV77" s="486">
        <f t="shared" si="124"/>
        <v>3114.1318634985009</v>
      </c>
      <c r="BW77" s="486">
        <f t="shared" si="124"/>
        <v>3487.8276871183216</v>
      </c>
      <c r="BX77" s="486">
        <f t="shared" si="124"/>
        <v>4011.0018401860693</v>
      </c>
      <c r="BY77" s="486">
        <f t="shared" si="124"/>
        <v>3609.9016561674625</v>
      </c>
      <c r="BZ77" s="486">
        <f t="shared" si="124"/>
        <v>3248.9114905507163</v>
      </c>
      <c r="CA77" s="486">
        <f t="shared" si="124"/>
        <v>3638.7808694168025</v>
      </c>
      <c r="CB77" s="486">
        <f t="shared" si="124"/>
        <v>4184.5979998293224</v>
      </c>
      <c r="CC77" s="486">
        <f t="shared" si="124"/>
        <v>3766.1381998463903</v>
      </c>
      <c r="CD77" s="486">
        <f t="shared" si="124"/>
        <v>3201.2174698694316</v>
      </c>
      <c r="CE77" s="486">
        <f t="shared" si="124"/>
        <v>3585.3635662537636</v>
      </c>
      <c r="CF77" s="486">
        <f t="shared" si="124"/>
        <v>4123.1681011918281</v>
      </c>
      <c r="CG77" s="486">
        <f t="shared" si="124"/>
        <v>3710.8512910726454</v>
      </c>
      <c r="CH77" s="486">
        <f t="shared" si="124"/>
        <v>3154.2235974117484</v>
      </c>
      <c r="CI77" s="486">
        <f t="shared" si="124"/>
        <v>3532.7304291011587</v>
      </c>
      <c r="CJ77" s="486">
        <f t="shared" si="124"/>
        <v>4062.6399934663323</v>
      </c>
      <c r="CK77" s="486">
        <f t="shared" si="124"/>
        <v>3656.375994119699</v>
      </c>
      <c r="CL77" s="486">
        <f t="shared" si="124"/>
        <v>3107.9195950017443</v>
      </c>
      <c r="CM77" s="486">
        <f t="shared" si="124"/>
        <v>3480.8699464019537</v>
      </c>
      <c r="CN77" s="486">
        <f t="shared" si="124"/>
        <v>4003.0004383622463</v>
      </c>
      <c r="CO77" s="486">
        <f t="shared" si="124"/>
        <v>3602.7003945260217</v>
      </c>
      <c r="CP77" s="548"/>
      <c r="CQ77" s="557"/>
      <c r="CR77" s="556"/>
      <c r="CS77" s="556"/>
      <c r="CT77" s="556"/>
      <c r="CU77" s="556"/>
      <c r="CV77" s="556"/>
      <c r="CW77" s="556"/>
      <c r="CX77" s="556"/>
      <c r="CZ77" s="485">
        <f>SUM(AI77:AK77)</f>
        <v>4818</v>
      </c>
      <c r="DA77" s="485">
        <f>SUM(AL77:AO77)</f>
        <v>20663.644320000003</v>
      </c>
      <c r="DB77" s="485">
        <f>SUM(AP77:AS77)</f>
        <v>19110.803594671808</v>
      </c>
      <c r="DC77" s="485">
        <f>SUM(AT77:AW77)</f>
        <v>16366.997116771141</v>
      </c>
      <c r="DD77" s="485">
        <f>AX77+AY77+AZ77+BA77</f>
        <v>19595.078610708952</v>
      </c>
      <c r="DE77" s="485">
        <f>BB77+BC77+BD77+BE77</f>
        <v>24778.184380544404</v>
      </c>
      <c r="DF77" s="485">
        <f>+SUM(BF77:BI77)</f>
        <v>28405.667965103436</v>
      </c>
      <c r="DG77" s="485">
        <f>+SUM(BJ77:BM77)</f>
        <v>26389.603600726055</v>
      </c>
      <c r="DH77" s="485">
        <f>+SUM(BN77:BQ77)</f>
        <v>14056.373065952952</v>
      </c>
      <c r="DI77" s="485">
        <f>+SUM(BR77:BU77)</f>
        <v>13567.02241435551</v>
      </c>
      <c r="DJ77" s="486">
        <f>SUM(BV77:BY77)</f>
        <v>14222.863046970353</v>
      </c>
      <c r="DK77" s="486">
        <f>SUM(BZ77:CC77)</f>
        <v>14838.428559643231</v>
      </c>
      <c r="DL77" s="486">
        <f>SUM(CD77:CG77)</f>
        <v>14620.600428387668</v>
      </c>
      <c r="DM77" s="486">
        <f>SUM(CH77:CK77)</f>
        <v>14405.970014098937</v>
      </c>
      <c r="DN77" s="486">
        <f>SUM(CL77:CO77)</f>
        <v>14194.490374291967</v>
      </c>
      <c r="DO77" s="548"/>
    </row>
    <row r="78" spans="1:119" s="551" customFormat="1">
      <c r="A78" s="92" t="s">
        <v>223</v>
      </c>
      <c r="B78" s="488"/>
      <c r="C78" s="488"/>
      <c r="D78" s="488"/>
      <c r="E78" s="488"/>
      <c r="F78" s="488"/>
      <c r="G78" s="488"/>
      <c r="H78" s="488"/>
      <c r="I78" s="488"/>
      <c r="J78" s="488"/>
      <c r="K78" s="488"/>
      <c r="L78" s="488"/>
      <c r="M78" s="488"/>
      <c r="N78" s="488"/>
      <c r="O78" s="488"/>
      <c r="P78" s="488"/>
      <c r="Q78" s="488"/>
      <c r="R78" s="488"/>
      <c r="S78" s="488"/>
      <c r="T78" s="488"/>
      <c r="U78" s="488"/>
      <c r="V78" s="488"/>
      <c r="W78" s="488"/>
      <c r="X78" s="488"/>
      <c r="Y78" s="488"/>
      <c r="Z78" s="488"/>
      <c r="AA78" s="488"/>
      <c r="AB78" s="488"/>
      <c r="AC78" s="488"/>
      <c r="AD78" s="488"/>
      <c r="AE78" s="488"/>
      <c r="AF78" s="488"/>
      <c r="AG78" s="488"/>
      <c r="AH78" s="488"/>
      <c r="AI78" s="488"/>
      <c r="AJ78" s="488">
        <f t="shared" ref="AJ78:AQ78" si="125">AJ77/AI77-1</f>
        <v>2</v>
      </c>
      <c r="AK78" s="488">
        <f t="shared" si="125"/>
        <v>0.10000000000000009</v>
      </c>
      <c r="AL78" s="488">
        <f t="shared" si="125"/>
        <v>0.60000000000000009</v>
      </c>
      <c r="AM78" s="488">
        <f t="shared" si="125"/>
        <v>0.10000000000000009</v>
      </c>
      <c r="AN78" s="488">
        <f t="shared" si="125"/>
        <v>0.65000000000000013</v>
      </c>
      <c r="AO78" s="488">
        <f t="shared" si="125"/>
        <v>0.1100000000000001</v>
      </c>
      <c r="AP78" s="488">
        <f t="shared" si="125"/>
        <v>-9.9999999999999978E-2</v>
      </c>
      <c r="AQ78" s="488">
        <f t="shared" si="125"/>
        <v>8.6999999999999966E-2</v>
      </c>
      <c r="AR78" s="488">
        <v>-0.25</v>
      </c>
      <c r="AS78" s="488">
        <v>-0.85</v>
      </c>
      <c r="AT78" s="488">
        <v>-0.15</v>
      </c>
      <c r="AU78" s="488">
        <v>9.4</v>
      </c>
      <c r="AV78" s="488">
        <v>0</v>
      </c>
      <c r="AW78" s="488">
        <v>-0.7</v>
      </c>
      <c r="AX78" s="488">
        <v>0.8</v>
      </c>
      <c r="AY78" s="488">
        <v>0.5</v>
      </c>
      <c r="AZ78" s="488">
        <v>0.25</v>
      </c>
      <c r="BA78" s="488">
        <v>-0.5</v>
      </c>
      <c r="BB78" s="488">
        <v>0.2</v>
      </c>
      <c r="BC78" s="488">
        <v>0.46</v>
      </c>
      <c r="BD78" s="488">
        <v>0.3</v>
      </c>
      <c r="BE78" s="488">
        <v>-0.15</v>
      </c>
      <c r="BF78" s="488">
        <v>0.31</v>
      </c>
      <c r="BG78" s="488">
        <v>-0.16500000000000001</v>
      </c>
      <c r="BH78" s="488">
        <v>-0.115</v>
      </c>
      <c r="BI78" s="488">
        <v>-0.1</v>
      </c>
      <c r="BJ78" s="488">
        <v>0.25</v>
      </c>
      <c r="BK78" s="488">
        <v>-0.05</v>
      </c>
      <c r="BL78" s="488">
        <v>-0.05</v>
      </c>
      <c r="BM78" s="488">
        <v>-0.15</v>
      </c>
      <c r="BN78" s="488">
        <v>-0.3</v>
      </c>
      <c r="BO78" s="488">
        <v>-0.15</v>
      </c>
      <c r="BP78" s="488">
        <v>0.05</v>
      </c>
      <c r="BQ78" s="488">
        <v>-0.05</v>
      </c>
      <c r="BR78" s="488">
        <v>-0.05</v>
      </c>
      <c r="BS78" s="488">
        <v>0.05</v>
      </c>
      <c r="BT78" s="488">
        <v>0.1</v>
      </c>
      <c r="BU78" s="488">
        <v>-0.05</v>
      </c>
      <c r="BV78" s="489">
        <v>-0.1</v>
      </c>
      <c r="BW78" s="489">
        <v>0.12</v>
      </c>
      <c r="BX78" s="489">
        <v>0.15</v>
      </c>
      <c r="BY78" s="489">
        <v>-0.1</v>
      </c>
      <c r="BZ78" s="489">
        <v>-0.1</v>
      </c>
      <c r="CA78" s="489">
        <v>0.12</v>
      </c>
      <c r="CB78" s="489">
        <v>0.15</v>
      </c>
      <c r="CC78" s="489">
        <v>-0.1</v>
      </c>
      <c r="CD78" s="489">
        <v>-0.15</v>
      </c>
      <c r="CE78" s="489">
        <v>0.12</v>
      </c>
      <c r="CF78" s="489">
        <v>0.15</v>
      </c>
      <c r="CG78" s="489">
        <v>-0.1</v>
      </c>
      <c r="CH78" s="489">
        <v>-0.15</v>
      </c>
      <c r="CI78" s="489">
        <v>0.12</v>
      </c>
      <c r="CJ78" s="489">
        <v>0.15</v>
      </c>
      <c r="CK78" s="489">
        <v>-0.1</v>
      </c>
      <c r="CL78" s="489">
        <v>-0.15</v>
      </c>
      <c r="CM78" s="489">
        <v>0.12</v>
      </c>
      <c r="CN78" s="489">
        <v>0.15</v>
      </c>
      <c r="CO78" s="489">
        <v>-0.1</v>
      </c>
      <c r="CP78" s="550"/>
      <c r="CQ78" s="552"/>
      <c r="CR78" s="562"/>
      <c r="CS78" s="562"/>
      <c r="CT78" s="562"/>
      <c r="CU78" s="562"/>
      <c r="CV78" s="562"/>
      <c r="CW78" s="562"/>
      <c r="CX78" s="562"/>
      <c r="CY78" s="488"/>
      <c r="CZ78" s="493"/>
      <c r="DA78" s="493"/>
      <c r="DB78" s="493"/>
      <c r="DC78" s="493"/>
      <c r="DD78" s="493"/>
      <c r="DE78" s="493"/>
      <c r="DF78" s="493"/>
      <c r="DG78" s="493"/>
      <c r="DH78" s="493"/>
      <c r="DI78" s="493"/>
      <c r="DJ78" s="493"/>
      <c r="DK78" s="493"/>
      <c r="DL78" s="493"/>
      <c r="DM78" s="493"/>
      <c r="DN78" s="493"/>
      <c r="DO78" s="550"/>
    </row>
    <row r="79" spans="1:119" s="551" customFormat="1">
      <c r="A79" s="92" t="s">
        <v>225</v>
      </c>
      <c r="B79" s="488"/>
      <c r="C79" s="488"/>
      <c r="D79" s="488"/>
      <c r="E79" s="488"/>
      <c r="F79" s="488"/>
      <c r="G79" s="488"/>
      <c r="H79" s="488"/>
      <c r="I79" s="488"/>
      <c r="J79" s="488"/>
      <c r="K79" s="488"/>
      <c r="L79" s="488"/>
      <c r="M79" s="488"/>
      <c r="N79" s="488"/>
      <c r="O79" s="488"/>
      <c r="P79" s="488"/>
      <c r="Q79" s="488"/>
      <c r="R79" s="488"/>
      <c r="S79" s="488"/>
      <c r="T79" s="488"/>
      <c r="U79" s="488"/>
      <c r="V79" s="488"/>
      <c r="W79" s="488"/>
      <c r="X79" s="488"/>
      <c r="Y79" s="488"/>
      <c r="Z79" s="488"/>
      <c r="AA79" s="488"/>
      <c r="AB79" s="488"/>
      <c r="AC79" s="488"/>
      <c r="AD79" s="488"/>
      <c r="AE79" s="488"/>
      <c r="AF79" s="488"/>
      <c r="AG79" s="488"/>
      <c r="AH79" s="488"/>
      <c r="AI79" s="488"/>
      <c r="AJ79" s="488"/>
      <c r="AK79" s="488"/>
      <c r="AL79" s="488"/>
      <c r="AM79" s="488">
        <f t="shared" ref="AM79:CO79" si="126">AM77/AI77-1</f>
        <v>4.8080000000000007</v>
      </c>
      <c r="AN79" s="488">
        <f t="shared" si="126"/>
        <v>2.1944000000000008</v>
      </c>
      <c r="AO79" s="488">
        <f t="shared" si="126"/>
        <v>2.223440000000001</v>
      </c>
      <c r="AP79" s="488">
        <f t="shared" si="126"/>
        <v>0.81318500000000049</v>
      </c>
      <c r="AQ79" s="488">
        <f t="shared" si="126"/>
        <v>0.79175645000000028</v>
      </c>
      <c r="AR79" s="488">
        <f t="shared" si="126"/>
        <v>-0.18556524999999979</v>
      </c>
      <c r="AS79" s="488">
        <f t="shared" si="126"/>
        <v>-0.88994125000000002</v>
      </c>
      <c r="AT79" s="488">
        <f t="shared" si="126"/>
        <v>-0.89605562500000002</v>
      </c>
      <c r="AU79" s="488">
        <f t="shared" si="126"/>
        <v>-5.4999999999997273E-3</v>
      </c>
      <c r="AV79" s="488">
        <f t="shared" si="126"/>
        <v>0.32600000000000029</v>
      </c>
      <c r="AW79" s="488">
        <f t="shared" si="126"/>
        <v>1.6520000000000006</v>
      </c>
      <c r="AX79" s="488">
        <f t="shared" si="126"/>
        <v>4.6160000000000005</v>
      </c>
      <c r="AY79" s="488">
        <f t="shared" si="126"/>
        <v>-0.18999999999999995</v>
      </c>
      <c r="AZ79" s="488">
        <f t="shared" si="126"/>
        <v>1.2500000000000178E-2</v>
      </c>
      <c r="BA79" s="488">
        <f t="shared" si="126"/>
        <v>0.6875</v>
      </c>
      <c r="BB79" s="488">
        <f t="shared" si="126"/>
        <v>0.125</v>
      </c>
      <c r="BC79" s="488">
        <f t="shared" si="126"/>
        <v>9.4999999999999973E-2</v>
      </c>
      <c r="BD79" s="488">
        <f t="shared" si="126"/>
        <v>0.13880000000000003</v>
      </c>
      <c r="BE79" s="488">
        <f t="shared" si="126"/>
        <v>0.93596000000000013</v>
      </c>
      <c r="BF79" s="488">
        <f t="shared" si="126"/>
        <v>1.1134230000000005</v>
      </c>
      <c r="BG79" s="488">
        <f t="shared" si="126"/>
        <v>0.20870425000000004</v>
      </c>
      <c r="BH79" s="488">
        <f t="shared" si="126"/>
        <v>-0.17715133749999989</v>
      </c>
      <c r="BI79" s="488">
        <f t="shared" si="126"/>
        <v>-0.12874847499999986</v>
      </c>
      <c r="BJ79" s="488">
        <f t="shared" si="126"/>
        <v>-0.16865312500000007</v>
      </c>
      <c r="BK79" s="488">
        <f t="shared" si="126"/>
        <v>-5.4156250000000017E-2</v>
      </c>
      <c r="BL79" s="488">
        <f t="shared" si="126"/>
        <v>1.531249999999984E-2</v>
      </c>
      <c r="BM79" s="488">
        <f t="shared" si="126"/>
        <v>-4.1093750000000151E-2</v>
      </c>
      <c r="BN79" s="488">
        <f t="shared" si="126"/>
        <v>-0.46301250000000005</v>
      </c>
      <c r="BO79" s="488">
        <f t="shared" si="126"/>
        <v>-0.5195375000000001</v>
      </c>
      <c r="BP79" s="488">
        <f t="shared" si="126"/>
        <v>-0.46896250000000006</v>
      </c>
      <c r="BQ79" s="488">
        <f t="shared" si="126"/>
        <v>-0.4064875</v>
      </c>
      <c r="BR79" s="488">
        <f t="shared" si="126"/>
        <v>-0.19451874999999996</v>
      </c>
      <c r="BS79" s="488">
        <f t="shared" si="126"/>
        <v>-4.993749999999908E-3</v>
      </c>
      <c r="BT79" s="488">
        <f t="shared" si="126"/>
        <v>4.2387500000000022E-2</v>
      </c>
      <c r="BU79" s="488">
        <f t="shared" si="126"/>
        <v>4.2387500000000022E-2</v>
      </c>
      <c r="BV79" s="489">
        <f t="shared" si="126"/>
        <v>-1.2474999999999903E-2</v>
      </c>
      <c r="BW79" s="489">
        <f t="shared" si="126"/>
        <v>5.3360000000000296E-2</v>
      </c>
      <c r="BX79" s="489">
        <f t="shared" si="126"/>
        <v>0.10124</v>
      </c>
      <c r="BY79" s="489">
        <f t="shared" si="126"/>
        <v>4.3280000000000207E-2</v>
      </c>
      <c r="BZ79" s="489">
        <f t="shared" si="126"/>
        <v>4.3279999999999985E-2</v>
      </c>
      <c r="CA79" s="489">
        <f t="shared" si="126"/>
        <v>4.3279999999999985E-2</v>
      </c>
      <c r="CB79" s="489">
        <f t="shared" si="126"/>
        <v>4.3279999999999985E-2</v>
      </c>
      <c r="CC79" s="489">
        <f t="shared" si="126"/>
        <v>4.3279999999999985E-2</v>
      </c>
      <c r="CD79" s="489">
        <f t="shared" si="126"/>
        <v>-1.4680000000000026E-2</v>
      </c>
      <c r="CE79" s="489">
        <f t="shared" si="126"/>
        <v>-1.4680000000000026E-2</v>
      </c>
      <c r="CF79" s="489">
        <f t="shared" si="126"/>
        <v>-1.4679999999999915E-2</v>
      </c>
      <c r="CG79" s="489">
        <f t="shared" si="126"/>
        <v>-1.4680000000000026E-2</v>
      </c>
      <c r="CH79" s="489">
        <f t="shared" si="126"/>
        <v>-1.4680000000000026E-2</v>
      </c>
      <c r="CI79" s="489">
        <f t="shared" si="126"/>
        <v>-1.4679999999999915E-2</v>
      </c>
      <c r="CJ79" s="489">
        <f t="shared" si="126"/>
        <v>-1.4679999999999915E-2</v>
      </c>
      <c r="CK79" s="489">
        <f t="shared" si="126"/>
        <v>-1.4680000000000026E-2</v>
      </c>
      <c r="CL79" s="489">
        <f t="shared" si="126"/>
        <v>-1.4679999999999915E-2</v>
      </c>
      <c r="CM79" s="489">
        <f t="shared" si="126"/>
        <v>-1.4680000000000026E-2</v>
      </c>
      <c r="CN79" s="489">
        <f t="shared" si="126"/>
        <v>-1.4680000000000026E-2</v>
      </c>
      <c r="CO79" s="489">
        <f t="shared" si="126"/>
        <v>-1.4680000000000026E-2</v>
      </c>
      <c r="CP79" s="550"/>
      <c r="CQ79" s="552"/>
      <c r="CR79" s="562"/>
      <c r="CS79" s="562"/>
      <c r="CT79" s="562"/>
      <c r="CU79" s="562"/>
      <c r="CV79" s="562"/>
      <c r="CW79" s="562"/>
      <c r="CX79" s="562"/>
      <c r="CY79" s="488"/>
      <c r="CZ79" s="493"/>
      <c r="DA79" s="488">
        <f t="shared" ref="DA79:DK79" si="127">DA77/CZ77-1</f>
        <v>3.2888427397260278</v>
      </c>
      <c r="DB79" s="488">
        <f t="shared" si="127"/>
        <v>-7.5148444353797972E-2</v>
      </c>
      <c r="DC79" s="488">
        <f t="shared" si="127"/>
        <v>-0.1435735794315659</v>
      </c>
      <c r="DD79" s="488">
        <f t="shared" si="127"/>
        <v>0.19723113964687022</v>
      </c>
      <c r="DE79" s="488">
        <f t="shared" si="127"/>
        <v>0.26451058823529405</v>
      </c>
      <c r="DF79" s="488">
        <f t="shared" si="127"/>
        <v>0.14639828039246083</v>
      </c>
      <c r="DG79" s="488">
        <f t="shared" si="127"/>
        <v>-7.0974017117081289E-2</v>
      </c>
      <c r="DH79" s="488">
        <f t="shared" si="127"/>
        <v>-0.4673518678557862</v>
      </c>
      <c r="DI79" s="488">
        <f t="shared" si="127"/>
        <v>-3.4813436531699438E-2</v>
      </c>
      <c r="DJ79" s="489">
        <f t="shared" si="127"/>
        <v>4.834079377070144E-2</v>
      </c>
      <c r="DK79" s="489">
        <f t="shared" si="127"/>
        <v>4.3279999999999985E-2</v>
      </c>
      <c r="DL79" s="489">
        <f>DL77/DK77-1</f>
        <v>-1.4680000000000026E-2</v>
      </c>
      <c r="DM79" s="489">
        <f>DM77/DL77-1</f>
        <v>-1.4680000000000026E-2</v>
      </c>
      <c r="DN79" s="489">
        <f>DN77/DM77-1</f>
        <v>-1.4679999999999804E-2</v>
      </c>
      <c r="DO79" s="550"/>
    </row>
    <row r="80" spans="1:119" s="485" customFormat="1">
      <c r="A80" s="555" t="s">
        <v>492</v>
      </c>
      <c r="AI80" s="485">
        <v>45</v>
      </c>
      <c r="AJ80" s="485">
        <f>AI80</f>
        <v>45</v>
      </c>
      <c r="AK80" s="485">
        <f>AJ80</f>
        <v>45</v>
      </c>
      <c r="AL80" s="485">
        <f>AK80</f>
        <v>45</v>
      </c>
      <c r="AM80" s="485">
        <f>AL80*0.95</f>
        <v>42.75</v>
      </c>
      <c r="AN80" s="485">
        <f>AM80</f>
        <v>42.75</v>
      </c>
      <c r="AO80" s="485">
        <f>AN80</f>
        <v>42.75</v>
      </c>
      <c r="AP80" s="485">
        <f>AO80</f>
        <v>42.75</v>
      </c>
      <c r="AQ80" s="485">
        <f>AP80*0.95</f>
        <v>40.612499999999997</v>
      </c>
      <c r="AR80" s="485">
        <f>AQ80</f>
        <v>40.612499999999997</v>
      </c>
      <c r="AS80" s="485">
        <f>AR80</f>
        <v>40.612499999999997</v>
      </c>
      <c r="AT80" s="485">
        <f>AS80</f>
        <v>40.612499999999997</v>
      </c>
      <c r="AU80" s="485">
        <f>AT80</f>
        <v>40.612499999999997</v>
      </c>
      <c r="AV80" s="485">
        <f>AU80</f>
        <v>40.612499999999997</v>
      </c>
      <c r="AW80" s="485">
        <f t="shared" ref="AW80:CO80" si="128">+AV80*(1+AW81)</f>
        <v>40.612499999999997</v>
      </c>
      <c r="AX80" s="485">
        <f t="shared" si="128"/>
        <v>40.612499999999997</v>
      </c>
      <c r="AY80" s="485">
        <f t="shared" si="128"/>
        <v>40.612499999999997</v>
      </c>
      <c r="AZ80" s="485">
        <f t="shared" si="128"/>
        <v>40.612499999999997</v>
      </c>
      <c r="BA80" s="485">
        <f t="shared" si="128"/>
        <v>40.612499999999997</v>
      </c>
      <c r="BB80" s="485">
        <f t="shared" si="128"/>
        <v>40.612499999999997</v>
      </c>
      <c r="BC80" s="485">
        <f t="shared" si="128"/>
        <v>40.612499999999997</v>
      </c>
      <c r="BD80" s="485">
        <f t="shared" si="128"/>
        <v>40.612499999999997</v>
      </c>
      <c r="BE80" s="485">
        <f t="shared" si="128"/>
        <v>40.612499999999997</v>
      </c>
      <c r="BF80" s="485">
        <f t="shared" si="128"/>
        <v>40.612499999999997</v>
      </c>
      <c r="BG80" s="485">
        <f t="shared" si="128"/>
        <v>40.612499999999997</v>
      </c>
      <c r="BH80" s="485">
        <f t="shared" si="128"/>
        <v>40.612499999999997</v>
      </c>
      <c r="BI80" s="485">
        <f t="shared" si="128"/>
        <v>40.612499999999997</v>
      </c>
      <c r="BJ80" s="485">
        <f t="shared" si="128"/>
        <v>40.612499999999997</v>
      </c>
      <c r="BK80" s="485">
        <f t="shared" si="128"/>
        <v>40.612499999999997</v>
      </c>
      <c r="BL80" s="485">
        <f t="shared" si="128"/>
        <v>40.612499999999997</v>
      </c>
      <c r="BM80" s="485">
        <f t="shared" si="128"/>
        <v>40.612499999999997</v>
      </c>
      <c r="BN80" s="485">
        <f t="shared" si="128"/>
        <v>40.612499999999997</v>
      </c>
      <c r="BO80" s="485">
        <f t="shared" si="128"/>
        <v>40.612499999999997</v>
      </c>
      <c r="BP80" s="485">
        <f t="shared" si="128"/>
        <v>40.612499999999997</v>
      </c>
      <c r="BQ80" s="485">
        <f t="shared" si="128"/>
        <v>40.612499999999997</v>
      </c>
      <c r="BR80" s="485">
        <f t="shared" si="128"/>
        <v>40.612499999999997</v>
      </c>
      <c r="BS80" s="485">
        <f t="shared" si="128"/>
        <v>40.612499999999997</v>
      </c>
      <c r="BT80" s="485">
        <f t="shared" si="128"/>
        <v>40.612499999999997</v>
      </c>
      <c r="BU80" s="485">
        <f t="shared" si="128"/>
        <v>40.612499999999997</v>
      </c>
      <c r="BV80" s="486">
        <f t="shared" si="128"/>
        <v>40.612499999999997</v>
      </c>
      <c r="BW80" s="486">
        <f t="shared" si="128"/>
        <v>40.612499999999997</v>
      </c>
      <c r="BX80" s="486">
        <f t="shared" si="128"/>
        <v>40.612499999999997</v>
      </c>
      <c r="BY80" s="486">
        <f t="shared" si="128"/>
        <v>40.612499999999997</v>
      </c>
      <c r="BZ80" s="486">
        <f t="shared" si="128"/>
        <v>40.612499999999997</v>
      </c>
      <c r="CA80" s="486">
        <f t="shared" si="128"/>
        <v>40.612499999999997</v>
      </c>
      <c r="CB80" s="486">
        <f t="shared" si="128"/>
        <v>40.612499999999997</v>
      </c>
      <c r="CC80" s="486">
        <f t="shared" si="128"/>
        <v>40.612499999999997</v>
      </c>
      <c r="CD80" s="486">
        <f t="shared" si="128"/>
        <v>40.612499999999997</v>
      </c>
      <c r="CE80" s="486">
        <f t="shared" si="128"/>
        <v>40.612499999999997</v>
      </c>
      <c r="CF80" s="486">
        <f t="shared" si="128"/>
        <v>40.612499999999997</v>
      </c>
      <c r="CG80" s="486">
        <f t="shared" si="128"/>
        <v>40.612499999999997</v>
      </c>
      <c r="CH80" s="486">
        <f t="shared" si="128"/>
        <v>40.612499999999997</v>
      </c>
      <c r="CI80" s="486">
        <f t="shared" si="128"/>
        <v>40.612499999999997</v>
      </c>
      <c r="CJ80" s="486">
        <f t="shared" si="128"/>
        <v>40.612499999999997</v>
      </c>
      <c r="CK80" s="486">
        <f t="shared" si="128"/>
        <v>40.612499999999997</v>
      </c>
      <c r="CL80" s="486">
        <f t="shared" si="128"/>
        <v>40.612499999999997</v>
      </c>
      <c r="CM80" s="486">
        <f t="shared" si="128"/>
        <v>40.612499999999997</v>
      </c>
      <c r="CN80" s="486">
        <f t="shared" si="128"/>
        <v>40.612499999999997</v>
      </c>
      <c r="CO80" s="486">
        <f t="shared" si="128"/>
        <v>40.612499999999997</v>
      </c>
      <c r="CP80" s="486"/>
      <c r="CQ80" s="557"/>
      <c r="CR80" s="556"/>
      <c r="CS80" s="556"/>
      <c r="CT80" s="556"/>
      <c r="CU80" s="556"/>
      <c r="CV80" s="556"/>
      <c r="CW80" s="556"/>
      <c r="CX80" s="556"/>
      <c r="CZ80" s="485">
        <f t="shared" ref="CZ80:DN80" si="129">CZ83/CZ77*1000</f>
        <v>45</v>
      </c>
      <c r="DA80" s="485">
        <f t="shared" si="129"/>
        <v>43.129449039993929</v>
      </c>
      <c r="DB80" s="485">
        <f t="shared" si="129"/>
        <v>41.319219622421606</v>
      </c>
      <c r="DC80" s="485">
        <f t="shared" si="129"/>
        <v>40.612499999999997</v>
      </c>
      <c r="DD80" s="485">
        <f t="shared" si="129"/>
        <v>40.612500000000004</v>
      </c>
      <c r="DE80" s="485">
        <f t="shared" si="129"/>
        <v>40.612500000000004</v>
      </c>
      <c r="DF80" s="485">
        <f t="shared" si="129"/>
        <v>40.612500000000004</v>
      </c>
      <c r="DG80" s="485">
        <f t="shared" si="129"/>
        <v>40.612499999999997</v>
      </c>
      <c r="DH80" s="485">
        <f t="shared" si="129"/>
        <v>40.612499999999997</v>
      </c>
      <c r="DI80" s="485">
        <f t="shared" si="129"/>
        <v>40.612499999999997</v>
      </c>
      <c r="DJ80" s="486">
        <f t="shared" si="129"/>
        <v>40.612500000000004</v>
      </c>
      <c r="DK80" s="486">
        <f t="shared" si="129"/>
        <v>40.612500000000004</v>
      </c>
      <c r="DL80" s="486">
        <f t="shared" si="129"/>
        <v>40.612499999999997</v>
      </c>
      <c r="DM80" s="486">
        <f t="shared" si="129"/>
        <v>40.612500000000011</v>
      </c>
      <c r="DN80" s="486">
        <f t="shared" si="129"/>
        <v>40.61249999999999</v>
      </c>
      <c r="DO80" s="548"/>
    </row>
    <row r="81" spans="1:119" s="551" customFormat="1">
      <c r="A81" s="92" t="s">
        <v>223</v>
      </c>
      <c r="B81" s="488"/>
      <c r="C81" s="488"/>
      <c r="D81" s="488"/>
      <c r="E81" s="488"/>
      <c r="F81" s="488"/>
      <c r="G81" s="488"/>
      <c r="H81" s="488"/>
      <c r="I81" s="488"/>
      <c r="J81" s="488"/>
      <c r="K81" s="488"/>
      <c r="L81" s="488"/>
      <c r="M81" s="488"/>
      <c r="N81" s="488"/>
      <c r="O81" s="488"/>
      <c r="P81" s="488"/>
      <c r="Q81" s="488"/>
      <c r="R81" s="488"/>
      <c r="S81" s="488"/>
      <c r="T81" s="488"/>
      <c r="U81" s="488"/>
      <c r="V81" s="488"/>
      <c r="W81" s="488"/>
      <c r="X81" s="488"/>
      <c r="Y81" s="488"/>
      <c r="Z81" s="488"/>
      <c r="AA81" s="488"/>
      <c r="AB81" s="488"/>
      <c r="AC81" s="488"/>
      <c r="AD81" s="488"/>
      <c r="AE81" s="488"/>
      <c r="AF81" s="488"/>
      <c r="AG81" s="488"/>
      <c r="AH81" s="488"/>
      <c r="AI81" s="488"/>
      <c r="AJ81" s="488">
        <f>AJ80/AI80-1</f>
        <v>0</v>
      </c>
      <c r="AK81" s="488">
        <f t="shared" ref="AK81:AQ81" si="130">AK80/AJ80-1</f>
        <v>0</v>
      </c>
      <c r="AL81" s="488">
        <f t="shared" si="130"/>
        <v>0</v>
      </c>
      <c r="AM81" s="488">
        <f t="shared" si="130"/>
        <v>-5.0000000000000044E-2</v>
      </c>
      <c r="AN81" s="488">
        <f t="shared" si="130"/>
        <v>0</v>
      </c>
      <c r="AO81" s="488">
        <f t="shared" si="130"/>
        <v>0</v>
      </c>
      <c r="AP81" s="488">
        <f t="shared" si="130"/>
        <v>0</v>
      </c>
      <c r="AQ81" s="488">
        <f t="shared" si="130"/>
        <v>-5.0000000000000044E-2</v>
      </c>
      <c r="AR81" s="488">
        <f>AR80/AQ80-1</f>
        <v>0</v>
      </c>
      <c r="AS81" s="488">
        <f>AS80/AR80-1</f>
        <v>0</v>
      </c>
      <c r="AT81" s="488">
        <f>AT80/AS80-1</f>
        <v>0</v>
      </c>
      <c r="AU81" s="488">
        <f>AU80/AT80-1</f>
        <v>0</v>
      </c>
      <c r="AV81" s="488">
        <f>AV80/AU80-1</f>
        <v>0</v>
      </c>
      <c r="AW81" s="488">
        <v>0</v>
      </c>
      <c r="AX81" s="488">
        <v>0</v>
      </c>
      <c r="AY81" s="488">
        <v>0</v>
      </c>
      <c r="AZ81" s="488">
        <v>0</v>
      </c>
      <c r="BA81" s="488">
        <v>0</v>
      </c>
      <c r="BB81" s="488">
        <v>0</v>
      </c>
      <c r="BC81" s="488">
        <v>0</v>
      </c>
      <c r="BD81" s="488">
        <v>0</v>
      </c>
      <c r="BE81" s="488">
        <v>0</v>
      </c>
      <c r="BF81" s="488">
        <v>0</v>
      </c>
      <c r="BG81" s="488">
        <v>0</v>
      </c>
      <c r="BH81" s="488">
        <v>0</v>
      </c>
      <c r="BI81" s="488">
        <v>0</v>
      </c>
      <c r="BJ81" s="488">
        <v>0</v>
      </c>
      <c r="BK81" s="488">
        <v>0</v>
      </c>
      <c r="BL81" s="488">
        <v>0</v>
      </c>
      <c r="BM81" s="488">
        <v>0</v>
      </c>
      <c r="BN81" s="488">
        <v>0</v>
      </c>
      <c r="BO81" s="488">
        <v>0</v>
      </c>
      <c r="BP81" s="488">
        <v>0</v>
      </c>
      <c r="BQ81" s="488">
        <v>0</v>
      </c>
      <c r="BR81" s="488">
        <v>0</v>
      </c>
      <c r="BS81" s="488">
        <v>0</v>
      </c>
      <c r="BT81" s="488">
        <v>0</v>
      </c>
      <c r="BU81" s="488">
        <v>0</v>
      </c>
      <c r="BV81" s="489">
        <v>0</v>
      </c>
      <c r="BW81" s="489">
        <v>0</v>
      </c>
      <c r="BX81" s="489">
        <v>0</v>
      </c>
      <c r="BY81" s="489">
        <v>0</v>
      </c>
      <c r="BZ81" s="489">
        <v>0</v>
      </c>
      <c r="CA81" s="489">
        <v>0</v>
      </c>
      <c r="CB81" s="489">
        <v>0</v>
      </c>
      <c r="CC81" s="489">
        <v>0</v>
      </c>
      <c r="CD81" s="489">
        <v>0</v>
      </c>
      <c r="CE81" s="489">
        <v>0</v>
      </c>
      <c r="CF81" s="489">
        <v>0</v>
      </c>
      <c r="CG81" s="489">
        <v>0</v>
      </c>
      <c r="CH81" s="489">
        <v>0</v>
      </c>
      <c r="CI81" s="489">
        <v>0</v>
      </c>
      <c r="CJ81" s="489">
        <v>0</v>
      </c>
      <c r="CK81" s="489">
        <v>0</v>
      </c>
      <c r="CL81" s="489">
        <v>0</v>
      </c>
      <c r="CM81" s="489">
        <v>0</v>
      </c>
      <c r="CN81" s="489">
        <v>0</v>
      </c>
      <c r="CO81" s="489">
        <v>0</v>
      </c>
      <c r="CP81" s="550"/>
      <c r="CQ81" s="552"/>
      <c r="CR81" s="562"/>
      <c r="CS81" s="562"/>
      <c r="CT81" s="562"/>
      <c r="CU81" s="562"/>
      <c r="CV81" s="562"/>
      <c r="CW81" s="562"/>
      <c r="CX81" s="562"/>
      <c r="CY81" s="488"/>
      <c r="CZ81" s="493"/>
      <c r="DA81" s="493"/>
      <c r="DB81" s="493"/>
      <c r="DC81" s="493"/>
      <c r="DD81" s="493"/>
      <c r="DE81" s="493"/>
      <c r="DF81" s="493"/>
      <c r="DG81" s="493"/>
      <c r="DH81" s="493"/>
      <c r="DI81" s="493"/>
      <c r="DJ81" s="497"/>
      <c r="DK81" s="497"/>
      <c r="DL81" s="497"/>
      <c r="DM81" s="497"/>
      <c r="DN81" s="497"/>
      <c r="DO81" s="550"/>
    </row>
    <row r="82" spans="1:119" s="551" customFormat="1">
      <c r="A82" s="92" t="s">
        <v>225</v>
      </c>
      <c r="B82" s="488"/>
      <c r="C82" s="488"/>
      <c r="D82" s="488"/>
      <c r="E82" s="488"/>
      <c r="F82" s="488"/>
      <c r="G82" s="488"/>
      <c r="H82" s="488"/>
      <c r="I82" s="488"/>
      <c r="J82" s="488"/>
      <c r="K82" s="488"/>
      <c r="L82" s="488"/>
      <c r="M82" s="488"/>
      <c r="N82" s="488"/>
      <c r="O82" s="488"/>
      <c r="P82" s="488"/>
      <c r="Q82" s="488"/>
      <c r="R82" s="488"/>
      <c r="S82" s="488"/>
      <c r="T82" s="488"/>
      <c r="U82" s="488"/>
      <c r="V82" s="488"/>
      <c r="W82" s="488"/>
      <c r="X82" s="488"/>
      <c r="Y82" s="488"/>
      <c r="Z82" s="488"/>
      <c r="AA82" s="488"/>
      <c r="AB82" s="488"/>
      <c r="AC82" s="488"/>
      <c r="AD82" s="488"/>
      <c r="AE82" s="488"/>
      <c r="AF82" s="488"/>
      <c r="AG82" s="488"/>
      <c r="AH82" s="488"/>
      <c r="AI82" s="488"/>
      <c r="AJ82" s="488"/>
      <c r="AK82" s="488"/>
      <c r="AL82" s="488"/>
      <c r="AM82" s="488">
        <f t="shared" ref="AM82:CO82" si="131">AM80/AI80-1</f>
        <v>-5.0000000000000044E-2</v>
      </c>
      <c r="AN82" s="488">
        <f t="shared" si="131"/>
        <v>-5.0000000000000044E-2</v>
      </c>
      <c r="AO82" s="488">
        <f t="shared" si="131"/>
        <v>-5.0000000000000044E-2</v>
      </c>
      <c r="AP82" s="488">
        <f t="shared" si="131"/>
        <v>-5.0000000000000044E-2</v>
      </c>
      <c r="AQ82" s="488">
        <f t="shared" si="131"/>
        <v>-5.0000000000000044E-2</v>
      </c>
      <c r="AR82" s="488">
        <f t="shared" si="131"/>
        <v>-5.0000000000000044E-2</v>
      </c>
      <c r="AS82" s="488">
        <f t="shared" si="131"/>
        <v>-5.0000000000000044E-2</v>
      </c>
      <c r="AT82" s="488">
        <f t="shared" si="131"/>
        <v>-5.0000000000000044E-2</v>
      </c>
      <c r="AU82" s="488">
        <f t="shared" si="131"/>
        <v>0</v>
      </c>
      <c r="AV82" s="488">
        <f t="shared" si="131"/>
        <v>0</v>
      </c>
      <c r="AW82" s="488">
        <f t="shared" si="131"/>
        <v>0</v>
      </c>
      <c r="AX82" s="488">
        <f t="shared" si="131"/>
        <v>0</v>
      </c>
      <c r="AY82" s="488">
        <f>AY80/AU80-1</f>
        <v>0</v>
      </c>
      <c r="AZ82" s="488">
        <f t="shared" si="131"/>
        <v>0</v>
      </c>
      <c r="BA82" s="488">
        <f t="shared" si="131"/>
        <v>0</v>
      </c>
      <c r="BB82" s="488">
        <f t="shared" si="131"/>
        <v>0</v>
      </c>
      <c r="BC82" s="488">
        <f>BC80/AY80-1</f>
        <v>0</v>
      </c>
      <c r="BD82" s="488">
        <f t="shared" si="131"/>
        <v>0</v>
      </c>
      <c r="BE82" s="488">
        <f t="shared" si="131"/>
        <v>0</v>
      </c>
      <c r="BF82" s="488">
        <f t="shared" si="131"/>
        <v>0</v>
      </c>
      <c r="BG82" s="488">
        <f t="shared" si="131"/>
        <v>0</v>
      </c>
      <c r="BH82" s="488">
        <f t="shared" si="131"/>
        <v>0</v>
      </c>
      <c r="BI82" s="488">
        <f t="shared" si="131"/>
        <v>0</v>
      </c>
      <c r="BJ82" s="488">
        <f t="shared" si="131"/>
        <v>0</v>
      </c>
      <c r="BK82" s="488">
        <f t="shared" si="131"/>
        <v>0</v>
      </c>
      <c r="BL82" s="488">
        <f t="shared" si="131"/>
        <v>0</v>
      </c>
      <c r="BM82" s="488">
        <f t="shared" si="131"/>
        <v>0</v>
      </c>
      <c r="BN82" s="488">
        <f t="shared" si="131"/>
        <v>0</v>
      </c>
      <c r="BO82" s="488">
        <f t="shared" si="131"/>
        <v>0</v>
      </c>
      <c r="BP82" s="488">
        <f t="shared" si="131"/>
        <v>0</v>
      </c>
      <c r="BQ82" s="488">
        <f t="shared" si="131"/>
        <v>0</v>
      </c>
      <c r="BR82" s="488">
        <f t="shared" si="131"/>
        <v>0</v>
      </c>
      <c r="BS82" s="488">
        <f t="shared" si="131"/>
        <v>0</v>
      </c>
      <c r="BT82" s="488">
        <f t="shared" si="131"/>
        <v>0</v>
      </c>
      <c r="BU82" s="488">
        <f t="shared" si="131"/>
        <v>0</v>
      </c>
      <c r="BV82" s="489">
        <f t="shared" si="131"/>
        <v>0</v>
      </c>
      <c r="BW82" s="489">
        <f t="shared" si="131"/>
        <v>0</v>
      </c>
      <c r="BX82" s="489">
        <f t="shared" si="131"/>
        <v>0</v>
      </c>
      <c r="BY82" s="489">
        <f t="shared" si="131"/>
        <v>0</v>
      </c>
      <c r="BZ82" s="489">
        <f t="shared" si="131"/>
        <v>0</v>
      </c>
      <c r="CA82" s="489">
        <f t="shared" si="131"/>
        <v>0</v>
      </c>
      <c r="CB82" s="489">
        <f t="shared" si="131"/>
        <v>0</v>
      </c>
      <c r="CC82" s="489">
        <f t="shared" si="131"/>
        <v>0</v>
      </c>
      <c r="CD82" s="489">
        <f t="shared" si="131"/>
        <v>0</v>
      </c>
      <c r="CE82" s="489">
        <f t="shared" si="131"/>
        <v>0</v>
      </c>
      <c r="CF82" s="489">
        <f t="shared" si="131"/>
        <v>0</v>
      </c>
      <c r="CG82" s="489">
        <f t="shared" si="131"/>
        <v>0</v>
      </c>
      <c r="CH82" s="489">
        <f t="shared" si="131"/>
        <v>0</v>
      </c>
      <c r="CI82" s="489">
        <f t="shared" si="131"/>
        <v>0</v>
      </c>
      <c r="CJ82" s="489">
        <f t="shared" si="131"/>
        <v>0</v>
      </c>
      <c r="CK82" s="489">
        <f t="shared" si="131"/>
        <v>0</v>
      </c>
      <c r="CL82" s="489">
        <f t="shared" si="131"/>
        <v>0</v>
      </c>
      <c r="CM82" s="489">
        <f t="shared" si="131"/>
        <v>0</v>
      </c>
      <c r="CN82" s="489">
        <f t="shared" si="131"/>
        <v>0</v>
      </c>
      <c r="CO82" s="489">
        <f t="shared" si="131"/>
        <v>0</v>
      </c>
      <c r="CP82" s="550"/>
      <c r="CQ82" s="552"/>
      <c r="CR82" s="562"/>
      <c r="CS82" s="562"/>
      <c r="CT82" s="562"/>
      <c r="CU82" s="562"/>
      <c r="CV82" s="562"/>
      <c r="CW82" s="562"/>
      <c r="CX82" s="562"/>
      <c r="CY82" s="488"/>
      <c r="CZ82" s="493"/>
      <c r="DA82" s="488">
        <f t="shared" ref="DA82:DK82" si="132">DA80/CZ80-1</f>
        <v>-4.1567799111245973E-2</v>
      </c>
      <c r="DB82" s="488">
        <f t="shared" si="132"/>
        <v>-4.1972004230652171E-2</v>
      </c>
      <c r="DC82" s="488">
        <f t="shared" si="132"/>
        <v>-1.710389569018167E-2</v>
      </c>
      <c r="DD82" s="488">
        <f t="shared" si="132"/>
        <v>0</v>
      </c>
      <c r="DE82" s="488">
        <f t="shared" si="132"/>
        <v>0</v>
      </c>
      <c r="DF82" s="488">
        <f t="shared" si="132"/>
        <v>0</v>
      </c>
      <c r="DG82" s="488">
        <f t="shared" si="132"/>
        <v>0</v>
      </c>
      <c r="DH82" s="488">
        <f t="shared" si="132"/>
        <v>0</v>
      </c>
      <c r="DI82" s="488">
        <f t="shared" si="132"/>
        <v>0</v>
      </c>
      <c r="DJ82" s="489">
        <f t="shared" si="132"/>
        <v>0</v>
      </c>
      <c r="DK82" s="489">
        <f t="shared" si="132"/>
        <v>0</v>
      </c>
      <c r="DL82" s="489">
        <f>DL80/DK80-1</f>
        <v>0</v>
      </c>
      <c r="DM82" s="489">
        <f>DM80/DL80-1</f>
        <v>0</v>
      </c>
      <c r="DN82" s="489">
        <f>DN80/DM80-1</f>
        <v>0</v>
      </c>
      <c r="DO82" s="550"/>
    </row>
    <row r="83" spans="1:119" s="485" customFormat="1">
      <c r="A83" s="555" t="s">
        <v>222</v>
      </c>
      <c r="AI83" s="485">
        <f t="shared" ref="AI83:BN83" si="133">AI77*AI80/1000</f>
        <v>29.7</v>
      </c>
      <c r="AJ83" s="485">
        <f t="shared" si="133"/>
        <v>89.1</v>
      </c>
      <c r="AK83" s="485">
        <f t="shared" si="133"/>
        <v>98.01</v>
      </c>
      <c r="AL83" s="485">
        <f t="shared" si="133"/>
        <v>156.816</v>
      </c>
      <c r="AM83" s="485">
        <f t="shared" si="133"/>
        <v>163.87272000000004</v>
      </c>
      <c r="AN83" s="485">
        <f t="shared" si="133"/>
        <v>270.38998800000007</v>
      </c>
      <c r="AO83" s="485">
        <f t="shared" si="133"/>
        <v>300.13288668000013</v>
      </c>
      <c r="AP83" s="485">
        <f t="shared" si="133"/>
        <v>270.1195980120001</v>
      </c>
      <c r="AQ83" s="485">
        <f t="shared" si="133"/>
        <v>278.93900288709187</v>
      </c>
      <c r="AR83" s="485">
        <f t="shared" si="133"/>
        <v>209.20425216531891</v>
      </c>
      <c r="AS83" s="485">
        <f t="shared" si="133"/>
        <v>31.380637824797841</v>
      </c>
      <c r="AT83" s="485">
        <f t="shared" si="133"/>
        <v>26.673542151078166</v>
      </c>
      <c r="AU83" s="485">
        <f t="shared" si="133"/>
        <v>277.40483837121292</v>
      </c>
      <c r="AV83" s="485">
        <f t="shared" si="133"/>
        <v>277.40483837121292</v>
      </c>
      <c r="AW83" s="485">
        <f t="shared" si="133"/>
        <v>83.221451511363895</v>
      </c>
      <c r="AX83" s="485">
        <f t="shared" si="133"/>
        <v>149.79861272045503</v>
      </c>
      <c r="AY83" s="485">
        <f t="shared" si="133"/>
        <v>224.69791908068251</v>
      </c>
      <c r="AZ83" s="485">
        <f t="shared" si="133"/>
        <v>280.87239885085313</v>
      </c>
      <c r="BA83" s="485">
        <f t="shared" si="133"/>
        <v>140.43619942542657</v>
      </c>
      <c r="BB83" s="485">
        <f t="shared" si="133"/>
        <v>168.52343931051186</v>
      </c>
      <c r="BC83" s="485">
        <f t="shared" si="133"/>
        <v>246.04422139334733</v>
      </c>
      <c r="BD83" s="485">
        <f t="shared" si="133"/>
        <v>319.85748781135152</v>
      </c>
      <c r="BE83" s="485">
        <f t="shared" si="133"/>
        <v>271.87886463964884</v>
      </c>
      <c r="BF83" s="485">
        <f t="shared" si="133"/>
        <v>356.16131267794003</v>
      </c>
      <c r="BG83" s="485">
        <f t="shared" si="133"/>
        <v>297.39469608607988</v>
      </c>
      <c r="BH83" s="485">
        <f t="shared" si="133"/>
        <v>263.19430603618071</v>
      </c>
      <c r="BI83" s="485">
        <f t="shared" si="133"/>
        <v>236.87487543256265</v>
      </c>
      <c r="BJ83" s="485">
        <f t="shared" si="133"/>
        <v>296.09359429070327</v>
      </c>
      <c r="BK83" s="485">
        <f t="shared" si="133"/>
        <v>281.28891457616811</v>
      </c>
      <c r="BL83" s="485">
        <f t="shared" si="133"/>
        <v>267.22446884735973</v>
      </c>
      <c r="BM83" s="485">
        <f t="shared" si="133"/>
        <v>227.14079852025571</v>
      </c>
      <c r="BN83" s="485">
        <f t="shared" si="133"/>
        <v>158.99855896417898</v>
      </c>
      <c r="BO83" s="485">
        <f t="shared" ref="BO83:CO83" si="134">BO77*BO80/1000</f>
        <v>135.14877511955217</v>
      </c>
      <c r="BP83" s="485">
        <f t="shared" si="134"/>
        <v>141.90621387552977</v>
      </c>
      <c r="BQ83" s="485">
        <f t="shared" si="134"/>
        <v>134.81090318175328</v>
      </c>
      <c r="BR83" s="485">
        <f t="shared" si="134"/>
        <v>128.0703580226656</v>
      </c>
      <c r="BS83" s="485">
        <f t="shared" si="134"/>
        <v>134.47387592379889</v>
      </c>
      <c r="BT83" s="485">
        <f t="shared" si="134"/>
        <v>147.92126351617878</v>
      </c>
      <c r="BU83" s="485">
        <f t="shared" si="134"/>
        <v>140.52520034036982</v>
      </c>
      <c r="BV83" s="486">
        <f t="shared" si="134"/>
        <v>126.47268030633286</v>
      </c>
      <c r="BW83" s="486">
        <f t="shared" si="134"/>
        <v>141.64940194309281</v>
      </c>
      <c r="BX83" s="486">
        <f t="shared" si="134"/>
        <v>162.89681223455673</v>
      </c>
      <c r="BY83" s="486">
        <f t="shared" si="134"/>
        <v>146.60713101110107</v>
      </c>
      <c r="BZ83" s="486">
        <f t="shared" si="134"/>
        <v>131.94641790999097</v>
      </c>
      <c r="CA83" s="486">
        <f t="shared" si="134"/>
        <v>147.77998805918986</v>
      </c>
      <c r="CB83" s="486">
        <f t="shared" si="134"/>
        <v>169.94698626806834</v>
      </c>
      <c r="CC83" s="486">
        <f t="shared" si="134"/>
        <v>152.95228764126153</v>
      </c>
      <c r="CD83" s="486">
        <f t="shared" si="134"/>
        <v>130.00944449507227</v>
      </c>
      <c r="CE83" s="486">
        <f t="shared" si="134"/>
        <v>145.61057783448098</v>
      </c>
      <c r="CF83" s="486">
        <f t="shared" si="134"/>
        <v>167.4521645096531</v>
      </c>
      <c r="CG83" s="486">
        <f t="shared" si="134"/>
        <v>150.7069480586878</v>
      </c>
      <c r="CH83" s="486">
        <f t="shared" si="134"/>
        <v>128.10090584988464</v>
      </c>
      <c r="CI83" s="486">
        <f t="shared" si="134"/>
        <v>143.47301455187079</v>
      </c>
      <c r="CJ83" s="486">
        <f t="shared" si="134"/>
        <v>164.99396673465142</v>
      </c>
      <c r="CK83" s="486">
        <f t="shared" si="134"/>
        <v>148.49457006118627</v>
      </c>
      <c r="CL83" s="486">
        <f t="shared" si="134"/>
        <v>126.22038455200833</v>
      </c>
      <c r="CM83" s="486">
        <f t="shared" si="134"/>
        <v>141.36683069824934</v>
      </c>
      <c r="CN83" s="486">
        <f t="shared" si="134"/>
        <v>162.57185530298671</v>
      </c>
      <c r="CO83" s="486">
        <f t="shared" si="134"/>
        <v>146.31466977268803</v>
      </c>
      <c r="CP83" s="548"/>
      <c r="CQ83" s="557"/>
      <c r="CR83" s="556"/>
      <c r="CS83" s="556"/>
      <c r="CT83" s="556"/>
      <c r="CU83" s="556"/>
      <c r="CV83" s="556"/>
      <c r="CW83" s="556"/>
      <c r="CX83" s="556"/>
      <c r="CZ83" s="485">
        <f>SUM(AI83:AK83)</f>
        <v>216.81</v>
      </c>
      <c r="DA83" s="485">
        <f>SUM(AL83:AO83)</f>
        <v>891.21159468000019</v>
      </c>
      <c r="DB83" s="485">
        <f>SUM(AP83:AS83)</f>
        <v>789.64349088920869</v>
      </c>
      <c r="DC83" s="485">
        <f>SUM(AT83:AW83)</f>
        <v>664.7046704048679</v>
      </c>
      <c r="DD83" s="485">
        <f>AX83+AY83+AZ83+BA83</f>
        <v>795.80513007741729</v>
      </c>
      <c r="DE83" s="485">
        <f>BB83+BC83+BD83+BE83</f>
        <v>1006.3040131548596</v>
      </c>
      <c r="DF83" s="485">
        <f>+SUM(BF83:BI83)</f>
        <v>1153.6251902327633</v>
      </c>
      <c r="DG83" s="485">
        <f>+SUM(BJ83:BM83)</f>
        <v>1071.7477762344868</v>
      </c>
      <c r="DH83" s="485">
        <f>+SUM(BN83:BQ83)</f>
        <v>570.86445114101423</v>
      </c>
      <c r="DI83" s="485">
        <f>+SUM(BR83:BU83)</f>
        <v>550.99069780301306</v>
      </c>
      <c r="DJ83" s="486">
        <f>SUM(BV83:BY83)</f>
        <v>577.62602549508347</v>
      </c>
      <c r="DK83" s="486">
        <f>SUM(BZ83:CC83)</f>
        <v>602.62567987851071</v>
      </c>
      <c r="DL83" s="486">
        <f>SUM(CD83:CG83)</f>
        <v>593.7791348978941</v>
      </c>
      <c r="DM83" s="486">
        <f>SUM(CH83:CK83)</f>
        <v>585.06245719759318</v>
      </c>
      <c r="DN83" s="486">
        <f>SUM(CL83:CO83)</f>
        <v>576.47374032593234</v>
      </c>
      <c r="DO83" s="548"/>
    </row>
    <row r="84" spans="1:119" s="551" customFormat="1">
      <c r="A84" s="92" t="s">
        <v>223</v>
      </c>
      <c r="B84" s="488"/>
      <c r="C84" s="488"/>
      <c r="D84" s="488"/>
      <c r="E84" s="488"/>
      <c r="F84" s="488"/>
      <c r="G84" s="488"/>
      <c r="H84" s="488"/>
      <c r="I84" s="488"/>
      <c r="J84" s="488"/>
      <c r="K84" s="488"/>
      <c r="L84" s="488"/>
      <c r="M84" s="488"/>
      <c r="N84" s="488"/>
      <c r="O84" s="488"/>
      <c r="P84" s="488"/>
      <c r="Q84" s="488"/>
      <c r="R84" s="488"/>
      <c r="S84" s="488"/>
      <c r="T84" s="488"/>
      <c r="U84" s="488"/>
      <c r="V84" s="488"/>
      <c r="W84" s="488"/>
      <c r="X84" s="488"/>
      <c r="Y84" s="488"/>
      <c r="Z84" s="488"/>
      <c r="AA84" s="488"/>
      <c r="AB84" s="488"/>
      <c r="AC84" s="488"/>
      <c r="AD84" s="488"/>
      <c r="AE84" s="488"/>
      <c r="AF84" s="488"/>
      <c r="AG84" s="488"/>
      <c r="AH84" s="488"/>
      <c r="AI84" s="488"/>
      <c r="AJ84" s="488">
        <f t="shared" ref="AJ84:BD84" si="135">AJ83/AI83-1</f>
        <v>2</v>
      </c>
      <c r="AK84" s="488">
        <f t="shared" si="135"/>
        <v>0.10000000000000009</v>
      </c>
      <c r="AL84" s="488">
        <f t="shared" si="135"/>
        <v>0.59999999999999987</v>
      </c>
      <c r="AM84" s="488">
        <f t="shared" si="135"/>
        <v>4.5000000000000151E-2</v>
      </c>
      <c r="AN84" s="488">
        <f t="shared" si="135"/>
        <v>0.64999999999999991</v>
      </c>
      <c r="AO84" s="488">
        <f t="shared" si="135"/>
        <v>0.1100000000000001</v>
      </c>
      <c r="AP84" s="488">
        <f t="shared" si="135"/>
        <v>-0.10000000000000009</v>
      </c>
      <c r="AQ84" s="488">
        <f t="shared" si="135"/>
        <v>3.2649999999999846E-2</v>
      </c>
      <c r="AR84" s="488">
        <f t="shared" si="135"/>
        <v>-0.25</v>
      </c>
      <c r="AS84" s="488">
        <f t="shared" si="135"/>
        <v>-0.85</v>
      </c>
      <c r="AT84" s="488">
        <f t="shared" si="135"/>
        <v>-0.14999999999999991</v>
      </c>
      <c r="AU84" s="488">
        <f t="shared" si="135"/>
        <v>9.4</v>
      </c>
      <c r="AV84" s="488">
        <f t="shared" si="135"/>
        <v>0</v>
      </c>
      <c r="AW84" s="488">
        <f t="shared" si="135"/>
        <v>-0.7</v>
      </c>
      <c r="AX84" s="488">
        <f t="shared" si="135"/>
        <v>0.80000000000000027</v>
      </c>
      <c r="AY84" s="488">
        <f t="shared" si="135"/>
        <v>0.49999999999999978</v>
      </c>
      <c r="AZ84" s="488">
        <f t="shared" si="135"/>
        <v>0.25</v>
      </c>
      <c r="BA84" s="488">
        <f t="shared" si="135"/>
        <v>-0.5</v>
      </c>
      <c r="BB84" s="488">
        <f t="shared" si="135"/>
        <v>0.19999999999999996</v>
      </c>
      <c r="BC84" s="488">
        <f t="shared" si="135"/>
        <v>0.45999999999999996</v>
      </c>
      <c r="BD84" s="488">
        <f t="shared" si="135"/>
        <v>0.30000000000000004</v>
      </c>
      <c r="BE84" s="488">
        <v>-0.1</v>
      </c>
      <c r="BF84" s="488">
        <f t="shared" ref="BF84:CO84" si="136">BF83/BE83-1</f>
        <v>0.31000000000000028</v>
      </c>
      <c r="BG84" s="488">
        <f t="shared" si="136"/>
        <v>-0.16500000000000015</v>
      </c>
      <c r="BH84" s="488">
        <f t="shared" si="136"/>
        <v>-0.11499999999999999</v>
      </c>
      <c r="BI84" s="488">
        <f t="shared" si="136"/>
        <v>-9.9999999999999978E-2</v>
      </c>
      <c r="BJ84" s="488">
        <f t="shared" si="136"/>
        <v>0.24999999999999978</v>
      </c>
      <c r="BK84" s="488">
        <f t="shared" si="136"/>
        <v>-4.9999999999999933E-2</v>
      </c>
      <c r="BL84" s="488">
        <f t="shared" si="136"/>
        <v>-4.9999999999999933E-2</v>
      </c>
      <c r="BM84" s="488">
        <f t="shared" si="136"/>
        <v>-0.15000000000000024</v>
      </c>
      <c r="BN84" s="488">
        <f t="shared" si="136"/>
        <v>-0.30000000000000004</v>
      </c>
      <c r="BO84" s="488">
        <f t="shared" si="136"/>
        <v>-0.1499999999999998</v>
      </c>
      <c r="BP84" s="488">
        <f t="shared" si="136"/>
        <v>5.0000000000000044E-2</v>
      </c>
      <c r="BQ84" s="488">
        <f t="shared" si="136"/>
        <v>-5.0000000000000044E-2</v>
      </c>
      <c r="BR84" s="488">
        <f t="shared" si="136"/>
        <v>-5.0000000000000044E-2</v>
      </c>
      <c r="BS84" s="488">
        <f t="shared" si="136"/>
        <v>5.0000000000000044E-2</v>
      </c>
      <c r="BT84" s="488">
        <f t="shared" si="136"/>
        <v>0.10000000000000009</v>
      </c>
      <c r="BU84" s="488">
        <f t="shared" si="136"/>
        <v>-5.0000000000000155E-2</v>
      </c>
      <c r="BV84" s="489">
        <f t="shared" si="136"/>
        <v>-9.9999999999999867E-2</v>
      </c>
      <c r="BW84" s="489">
        <f t="shared" si="136"/>
        <v>0.12000000000000011</v>
      </c>
      <c r="BX84" s="489">
        <f t="shared" si="136"/>
        <v>0.14999999999999991</v>
      </c>
      <c r="BY84" s="489">
        <f t="shared" si="136"/>
        <v>-9.9999999999999867E-2</v>
      </c>
      <c r="BZ84" s="489">
        <f t="shared" si="136"/>
        <v>-9.9999999999999978E-2</v>
      </c>
      <c r="CA84" s="489">
        <f t="shared" si="136"/>
        <v>0.11999999999999988</v>
      </c>
      <c r="CB84" s="489">
        <f t="shared" si="136"/>
        <v>0.14999999999999991</v>
      </c>
      <c r="CC84" s="489">
        <f t="shared" si="136"/>
        <v>-9.9999999999999867E-2</v>
      </c>
      <c r="CD84" s="489">
        <f t="shared" si="136"/>
        <v>-0.15000000000000024</v>
      </c>
      <c r="CE84" s="489">
        <f t="shared" si="136"/>
        <v>0.12000000000000033</v>
      </c>
      <c r="CF84" s="489">
        <f t="shared" si="136"/>
        <v>0.14999999999999991</v>
      </c>
      <c r="CG84" s="489">
        <f t="shared" si="136"/>
        <v>-9.9999999999999978E-2</v>
      </c>
      <c r="CH84" s="489">
        <f t="shared" si="136"/>
        <v>-0.14999999999999991</v>
      </c>
      <c r="CI84" s="489">
        <f t="shared" si="136"/>
        <v>0.11999999999999988</v>
      </c>
      <c r="CJ84" s="489">
        <f t="shared" si="136"/>
        <v>0.15000000000000013</v>
      </c>
      <c r="CK84" s="489">
        <f t="shared" si="136"/>
        <v>-0.10000000000000009</v>
      </c>
      <c r="CL84" s="489">
        <f t="shared" si="136"/>
        <v>-0.15000000000000002</v>
      </c>
      <c r="CM84" s="489">
        <f t="shared" si="136"/>
        <v>0.12000000000000011</v>
      </c>
      <c r="CN84" s="489">
        <f t="shared" si="136"/>
        <v>0.14999999999999969</v>
      </c>
      <c r="CO84" s="489">
        <f t="shared" si="136"/>
        <v>-9.9999999999999978E-2</v>
      </c>
      <c r="CP84" s="550"/>
      <c r="CQ84" s="552"/>
      <c r="CR84" s="562"/>
      <c r="CS84" s="562"/>
      <c r="CT84" s="562"/>
      <c r="CU84" s="562"/>
      <c r="CV84" s="562"/>
      <c r="CW84" s="562"/>
      <c r="CX84" s="562"/>
      <c r="CY84" s="488"/>
      <c r="CZ84" s="493"/>
      <c r="DA84" s="493"/>
      <c r="DB84" s="493"/>
      <c r="DC84" s="493"/>
      <c r="DD84" s="493"/>
      <c r="DE84" s="493"/>
      <c r="DF84" s="493"/>
      <c r="DG84" s="493"/>
      <c r="DH84" s="493"/>
      <c r="DI84" s="493"/>
      <c r="DJ84" s="497"/>
      <c r="DK84" s="497"/>
      <c r="DL84" s="497"/>
      <c r="DM84" s="497"/>
      <c r="DN84" s="497"/>
      <c r="DO84" s="550"/>
    </row>
    <row r="85" spans="1:119" s="551" customFormat="1">
      <c r="A85" s="92" t="s">
        <v>225</v>
      </c>
      <c r="B85" s="488"/>
      <c r="C85" s="488"/>
      <c r="D85" s="488"/>
      <c r="E85" s="488"/>
      <c r="F85" s="488"/>
      <c r="G85" s="488"/>
      <c r="H85" s="488"/>
      <c r="I85" s="488"/>
      <c r="J85" s="488"/>
      <c r="K85" s="488"/>
      <c r="L85" s="488"/>
      <c r="M85" s="488"/>
      <c r="N85" s="488"/>
      <c r="O85" s="488"/>
      <c r="P85" s="488"/>
      <c r="Q85" s="488"/>
      <c r="R85" s="488"/>
      <c r="S85" s="488"/>
      <c r="T85" s="488"/>
      <c r="U85" s="488"/>
      <c r="V85" s="488"/>
      <c r="W85" s="488"/>
      <c r="X85" s="488"/>
      <c r="Y85" s="488"/>
      <c r="Z85" s="488"/>
      <c r="AA85" s="488"/>
      <c r="AB85" s="488"/>
      <c r="AC85" s="488"/>
      <c r="AD85" s="488"/>
      <c r="AE85" s="488"/>
      <c r="AF85" s="488"/>
      <c r="AG85" s="488"/>
      <c r="AH85" s="488"/>
      <c r="AI85" s="488"/>
      <c r="AJ85" s="488"/>
      <c r="AK85" s="488"/>
      <c r="AL85" s="488"/>
      <c r="AM85" s="488">
        <f t="shared" ref="AM85:CO85" si="137">AM83/AI83-1</f>
        <v>4.5176000000000016</v>
      </c>
      <c r="AN85" s="488">
        <f t="shared" si="137"/>
        <v>2.0346800000000012</v>
      </c>
      <c r="AO85" s="488">
        <f t="shared" si="137"/>
        <v>2.0622680000000013</v>
      </c>
      <c r="AP85" s="488">
        <f t="shared" si="137"/>
        <v>0.72252575000000063</v>
      </c>
      <c r="AQ85" s="488">
        <f t="shared" si="137"/>
        <v>0.70216862750000009</v>
      </c>
      <c r="AR85" s="488">
        <f t="shared" si="137"/>
        <v>-0.22628698749999998</v>
      </c>
      <c r="AS85" s="488">
        <f t="shared" si="137"/>
        <v>-0.89544418749999999</v>
      </c>
      <c r="AT85" s="488">
        <f t="shared" si="137"/>
        <v>-0.90125284375000003</v>
      </c>
      <c r="AU85" s="488">
        <f t="shared" si="137"/>
        <v>-5.4999999999998384E-3</v>
      </c>
      <c r="AV85" s="488">
        <f t="shared" si="137"/>
        <v>0.32600000000000029</v>
      </c>
      <c r="AW85" s="488">
        <f t="shared" si="137"/>
        <v>1.6520000000000006</v>
      </c>
      <c r="AX85" s="488">
        <f t="shared" si="137"/>
        <v>4.6160000000000014</v>
      </c>
      <c r="AY85" s="488">
        <f t="shared" si="137"/>
        <v>-0.18999999999999984</v>
      </c>
      <c r="AZ85" s="488">
        <f t="shared" si="137"/>
        <v>1.2500000000000178E-2</v>
      </c>
      <c r="BA85" s="488">
        <f t="shared" si="137"/>
        <v>0.6875</v>
      </c>
      <c r="BB85" s="488">
        <f t="shared" si="137"/>
        <v>0.12499999999999978</v>
      </c>
      <c r="BC85" s="488">
        <f t="shared" si="137"/>
        <v>9.4999999999999973E-2</v>
      </c>
      <c r="BD85" s="488">
        <f t="shared" si="137"/>
        <v>0.13879999999999981</v>
      </c>
      <c r="BE85" s="488">
        <f t="shared" si="137"/>
        <v>0.93596000000000013</v>
      </c>
      <c r="BF85" s="488">
        <f t="shared" si="137"/>
        <v>1.1134230000000009</v>
      </c>
      <c r="BG85" s="488">
        <f t="shared" si="137"/>
        <v>0.20870425000000026</v>
      </c>
      <c r="BH85" s="488">
        <f t="shared" si="137"/>
        <v>-0.17715133749999978</v>
      </c>
      <c r="BI85" s="488">
        <f t="shared" si="137"/>
        <v>-0.12874847499999997</v>
      </c>
      <c r="BJ85" s="488">
        <f t="shared" si="137"/>
        <v>-0.16865312500000018</v>
      </c>
      <c r="BK85" s="488">
        <f t="shared" si="137"/>
        <v>-5.4156250000000017E-2</v>
      </c>
      <c r="BL85" s="488">
        <f t="shared" si="137"/>
        <v>1.5312500000000062E-2</v>
      </c>
      <c r="BM85" s="488">
        <f t="shared" si="137"/>
        <v>-4.1093750000000262E-2</v>
      </c>
      <c r="BN85" s="488">
        <f t="shared" si="137"/>
        <v>-0.46301250000000016</v>
      </c>
      <c r="BO85" s="488">
        <f t="shared" si="137"/>
        <v>-0.51953749999999999</v>
      </c>
      <c r="BP85" s="488">
        <f t="shared" si="137"/>
        <v>-0.46896250000000006</v>
      </c>
      <c r="BQ85" s="488">
        <f t="shared" si="137"/>
        <v>-0.4064875</v>
      </c>
      <c r="BR85" s="488">
        <f t="shared" si="137"/>
        <v>-0.19451874999999996</v>
      </c>
      <c r="BS85" s="488">
        <f t="shared" si="137"/>
        <v>-4.99375000000013E-3</v>
      </c>
      <c r="BT85" s="488">
        <f t="shared" si="137"/>
        <v>4.2387500000000022E-2</v>
      </c>
      <c r="BU85" s="488">
        <f t="shared" si="137"/>
        <v>4.23874999999998E-2</v>
      </c>
      <c r="BV85" s="489">
        <f t="shared" si="137"/>
        <v>-1.2474999999999903E-2</v>
      </c>
      <c r="BW85" s="489">
        <f t="shared" si="137"/>
        <v>5.3360000000000074E-2</v>
      </c>
      <c r="BX85" s="489">
        <f t="shared" si="137"/>
        <v>0.10124</v>
      </c>
      <c r="BY85" s="489">
        <f t="shared" si="137"/>
        <v>4.3280000000000429E-2</v>
      </c>
      <c r="BZ85" s="489">
        <f t="shared" si="137"/>
        <v>4.3280000000000207E-2</v>
      </c>
      <c r="CA85" s="489">
        <f t="shared" si="137"/>
        <v>4.3279999999999985E-2</v>
      </c>
      <c r="CB85" s="489">
        <f t="shared" si="137"/>
        <v>4.3279999999999985E-2</v>
      </c>
      <c r="CC85" s="489">
        <f t="shared" si="137"/>
        <v>4.3279999999999985E-2</v>
      </c>
      <c r="CD85" s="489">
        <f t="shared" si="137"/>
        <v>-1.4680000000000248E-2</v>
      </c>
      <c r="CE85" s="489">
        <f t="shared" si="137"/>
        <v>-1.4679999999999804E-2</v>
      </c>
      <c r="CF85" s="489">
        <f t="shared" si="137"/>
        <v>-1.4680000000000026E-2</v>
      </c>
      <c r="CG85" s="489">
        <f t="shared" si="137"/>
        <v>-1.4680000000000137E-2</v>
      </c>
      <c r="CH85" s="489">
        <f t="shared" si="137"/>
        <v>-1.4679999999999804E-2</v>
      </c>
      <c r="CI85" s="489">
        <f t="shared" si="137"/>
        <v>-1.4680000000000026E-2</v>
      </c>
      <c r="CJ85" s="489">
        <f t="shared" si="137"/>
        <v>-1.4679999999999804E-2</v>
      </c>
      <c r="CK85" s="489">
        <f t="shared" si="137"/>
        <v>-1.4680000000000026E-2</v>
      </c>
      <c r="CL85" s="489">
        <f t="shared" si="137"/>
        <v>-1.4680000000000026E-2</v>
      </c>
      <c r="CM85" s="489">
        <f t="shared" si="137"/>
        <v>-1.4679999999999915E-2</v>
      </c>
      <c r="CN85" s="489">
        <f t="shared" si="137"/>
        <v>-1.4680000000000248E-2</v>
      </c>
      <c r="CO85" s="489">
        <f t="shared" si="137"/>
        <v>-1.4680000000000137E-2</v>
      </c>
      <c r="CP85" s="550"/>
      <c r="CQ85" s="552"/>
      <c r="CR85" s="562"/>
      <c r="CS85" s="562"/>
      <c r="CT85" s="562"/>
      <c r="CU85" s="562"/>
      <c r="CV85" s="562"/>
      <c r="CW85" s="562"/>
      <c r="CX85" s="562"/>
      <c r="CY85" s="488"/>
      <c r="CZ85" s="493"/>
      <c r="DA85" s="488">
        <f t="shared" ref="DA85:DK85" si="138">DA83/CZ83-1</f>
        <v>3.1105649863013705</v>
      </c>
      <c r="DB85" s="488">
        <f t="shared" si="138"/>
        <v>-0.1139663177601058</v>
      </c>
      <c r="DC85" s="488">
        <f t="shared" si="138"/>
        <v>-0.15822180759528404</v>
      </c>
      <c r="DD85" s="488">
        <f t="shared" si="138"/>
        <v>0.19723113964687022</v>
      </c>
      <c r="DE85" s="488">
        <f t="shared" si="138"/>
        <v>0.26451058823529405</v>
      </c>
      <c r="DF85" s="488">
        <f t="shared" si="138"/>
        <v>0.14639828039246083</v>
      </c>
      <c r="DG85" s="488">
        <f t="shared" si="138"/>
        <v>-7.0974017117081512E-2</v>
      </c>
      <c r="DH85" s="488">
        <f t="shared" si="138"/>
        <v>-0.4673518678557862</v>
      </c>
      <c r="DI85" s="488">
        <f t="shared" si="138"/>
        <v>-3.4813436531699549E-2</v>
      </c>
      <c r="DJ85" s="489">
        <f t="shared" si="138"/>
        <v>4.8340793770701662E-2</v>
      </c>
      <c r="DK85" s="489">
        <f t="shared" si="138"/>
        <v>4.3279999999999985E-2</v>
      </c>
      <c r="DL85" s="489">
        <f>DL83/DK83-1</f>
        <v>-1.4680000000000137E-2</v>
      </c>
      <c r="DM85" s="489">
        <f>DM83/DL83-1</f>
        <v>-1.4679999999999693E-2</v>
      </c>
      <c r="DN85" s="489">
        <f>DN83/DM83-1</f>
        <v>-1.4680000000000248E-2</v>
      </c>
      <c r="DO85" s="550"/>
    </row>
    <row r="86" spans="1:119" s="551" customFormat="1">
      <c r="A86" s="753"/>
      <c r="B86" s="493"/>
      <c r="C86" s="493"/>
      <c r="D86" s="493"/>
      <c r="E86" s="493"/>
      <c r="F86" s="493"/>
      <c r="G86" s="493"/>
      <c r="H86" s="493"/>
      <c r="I86" s="493"/>
      <c r="J86" s="493"/>
      <c r="K86" s="493"/>
      <c r="L86" s="493"/>
      <c r="M86" s="493"/>
      <c r="N86" s="493"/>
      <c r="O86" s="493"/>
      <c r="P86" s="493"/>
      <c r="Q86" s="493"/>
      <c r="R86" s="493"/>
      <c r="S86" s="493"/>
      <c r="T86" s="493"/>
      <c r="U86" s="493"/>
      <c r="V86" s="493"/>
      <c r="W86" s="493"/>
      <c r="X86" s="493"/>
      <c r="Y86" s="493"/>
      <c r="Z86" s="493"/>
      <c r="AA86" s="493"/>
      <c r="AB86" s="493"/>
      <c r="AC86" s="493"/>
      <c r="AD86" s="493"/>
      <c r="AE86" s="493"/>
      <c r="AF86" s="493"/>
      <c r="AG86" s="493"/>
      <c r="AH86" s="493"/>
      <c r="AI86" s="763"/>
      <c r="AJ86" s="482"/>
      <c r="AK86" s="482"/>
      <c r="AL86" s="482"/>
      <c r="AM86" s="482"/>
      <c r="AN86" s="482"/>
      <c r="AO86" s="493"/>
      <c r="AP86" s="763"/>
      <c r="AQ86" s="493"/>
      <c r="AR86" s="763"/>
      <c r="AS86" s="763"/>
      <c r="AT86" s="763"/>
      <c r="AU86" s="570" t="e">
        <f>Worksheet!#REF!-Gaming!AU83</f>
        <v>#REF!</v>
      </c>
      <c r="AV86" s="493"/>
      <c r="AW86" s="493"/>
      <c r="AX86" s="493"/>
      <c r="AY86" s="493"/>
      <c r="AZ86" s="493"/>
      <c r="BA86" s="493"/>
      <c r="BB86" s="493"/>
      <c r="BC86" s="493"/>
      <c r="BD86" s="493"/>
      <c r="BE86" s="493"/>
      <c r="BF86" s="493"/>
      <c r="BG86" s="493"/>
      <c r="BH86" s="493"/>
      <c r="BI86" s="493"/>
      <c r="BJ86" s="493"/>
      <c r="BK86" s="493"/>
      <c r="BL86" s="493"/>
      <c r="BM86" s="493"/>
      <c r="BN86" s="493"/>
      <c r="BO86" s="493"/>
      <c r="BP86" s="493"/>
      <c r="BQ86" s="493"/>
      <c r="BR86" s="493"/>
      <c r="BS86" s="493"/>
      <c r="BT86" s="493"/>
      <c r="BU86" s="493"/>
      <c r="BV86" s="493"/>
      <c r="BW86" s="493"/>
      <c r="BX86" s="493"/>
      <c r="BY86" s="493"/>
      <c r="BZ86" s="493"/>
      <c r="CA86" s="493"/>
      <c r="CB86" s="493"/>
      <c r="CC86" s="493"/>
      <c r="CD86" s="493"/>
      <c r="CE86" s="493"/>
      <c r="CF86" s="493"/>
      <c r="CG86" s="493"/>
      <c r="CH86" s="493"/>
      <c r="CI86" s="493"/>
      <c r="CJ86" s="493"/>
      <c r="CK86" s="493"/>
      <c r="CL86" s="493"/>
      <c r="CM86" s="493"/>
      <c r="CN86" s="493"/>
      <c r="CO86" s="493"/>
      <c r="CP86" s="550"/>
      <c r="CQ86" s="552"/>
      <c r="CR86" s="764"/>
      <c r="CS86" s="764"/>
      <c r="CT86" s="764"/>
      <c r="CU86" s="764"/>
      <c r="CV86" s="764"/>
      <c r="CW86" s="764"/>
      <c r="CX86" s="764"/>
      <c r="CY86" s="493"/>
      <c r="CZ86" s="765"/>
      <c r="DA86" s="765"/>
      <c r="DB86" s="765"/>
      <c r="DC86" s="765"/>
      <c r="DD86" s="765"/>
      <c r="DE86" s="765"/>
      <c r="DF86" s="765"/>
      <c r="DG86" s="765"/>
      <c r="DH86" s="765"/>
      <c r="DI86" s="765"/>
      <c r="DJ86" s="765"/>
      <c r="DK86" s="765"/>
      <c r="DL86" s="765"/>
      <c r="DM86" s="765"/>
      <c r="DN86" s="765"/>
      <c r="DO86" s="548"/>
    </row>
    <row r="87" spans="1:119" s="545" customFormat="1" ht="15.75">
      <c r="A87" s="543" t="s">
        <v>610</v>
      </c>
      <c r="B87" s="477"/>
      <c r="C87" s="477"/>
      <c r="D87" s="477"/>
      <c r="E87" s="477"/>
      <c r="F87" s="477"/>
      <c r="G87" s="477"/>
      <c r="H87" s="477"/>
      <c r="I87" s="477"/>
      <c r="J87" s="477"/>
      <c r="K87" s="477"/>
      <c r="L87" s="477"/>
      <c r="M87" s="477"/>
      <c r="N87" s="477"/>
      <c r="O87" s="477"/>
      <c r="P87" s="477"/>
      <c r="Q87" s="477"/>
      <c r="R87" s="477"/>
      <c r="S87" s="477"/>
      <c r="T87" s="477"/>
      <c r="U87" s="477"/>
      <c r="V87" s="477"/>
      <c r="W87" s="477"/>
      <c r="X87" s="477"/>
      <c r="Y87" s="477"/>
      <c r="Z87" s="477"/>
      <c r="AA87" s="477"/>
      <c r="AB87" s="477"/>
      <c r="AC87" s="477"/>
      <c r="AD87" s="477"/>
      <c r="AE87" s="477"/>
      <c r="AF87" s="477"/>
      <c r="AG87" s="477"/>
      <c r="AH87" s="477"/>
      <c r="AI87" s="477"/>
      <c r="AJ87" s="477"/>
      <c r="AK87" s="477"/>
      <c r="AL87" s="575"/>
      <c r="AM87" s="575"/>
      <c r="AN87" s="477"/>
      <c r="AO87" s="477"/>
      <c r="AP87" s="575"/>
      <c r="AQ87" s="477"/>
      <c r="AR87" s="477"/>
      <c r="AS87" s="477"/>
      <c r="AT87" s="575"/>
      <c r="AU87" s="477"/>
      <c r="AV87" s="477"/>
      <c r="AW87" s="477"/>
      <c r="AX87" s="477"/>
      <c r="AY87" s="477"/>
      <c r="AZ87" s="477"/>
      <c r="BA87" s="477"/>
      <c r="BB87" s="477"/>
      <c r="BC87" s="477"/>
      <c r="BD87" s="477"/>
      <c r="BE87" s="477"/>
      <c r="BF87" s="477"/>
      <c r="BG87" s="477"/>
      <c r="BH87" s="477"/>
      <c r="BI87" s="477"/>
      <c r="BJ87" s="477"/>
      <c r="BK87" s="477"/>
      <c r="BL87" s="477"/>
      <c r="BM87" s="477"/>
      <c r="BN87" s="477"/>
      <c r="BO87" s="477"/>
      <c r="BP87" s="477"/>
      <c r="BQ87" s="477"/>
      <c r="BR87" s="477"/>
      <c r="BS87" s="477"/>
      <c r="BT87" s="477"/>
      <c r="BU87" s="477"/>
      <c r="BV87" s="477"/>
      <c r="BW87" s="477"/>
      <c r="BX87" s="477"/>
      <c r="BY87" s="477"/>
      <c r="BZ87" s="477"/>
      <c r="CA87" s="477"/>
      <c r="CB87" s="477"/>
      <c r="CC87" s="477"/>
      <c r="CD87" s="477"/>
      <c r="CE87" s="477"/>
      <c r="CF87" s="477"/>
      <c r="CG87" s="477"/>
      <c r="CH87" s="477"/>
      <c r="CI87" s="477"/>
      <c r="CJ87" s="477"/>
      <c r="CK87" s="477"/>
      <c r="CL87" s="477"/>
      <c r="CM87" s="477"/>
      <c r="CN87" s="477"/>
      <c r="CO87" s="477"/>
      <c r="CP87" s="479"/>
      <c r="CQ87" s="479"/>
      <c r="CR87" s="477"/>
      <c r="CS87" s="477"/>
      <c r="CT87" s="477"/>
      <c r="CU87" s="477"/>
      <c r="CV87" s="477"/>
      <c r="CW87" s="477"/>
      <c r="CX87" s="477"/>
      <c r="CY87" s="477"/>
      <c r="CZ87" s="477"/>
      <c r="DA87" s="477"/>
      <c r="DB87" s="477"/>
      <c r="DC87" s="477"/>
      <c r="DD87" s="477"/>
      <c r="DE87" s="477"/>
      <c r="DF87" s="477"/>
      <c r="DG87" s="477"/>
      <c r="DH87" s="477"/>
      <c r="DI87" s="477"/>
      <c r="DJ87" s="477"/>
      <c r="DK87" s="477"/>
      <c r="DL87" s="477"/>
      <c r="DM87" s="477"/>
      <c r="DN87" s="477"/>
      <c r="DO87" s="479"/>
    </row>
    <row r="88" spans="1:119">
      <c r="A88" s="577" t="s">
        <v>222</v>
      </c>
      <c r="Z88" s="485">
        <f t="shared" ref="Z88:BE88" si="139">+Z83+Z66</f>
        <v>468.03100000000006</v>
      </c>
      <c r="AA88" s="485">
        <f t="shared" si="139"/>
        <v>417.05731999999995</v>
      </c>
      <c r="AB88" s="485">
        <f t="shared" si="139"/>
        <v>528.02167680000002</v>
      </c>
      <c r="AC88" s="485">
        <f t="shared" si="139"/>
        <v>645.81370012949981</v>
      </c>
      <c r="AD88" s="485">
        <f t="shared" si="139"/>
        <v>587.32250482862673</v>
      </c>
      <c r="AE88" s="485">
        <f t="shared" si="139"/>
        <v>661.09918474389769</v>
      </c>
      <c r="AF88" s="485">
        <f t="shared" si="139"/>
        <v>760.83877471122605</v>
      </c>
      <c r="AG88" s="485">
        <f t="shared" si="139"/>
        <v>809.99085839263125</v>
      </c>
      <c r="AH88" s="485">
        <f t="shared" si="139"/>
        <v>687.17159167021714</v>
      </c>
      <c r="AI88" s="485">
        <f t="shared" si="139"/>
        <v>781.28523022818172</v>
      </c>
      <c r="AJ88" s="485">
        <f t="shared" si="139"/>
        <v>1243.8154238189284</v>
      </c>
      <c r="AK88" s="485">
        <f t="shared" si="139"/>
        <v>1347.9936184922706</v>
      </c>
      <c r="AL88" s="485">
        <f t="shared" si="139"/>
        <v>1026.9768049127981</v>
      </c>
      <c r="AM88" s="485">
        <f t="shared" si="139"/>
        <v>1185.6634649970899</v>
      </c>
      <c r="AN88" s="485">
        <f t="shared" si="139"/>
        <v>1561.134481249047</v>
      </c>
      <c r="AO88" s="485">
        <f t="shared" si="139"/>
        <v>1738.5811523384475</v>
      </c>
      <c r="AP88" s="485">
        <f t="shared" si="139"/>
        <v>1722.8739064395372</v>
      </c>
      <c r="AQ88" s="485">
        <f t="shared" si="139"/>
        <v>1804.5955669296382</v>
      </c>
      <c r="AR88" s="485">
        <f t="shared" si="139"/>
        <v>1763.5857302633956</v>
      </c>
      <c r="AS88" s="485">
        <f t="shared" si="139"/>
        <v>953.76458437162432</v>
      </c>
      <c r="AT88" s="485">
        <f t="shared" si="139"/>
        <v>1055.3925450275799</v>
      </c>
      <c r="AU88" s="485">
        <f t="shared" si="139"/>
        <v>1312.755770517623</v>
      </c>
      <c r="AV88" s="485">
        <f t="shared" si="139"/>
        <v>1658.7432062904982</v>
      </c>
      <c r="AW88" s="485">
        <f t="shared" si="139"/>
        <v>1491.5020527404174</v>
      </c>
      <c r="AX88" s="485">
        <f t="shared" si="139"/>
        <v>1338.756619534845</v>
      </c>
      <c r="AY88" s="485">
        <f t="shared" si="139"/>
        <v>1653.9373031032951</v>
      </c>
      <c r="AZ88" s="485">
        <f t="shared" si="139"/>
        <v>2270.6240049089283</v>
      </c>
      <c r="BA88" s="485">
        <f t="shared" si="139"/>
        <v>2494.8460801162287</v>
      </c>
      <c r="BB88" s="485">
        <f t="shared" si="139"/>
        <v>2760.7668213539318</v>
      </c>
      <c r="BC88" s="485">
        <f t="shared" si="139"/>
        <v>3060.9640645202398</v>
      </c>
      <c r="BD88" s="485">
        <f t="shared" si="139"/>
        <v>3221.2942948660684</v>
      </c>
      <c r="BE88" s="485">
        <f t="shared" si="139"/>
        <v>3420.2462925167933</v>
      </c>
      <c r="BF88" s="485">
        <f t="shared" ref="BF88:CO88" si="140">+BF83+BF66</f>
        <v>3620.061560406918</v>
      </c>
      <c r="BG88" s="485">
        <f t="shared" si="140"/>
        <v>2041.7823268567477</v>
      </c>
      <c r="BH88" s="485">
        <f t="shared" si="140"/>
        <v>1573.4754943609673</v>
      </c>
      <c r="BI88" s="485">
        <f t="shared" si="140"/>
        <v>1830.9251534766679</v>
      </c>
      <c r="BJ88" s="485">
        <f t="shared" si="140"/>
        <v>2239.721850110735</v>
      </c>
      <c r="BK88" s="485">
        <f t="shared" si="140"/>
        <v>2486.2354202842093</v>
      </c>
      <c r="BL88" s="485">
        <f t="shared" si="140"/>
        <v>2855.8208548840553</v>
      </c>
      <c r="BM88" s="485">
        <f t="shared" si="140"/>
        <v>2865.0070456630974</v>
      </c>
      <c r="BN88" s="485">
        <f t="shared" si="140"/>
        <v>2647.0029878783089</v>
      </c>
      <c r="BO88" s="485">
        <f t="shared" si="140"/>
        <v>2879.9386073243854</v>
      </c>
      <c r="BP88" s="485">
        <f t="shared" si="140"/>
        <v>3278.1195167276273</v>
      </c>
      <c r="BQ88" s="485">
        <f t="shared" si="140"/>
        <v>2544.3129486117782</v>
      </c>
      <c r="BR88" s="485">
        <f t="shared" si="140"/>
        <v>3763.2490120041271</v>
      </c>
      <c r="BS88" s="485">
        <f t="shared" si="140"/>
        <v>4286.4792781592769</v>
      </c>
      <c r="BT88" s="485">
        <f t="shared" si="140"/>
        <v>4264.5338716574379</v>
      </c>
      <c r="BU88" s="485">
        <f t="shared" si="140"/>
        <v>3727.0450887882957</v>
      </c>
      <c r="BV88" s="486">
        <f t="shared" si="140"/>
        <v>3430.6006061720532</v>
      </c>
      <c r="BW88" s="486">
        <f t="shared" si="140"/>
        <v>3478.8186070674701</v>
      </c>
      <c r="BX88" s="486">
        <f t="shared" si="140"/>
        <v>3634.5539363254475</v>
      </c>
      <c r="BY88" s="486">
        <f t="shared" si="140"/>
        <v>3780.0669670232141</v>
      </c>
      <c r="BZ88" s="486">
        <f t="shared" si="140"/>
        <v>3508.157297532447</v>
      </c>
      <c r="CA88" s="486">
        <f t="shared" si="140"/>
        <v>3694.4121049072451</v>
      </c>
      <c r="CB88" s="486">
        <f t="shared" si="140"/>
        <v>3981.4602300830911</v>
      </c>
      <c r="CC88" s="486">
        <f t="shared" si="140"/>
        <v>4133.2915530151095</v>
      </c>
      <c r="CD88" s="486">
        <f t="shared" si="140"/>
        <v>3769.9870593774981</v>
      </c>
      <c r="CE88" s="486">
        <f t="shared" si="140"/>
        <v>3969.043064506981</v>
      </c>
      <c r="CF88" s="486">
        <f t="shared" si="140"/>
        <v>4301.3473690999599</v>
      </c>
      <c r="CG88" s="486">
        <f t="shared" si="140"/>
        <v>4509.6202921517479</v>
      </c>
      <c r="CH88" s="486">
        <f t="shared" si="140"/>
        <v>4114.2804598736075</v>
      </c>
      <c r="CI88" s="486">
        <f t="shared" si="140"/>
        <v>4330.5560180983884</v>
      </c>
      <c r="CJ88" s="486">
        <f t="shared" si="140"/>
        <v>4692.068110169148</v>
      </c>
      <c r="CK88" s="486">
        <f t="shared" si="140"/>
        <v>4921.9885550087201</v>
      </c>
      <c r="CL88" s="486">
        <f t="shared" si="140"/>
        <v>4491.5294930339878</v>
      </c>
      <c r="CM88" s="486">
        <f t="shared" si="140"/>
        <v>4726.6875182477215</v>
      </c>
      <c r="CN88" s="486">
        <f t="shared" si="140"/>
        <v>5120.2205826814761</v>
      </c>
      <c r="CO88" s="486">
        <f t="shared" si="140"/>
        <v>5373.8204781202785</v>
      </c>
      <c r="CQ88" s="511"/>
      <c r="CX88" s="485">
        <f>SUM(Z88:AC88)</f>
        <v>2058.9236969294998</v>
      </c>
      <c r="CY88" s="485">
        <f>SUM(AD88:AG88)</f>
        <v>2819.2513226763817</v>
      </c>
      <c r="CZ88" s="485">
        <f>SUM(AH88:AK88)</f>
        <v>4060.2658642095976</v>
      </c>
      <c r="DA88" s="485">
        <f>SUM(AL88:AO88)</f>
        <v>5512.3559034973823</v>
      </c>
      <c r="DB88" s="485">
        <f>SUM(AP88:AS88)</f>
        <v>6244.8197880041953</v>
      </c>
      <c r="DC88" s="485">
        <f>AT88+AU88+AV88+AW88</f>
        <v>5518.3935745761182</v>
      </c>
      <c r="DD88" s="485">
        <f>AX88+AY88+AZ88+BA88</f>
        <v>7758.1640076632975</v>
      </c>
      <c r="DE88" s="485">
        <f>BB88+BC88+BD88+BE88</f>
        <v>12463.271473257033</v>
      </c>
      <c r="DF88" s="485">
        <f>+SUM(BF88:BI88)</f>
        <v>9066.2445351013012</v>
      </c>
      <c r="DG88" s="485">
        <f>+SUM(BJ88:BM88)</f>
        <v>10446.785170942097</v>
      </c>
      <c r="DH88" s="485">
        <f>+SUM(BN88:BQ88)</f>
        <v>11349.374060542099</v>
      </c>
      <c r="DI88" s="485">
        <f>+SUM(BR88:BU88)</f>
        <v>16041.307250609139</v>
      </c>
      <c r="DJ88" s="486">
        <f>SUM(BV88:BY88)</f>
        <v>14324.040116588187</v>
      </c>
      <c r="DK88" s="486">
        <f>SUM(BZ88:CC88)</f>
        <v>15317.321185537892</v>
      </c>
      <c r="DL88" s="486">
        <f>SUM(CD88:CG88)</f>
        <v>16549.997785136187</v>
      </c>
      <c r="DM88" s="486">
        <f>SUM(CH88:CK88)</f>
        <v>18058.893143149864</v>
      </c>
      <c r="DN88" s="486">
        <f>SUM(CL88:CO88)</f>
        <v>19712.258072083467</v>
      </c>
      <c r="DO88" s="550"/>
    </row>
    <row r="89" spans="1:119">
      <c r="A89" s="578" t="s">
        <v>223</v>
      </c>
      <c r="AA89" s="488">
        <f t="shared" ref="AA89:CL89" si="141">AA88/Z88-1</f>
        <v>-0.10891090547421023</v>
      </c>
      <c r="AB89" s="488">
        <f t="shared" si="141"/>
        <v>0.26606500228793517</v>
      </c>
      <c r="AC89" s="488">
        <f t="shared" si="141"/>
        <v>0.22308179475388501</v>
      </c>
      <c r="AD89" s="488">
        <f t="shared" si="141"/>
        <v>-9.0569765381478096E-2</v>
      </c>
      <c r="AE89" s="488">
        <f t="shared" si="141"/>
        <v>0.12561527833298003</v>
      </c>
      <c r="AF89" s="488">
        <f t="shared" si="141"/>
        <v>0.15086932833832845</v>
      </c>
      <c r="AG89" s="488">
        <f t="shared" si="141"/>
        <v>6.4602495712788421E-2</v>
      </c>
      <c r="AH89" s="488">
        <f t="shared" si="141"/>
        <v>-0.15163043563990353</v>
      </c>
      <c r="AI89" s="488">
        <f t="shared" si="141"/>
        <v>0.13695798793022718</v>
      </c>
      <c r="AJ89" s="488">
        <f t="shared" si="141"/>
        <v>0.592011951199513</v>
      </c>
      <c r="AK89" s="488">
        <f t="shared" si="141"/>
        <v>8.3756956762507828E-2</v>
      </c>
      <c r="AL89" s="488">
        <f t="shared" si="141"/>
        <v>-0.23814416416787598</v>
      </c>
      <c r="AM89" s="488">
        <f t="shared" si="141"/>
        <v>0.15451825136183683</v>
      </c>
      <c r="AN89" s="488">
        <f t="shared" si="141"/>
        <v>0.31667587585898893</v>
      </c>
      <c r="AO89" s="488">
        <f t="shared" si="141"/>
        <v>0.11366520515735923</v>
      </c>
      <c r="AP89" s="488">
        <f t="shared" si="141"/>
        <v>-9.034519831175869E-3</v>
      </c>
      <c r="AQ89" s="488">
        <f t="shared" si="141"/>
        <v>4.7433338089718724E-2</v>
      </c>
      <c r="AR89" s="488">
        <f t="shared" si="141"/>
        <v>-2.2725222990554683E-2</v>
      </c>
      <c r="AS89" s="488">
        <f t="shared" si="141"/>
        <v>-0.45919012157737438</v>
      </c>
      <c r="AT89" s="488">
        <f t="shared" si="141"/>
        <v>0.10655455478346565</v>
      </c>
      <c r="AU89" s="488">
        <f t="shared" si="141"/>
        <v>0.24385545141719533</v>
      </c>
      <c r="AV89" s="488">
        <f t="shared" si="141"/>
        <v>0.26355811457332345</v>
      </c>
      <c r="AW89" s="488">
        <f t="shared" si="141"/>
        <v>-0.10082401719316614</v>
      </c>
      <c r="AX89" s="488">
        <f t="shared" si="141"/>
        <v>-0.10241047467881459</v>
      </c>
      <c r="AY89" s="488">
        <f t="shared" si="141"/>
        <v>0.23542791794221762</v>
      </c>
      <c r="AZ89" s="488">
        <f t="shared" si="141"/>
        <v>0.37285978171514689</v>
      </c>
      <c r="BA89" s="488">
        <f t="shared" si="141"/>
        <v>9.8749099244325844E-2</v>
      </c>
      <c r="BB89" s="488">
        <f t="shared" si="141"/>
        <v>0.10658803497220748</v>
      </c>
      <c r="BC89" s="488">
        <f t="shared" si="141"/>
        <v>0.10873690629876731</v>
      </c>
      <c r="BD89" s="488">
        <f t="shared" si="141"/>
        <v>5.237899791252798E-2</v>
      </c>
      <c r="BE89" s="488">
        <f t="shared" si="141"/>
        <v>6.1761509331141884E-2</v>
      </c>
      <c r="BF89" s="488">
        <f t="shared" si="141"/>
        <v>5.8421309695533719E-2</v>
      </c>
      <c r="BG89" s="488">
        <f t="shared" si="141"/>
        <v>-0.43598132440951132</v>
      </c>
      <c r="BH89" s="488">
        <f t="shared" si="141"/>
        <v>-0.22936178178049094</v>
      </c>
      <c r="BI89" s="488">
        <f t="shared" si="141"/>
        <v>0.16361847390591744</v>
      </c>
      <c r="BJ89" s="488">
        <f t="shared" si="141"/>
        <v>0.22327329757735859</v>
      </c>
      <c r="BK89" s="488">
        <f t="shared" si="141"/>
        <v>0.11006436810949816</v>
      </c>
      <c r="BL89" s="488">
        <f t="shared" si="141"/>
        <v>0.14865263023145148</v>
      </c>
      <c r="BM89" s="488">
        <f t="shared" si="141"/>
        <v>3.2166551215324635E-3</v>
      </c>
      <c r="BN89" s="488">
        <f t="shared" si="141"/>
        <v>-7.6091979639209661E-2</v>
      </c>
      <c r="BO89" s="488">
        <f t="shared" si="141"/>
        <v>8.7999756899702186E-2</v>
      </c>
      <c r="BP89" s="488">
        <f t="shared" si="141"/>
        <v>0.13826020748864964</v>
      </c>
      <c r="BQ89" s="488">
        <f t="shared" si="141"/>
        <v>-0.22384985183467909</v>
      </c>
      <c r="BR89" s="488">
        <f t="shared" si="141"/>
        <v>0.47908260029782168</v>
      </c>
      <c r="BS89" s="488">
        <f t="shared" si="141"/>
        <v>0.13903684409034156</v>
      </c>
      <c r="BT89" s="488">
        <f t="shared" si="141"/>
        <v>-5.1196809963963696E-3</v>
      </c>
      <c r="BU89" s="488">
        <f t="shared" si="141"/>
        <v>-0.12603693605093669</v>
      </c>
      <c r="BV89" s="489">
        <f t="shared" si="141"/>
        <v>-7.9538743308474436E-2</v>
      </c>
      <c r="BW89" s="489">
        <f t="shared" si="141"/>
        <v>1.4055265077685508E-2</v>
      </c>
      <c r="BX89" s="489">
        <f t="shared" si="141"/>
        <v>4.4766728837654757E-2</v>
      </c>
      <c r="BY89" s="489">
        <f t="shared" si="141"/>
        <v>4.0036008062348749E-2</v>
      </c>
      <c r="BZ89" s="489">
        <f t="shared" si="141"/>
        <v>-7.1932500631039065E-2</v>
      </c>
      <c r="CA89" s="489">
        <f t="shared" si="141"/>
        <v>5.3091920224274114E-2</v>
      </c>
      <c r="CB89" s="489">
        <f t="shared" si="141"/>
        <v>7.7697917022998997E-2</v>
      </c>
      <c r="CC89" s="489">
        <f t="shared" si="141"/>
        <v>3.8134582328566813E-2</v>
      </c>
      <c r="CD89" s="489">
        <f t="shared" si="141"/>
        <v>-8.7897136937410525E-2</v>
      </c>
      <c r="CE89" s="489">
        <f t="shared" si="141"/>
        <v>5.2800182598597756E-2</v>
      </c>
      <c r="CF89" s="489">
        <f t="shared" si="141"/>
        <v>8.3724036044002137E-2</v>
      </c>
      <c r="CG89" s="489">
        <f t="shared" si="141"/>
        <v>4.8420391375032956E-2</v>
      </c>
      <c r="CH89" s="489">
        <f t="shared" si="141"/>
        <v>-8.7665880199750856E-2</v>
      </c>
      <c r="CI89" s="489">
        <f t="shared" si="141"/>
        <v>5.2567043091521493E-2</v>
      </c>
      <c r="CJ89" s="489">
        <f t="shared" si="141"/>
        <v>8.347937090755031E-2</v>
      </c>
      <c r="CK89" s="489">
        <f t="shared" si="141"/>
        <v>4.9001941029215734E-2</v>
      </c>
      <c r="CL89" s="489">
        <f t="shared" si="141"/>
        <v>-8.7456331351418504E-2</v>
      </c>
      <c r="CM89" s="489">
        <f t="shared" ref="CM89:CO89" si="142">CM88/CL88-1</f>
        <v>5.235589025485532E-2</v>
      </c>
      <c r="CN89" s="489">
        <f t="shared" si="142"/>
        <v>8.3257685834845496E-2</v>
      </c>
      <c r="CO89" s="489">
        <f t="shared" si="142"/>
        <v>4.9529095737901097E-2</v>
      </c>
      <c r="CQ89" s="511"/>
      <c r="CX89" s="488"/>
      <c r="CY89" s="488"/>
      <c r="CZ89" s="488"/>
      <c r="DA89" s="488"/>
      <c r="DB89" s="488"/>
      <c r="DC89" s="488"/>
      <c r="DD89" s="488"/>
      <c r="DE89" s="488"/>
      <c r="DF89" s="488"/>
      <c r="DG89" s="488"/>
      <c r="DH89" s="488"/>
      <c r="DI89" s="488"/>
      <c r="DJ89" s="489"/>
      <c r="DK89" s="489"/>
      <c r="DL89" s="489"/>
      <c r="DM89" s="489"/>
      <c r="DN89" s="489"/>
      <c r="DO89" s="550"/>
    </row>
    <row r="90" spans="1:119">
      <c r="A90" s="578" t="s">
        <v>225</v>
      </c>
      <c r="AA90" s="488"/>
      <c r="AB90" s="488"/>
      <c r="AC90" s="488"/>
      <c r="AD90" s="488">
        <f t="shared" ref="AD90:CO90" si="143">AD88/Z88-1</f>
        <v>0.2548794947954871</v>
      </c>
      <c r="AE90" s="488">
        <f t="shared" si="143"/>
        <v>0.58515185573028128</v>
      </c>
      <c r="AF90" s="488">
        <f t="shared" si="143"/>
        <v>0.44092337140812243</v>
      </c>
      <c r="AG90" s="488">
        <f t="shared" si="143"/>
        <v>0.25421752160136935</v>
      </c>
      <c r="AH90" s="488">
        <f t="shared" si="143"/>
        <v>0.17000725499310665</v>
      </c>
      <c r="AI90" s="488">
        <f t="shared" si="143"/>
        <v>0.18179729798160738</v>
      </c>
      <c r="AJ90" s="488">
        <f t="shared" si="143"/>
        <v>0.63479499883666501</v>
      </c>
      <c r="AK90" s="488">
        <f t="shared" si="143"/>
        <v>0.66420843460785117</v>
      </c>
      <c r="AL90" s="488">
        <f t="shared" si="143"/>
        <v>0.49449834271620774</v>
      </c>
      <c r="AM90" s="488">
        <f t="shared" si="143"/>
        <v>0.51758080035738763</v>
      </c>
      <c r="AN90" s="488">
        <f t="shared" si="143"/>
        <v>0.25511748073990215</v>
      </c>
      <c r="AO90" s="488">
        <f t="shared" si="143"/>
        <v>0.28975473510256577</v>
      </c>
      <c r="AP90" s="488">
        <f t="shared" si="143"/>
        <v>0.67761715571154357</v>
      </c>
      <c r="AQ90" s="488">
        <f t="shared" si="143"/>
        <v>0.52201330327241502</v>
      </c>
      <c r="AR90" s="488">
        <f t="shared" si="143"/>
        <v>0.12968213273488738</v>
      </c>
      <c r="AS90" s="488">
        <f t="shared" si="143"/>
        <v>-0.45141209940716298</v>
      </c>
      <c r="AT90" s="488">
        <f t="shared" si="143"/>
        <v>-0.38742322285869624</v>
      </c>
      <c r="AU90" s="488">
        <f t="shared" si="143"/>
        <v>-0.2725484897698367</v>
      </c>
      <c r="AV90" s="488">
        <f t="shared" si="143"/>
        <v>-5.944849868865687E-2</v>
      </c>
      <c r="AW90" s="488">
        <f t="shared" si="143"/>
        <v>0.56380523787541836</v>
      </c>
      <c r="AX90" s="488">
        <f t="shared" si="143"/>
        <v>0.26849163928845088</v>
      </c>
      <c r="AY90" s="488">
        <f t="shared" si="143"/>
        <v>0.2598971874647662</v>
      </c>
      <c r="AZ90" s="488">
        <f t="shared" si="143"/>
        <v>0.36888217314047012</v>
      </c>
      <c r="BA90" s="488">
        <f t="shared" si="143"/>
        <v>0.67270710458112548</v>
      </c>
      <c r="BB90" s="488">
        <f t="shared" si="143"/>
        <v>1.0621872423033611</v>
      </c>
      <c r="BC90" s="488">
        <f t="shared" si="143"/>
        <v>0.85071348156724547</v>
      </c>
      <c r="BD90" s="488">
        <f t="shared" si="143"/>
        <v>0.41868239210977176</v>
      </c>
      <c r="BE90" s="488">
        <f t="shared" si="143"/>
        <v>0.37092477158248283</v>
      </c>
      <c r="BF90" s="488">
        <f t="shared" si="143"/>
        <v>0.31125219718178587</v>
      </c>
      <c r="BG90" s="488">
        <f t="shared" si="143"/>
        <v>-0.33296102671601724</v>
      </c>
      <c r="BH90" s="488">
        <f t="shared" si="143"/>
        <v>-0.51153935333735545</v>
      </c>
      <c r="BI90" s="488">
        <f t="shared" si="143"/>
        <v>-0.4646803192265494</v>
      </c>
      <c r="BJ90" s="488">
        <f t="shared" si="143"/>
        <v>-0.38130282793893266</v>
      </c>
      <c r="BK90" s="488">
        <f t="shared" si="143"/>
        <v>0.21767897957647708</v>
      </c>
      <c r="BL90" s="488">
        <f t="shared" si="143"/>
        <v>0.81497637879888596</v>
      </c>
      <c r="BM90" s="488">
        <f t="shared" si="143"/>
        <v>0.56478654532811134</v>
      </c>
      <c r="BN90" s="488">
        <f t="shared" si="143"/>
        <v>0.18184451687491343</v>
      </c>
      <c r="BO90" s="488">
        <f t="shared" si="143"/>
        <v>0.15835314058681171</v>
      </c>
      <c r="BP90" s="488">
        <f t="shared" si="143"/>
        <v>0.14787295257731325</v>
      </c>
      <c r="BQ90" s="488">
        <f t="shared" si="143"/>
        <v>-0.11193483713653329</v>
      </c>
      <c r="BR90" s="488">
        <f t="shared" si="143"/>
        <v>0.42170183760183022</v>
      </c>
      <c r="BS90" s="488">
        <f t="shared" si="143"/>
        <v>0.48839258838980659</v>
      </c>
      <c r="BT90" s="488">
        <f t="shared" si="143"/>
        <v>0.30090860015820775</v>
      </c>
      <c r="BU90" s="488">
        <f t="shared" si="143"/>
        <v>0.46485324881981871</v>
      </c>
      <c r="BV90" s="489">
        <f t="shared" si="143"/>
        <v>-8.8393939590758364E-2</v>
      </c>
      <c r="BW90" s="489">
        <f t="shared" si="143"/>
        <v>-0.18842052385673413</v>
      </c>
      <c r="BX90" s="489">
        <f t="shared" si="143"/>
        <v>-0.14772539140066554</v>
      </c>
      <c r="BY90" s="489">
        <f t="shared" si="143"/>
        <v>1.422625081580553E-2</v>
      </c>
      <c r="BZ90" s="489">
        <f t="shared" si="143"/>
        <v>2.2607321651159307E-2</v>
      </c>
      <c r="CA90" s="489">
        <f t="shared" si="143"/>
        <v>6.1973193256406489E-2</v>
      </c>
      <c r="CB90" s="489">
        <f t="shared" si="143"/>
        <v>9.5446731520613337E-2</v>
      </c>
      <c r="CC90" s="489">
        <f t="shared" si="143"/>
        <v>9.3444002202441867E-2</v>
      </c>
      <c r="CD90" s="489">
        <f t="shared" si="143"/>
        <v>7.4634555876162079E-2</v>
      </c>
      <c r="CE90" s="489">
        <f t="shared" si="143"/>
        <v>7.4336850302906488E-2</v>
      </c>
      <c r="CF90" s="489">
        <f t="shared" si="143"/>
        <v>8.0344175385670624E-2</v>
      </c>
      <c r="CG90" s="489">
        <f t="shared" si="143"/>
        <v>9.1048195925621966E-2</v>
      </c>
      <c r="CH90" s="489">
        <f t="shared" si="143"/>
        <v>9.132482289023014E-2</v>
      </c>
      <c r="CI90" s="489">
        <f t="shared" si="143"/>
        <v>9.1083152214755048E-2</v>
      </c>
      <c r="CJ90" s="489">
        <f t="shared" si="143"/>
        <v>9.0836825659803555E-2</v>
      </c>
      <c r="CK90" s="489">
        <f t="shared" si="143"/>
        <v>9.1441903340427899E-2</v>
      </c>
      <c r="CL90" s="489">
        <f t="shared" si="143"/>
        <v>9.1692590439488297E-2</v>
      </c>
      <c r="CM90" s="489">
        <f t="shared" si="143"/>
        <v>9.1473588724821697E-2</v>
      </c>
      <c r="CN90" s="489">
        <f t="shared" si="143"/>
        <v>9.1250267996833001E-2</v>
      </c>
      <c r="CO90" s="489">
        <f t="shared" si="143"/>
        <v>9.179865374773466E-2</v>
      </c>
      <c r="CQ90" s="511"/>
      <c r="CX90" s="488"/>
      <c r="CY90" s="488">
        <f t="shared" ref="CY90:DK90" si="144">CY88/CX88-1</f>
        <v>0.36928402294886831</v>
      </c>
      <c r="CZ90" s="488">
        <f t="shared" si="144"/>
        <v>0.44019294468401338</v>
      </c>
      <c r="DA90" s="488">
        <f t="shared" si="144"/>
        <v>0.35763422589827365</v>
      </c>
      <c r="DB90" s="488">
        <f t="shared" si="144"/>
        <v>0.132876740422746</v>
      </c>
      <c r="DC90" s="488">
        <f t="shared" si="144"/>
        <v>-0.11632460792919663</v>
      </c>
      <c r="DD90" s="488">
        <f t="shared" si="144"/>
        <v>0.40587363021841405</v>
      </c>
      <c r="DE90" s="488">
        <f t="shared" si="144"/>
        <v>0.60647177102032934</v>
      </c>
      <c r="DF90" s="488">
        <f t="shared" si="144"/>
        <v>-0.27256302211220185</v>
      </c>
      <c r="DG90" s="488">
        <f t="shared" si="144"/>
        <v>0.15227260090943173</v>
      </c>
      <c r="DH90" s="488">
        <f t="shared" si="144"/>
        <v>8.639872217441269E-2</v>
      </c>
      <c r="DI90" s="488">
        <f t="shared" si="144"/>
        <v>0.41340898317725649</v>
      </c>
      <c r="DJ90" s="489">
        <f t="shared" si="144"/>
        <v>-0.10705281727932381</v>
      </c>
      <c r="DK90" s="489">
        <f t="shared" si="144"/>
        <v>6.9343639145454494E-2</v>
      </c>
      <c r="DL90" s="489">
        <f>DL88/DK88-1</f>
        <v>8.0475990851595292E-2</v>
      </c>
      <c r="DM90" s="489">
        <f>DM88/DL88-1</f>
        <v>9.1171937156924621E-2</v>
      </c>
      <c r="DN90" s="489">
        <f>DN88/DM88-1</f>
        <v>9.1554056819964202E-2</v>
      </c>
      <c r="DO90" s="550"/>
    </row>
    <row r="91" spans="1:119">
      <c r="A91" s="578"/>
      <c r="CQ91" s="511"/>
      <c r="DE91" s="483"/>
      <c r="DF91" s="483"/>
      <c r="DG91" s="483"/>
      <c r="DH91" s="483"/>
      <c r="DI91" s="483"/>
      <c r="DO91" s="550"/>
    </row>
  </sheetData>
  <pageMargins left="0.7" right="0.7" top="0.75" bottom="0.75" header="0.3" footer="0.3"/>
  <pageSetup orientation="portrait" r:id="rId1"/>
  <customProperties>
    <customPr name="Qube.Worksheet.Visibility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E9354-52A1-43D7-85DF-E8C8FA9F6EC4}">
  <sheetPr>
    <tabColor rgb="FF92D050"/>
    <pageSetUpPr autoPageBreaks="0" fitToPage="1"/>
  </sheetPr>
  <dimension ref="A1:DB21"/>
  <sheetViews>
    <sheetView zoomScaleNormal="100" workbookViewId="0">
      <pane xSplit="1" ySplit="2" topLeftCell="AT3" activePane="bottomRight" state="frozen"/>
      <selection activeCell="F32" sqref="F32"/>
      <selection pane="topRight" activeCell="F32" sqref="F32"/>
      <selection pane="bottomLeft" activeCell="F32" sqref="F32"/>
      <selection pane="bottomRight"/>
    </sheetView>
  </sheetViews>
  <sheetFormatPr defaultColWidth="9.140625" defaultRowHeight="12.75" outlineLevelCol="1"/>
  <cols>
    <col min="1" max="1" width="36" style="483" bestFit="1" customWidth="1"/>
    <col min="2" max="8" width="7.42578125" style="483" bestFit="1" customWidth="1"/>
    <col min="9" max="9" width="7.7109375" style="483" bestFit="1" customWidth="1"/>
    <col min="10" max="10" width="6.85546875" style="483" bestFit="1" customWidth="1"/>
    <col min="11" max="11" width="7.7109375" style="483" bestFit="1" customWidth="1"/>
    <col min="12" max="13" width="6.85546875" style="483" bestFit="1" customWidth="1"/>
    <col min="14" max="14" width="8.85546875" style="483" bestFit="1" customWidth="1"/>
    <col min="15" max="17" width="7.7109375" style="483" bestFit="1" customWidth="1"/>
    <col min="18" max="18" width="6.85546875" style="483" bestFit="1" customWidth="1"/>
    <col min="19" max="23" width="7.7109375" style="483" bestFit="1" customWidth="1"/>
    <col min="24" max="27" width="7.28515625" style="483" bestFit="1" customWidth="1"/>
    <col min="28" max="28" width="9.5703125" style="483" bestFit="1" customWidth="1"/>
    <col min="29" max="32" width="6.85546875" style="483" bestFit="1" customWidth="1"/>
    <col min="33" max="33" width="8.42578125" style="483" customWidth="1"/>
    <col min="34" max="34" width="6.85546875" style="483" bestFit="1" customWidth="1"/>
    <col min="35" max="69" width="8.42578125" style="483" customWidth="1"/>
    <col min="70" max="70" width="1.85546875" style="483" customWidth="1"/>
    <col min="71" max="72" width="7.7109375" style="479" hidden="1" customWidth="1" outlineLevel="1"/>
    <col min="73" max="74" width="6.85546875" style="479" hidden="1" customWidth="1" outlineLevel="1"/>
    <col min="75" max="75" width="6.7109375" style="479" bestFit="1" customWidth="1" collapsed="1"/>
    <col min="76" max="76" width="7" style="479" bestFit="1" customWidth="1"/>
    <col min="77" max="77" width="7.28515625" style="479" bestFit="1" customWidth="1"/>
    <col min="78" max="78" width="7" style="479" bestFit="1" customWidth="1"/>
    <col min="79" max="79" width="7.28515625" style="479" bestFit="1" customWidth="1"/>
    <col min="80" max="82" width="7.5703125" style="479" bestFit="1" customWidth="1"/>
    <col min="83" max="87" width="7.28515625" style="479" customWidth="1"/>
    <col min="88" max="88" width="2" style="483" customWidth="1"/>
    <col min="89" max="89" width="8.28515625" style="483" bestFit="1" customWidth="1"/>
    <col min="90" max="90" width="8.140625" style="483" bestFit="1" customWidth="1"/>
    <col min="91" max="91" width="7.140625" style="483" bestFit="1" customWidth="1"/>
    <col min="92" max="92" width="9.28515625" style="483" bestFit="1" customWidth="1"/>
    <col min="93" max="103" width="9.140625" style="483"/>
    <col min="104" max="104" width="27.7109375" style="483" bestFit="1" customWidth="1"/>
    <col min="105" max="16384" width="9.140625" style="483"/>
  </cols>
  <sheetData>
    <row r="1" spans="1:106">
      <c r="J1" s="579"/>
      <c r="K1" s="579"/>
      <c r="L1" s="579"/>
      <c r="M1" s="579"/>
      <c r="N1" s="579"/>
      <c r="O1" s="579"/>
      <c r="P1" s="579"/>
      <c r="Q1" s="579"/>
      <c r="R1" s="579"/>
      <c r="S1" s="579"/>
      <c r="T1" s="579"/>
      <c r="U1" s="579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484"/>
      <c r="AW1" s="484"/>
      <c r="AX1" s="484"/>
      <c r="AY1" s="484"/>
      <c r="AZ1" s="484"/>
      <c r="BA1" s="484"/>
      <c r="BB1" s="484"/>
      <c r="BC1" s="484"/>
      <c r="BD1" s="484"/>
      <c r="BE1" s="484"/>
      <c r="BF1" s="484"/>
      <c r="BG1" s="484"/>
      <c r="BH1" s="484"/>
      <c r="BI1" s="484"/>
      <c r="BJ1" s="484"/>
      <c r="BK1" s="484"/>
      <c r="BL1" s="484"/>
      <c r="BM1" s="484"/>
      <c r="BN1" s="484"/>
      <c r="BO1" s="484"/>
      <c r="BP1" s="484"/>
      <c r="BQ1" s="484"/>
    </row>
    <row r="2" spans="1:106" s="479" customFormat="1">
      <c r="A2" s="580"/>
      <c r="B2" s="581" t="str">
        <f>Worksheet!BB3</f>
        <v>1Q14</v>
      </c>
      <c r="C2" s="581" t="str">
        <f>Worksheet!BC3</f>
        <v>2Q14</v>
      </c>
      <c r="D2" s="581" t="str">
        <f>Worksheet!BD3</f>
        <v>3Q14</v>
      </c>
      <c r="E2" s="581" t="str">
        <f>Worksheet!BE3</f>
        <v>4Q14</v>
      </c>
      <c r="F2" s="581" t="str">
        <f>Worksheet!BF3</f>
        <v>1Q15</v>
      </c>
      <c r="G2" s="581" t="str">
        <f>Worksheet!BG3</f>
        <v>2Q15</v>
      </c>
      <c r="H2" s="581" t="str">
        <f>Worksheet!BH3</f>
        <v>3Q15</v>
      </c>
      <c r="I2" s="581" t="str">
        <f>Worksheet!BI3</f>
        <v>4Q15</v>
      </c>
      <c r="J2" s="581" t="str">
        <f>Worksheet!BJ3</f>
        <v>1Q16</v>
      </c>
      <c r="K2" s="581" t="str">
        <f>Worksheet!BK3</f>
        <v>2Q16</v>
      </c>
      <c r="L2" s="581" t="str">
        <f>Worksheet!BL3</f>
        <v>3Q16</v>
      </c>
      <c r="M2" s="581" t="str">
        <f>Worksheet!BM3</f>
        <v>4Q16</v>
      </c>
      <c r="N2" s="581" t="str">
        <f>Worksheet!BN3</f>
        <v>1Q17</v>
      </c>
      <c r="O2" s="581" t="str">
        <f>Worksheet!BO3</f>
        <v>2Q17</v>
      </c>
      <c r="P2" s="581" t="str">
        <f>Worksheet!BP3</f>
        <v>3Q17</v>
      </c>
      <c r="Q2" s="581" t="str">
        <f>Worksheet!BQ3</f>
        <v>4Q17</v>
      </c>
      <c r="R2" s="581" t="str">
        <f>Worksheet!BR3</f>
        <v>1Q18</v>
      </c>
      <c r="S2" s="581" t="str">
        <f>Worksheet!BS3</f>
        <v>2Q18</v>
      </c>
      <c r="T2" s="581" t="str">
        <f>Worksheet!BT3</f>
        <v>3Q18</v>
      </c>
      <c r="U2" s="581" t="str">
        <f>Worksheet!BU3</f>
        <v>4Q18</v>
      </c>
      <c r="V2" s="581" t="str">
        <f>Worksheet!BV3</f>
        <v>1Q19</v>
      </c>
      <c r="W2" s="581" t="str">
        <f>Worksheet!BW3</f>
        <v>2Q19</v>
      </c>
      <c r="X2" s="581" t="str">
        <f>Worksheet!BX3</f>
        <v>3Q19</v>
      </c>
      <c r="Y2" s="581" t="str">
        <f>Worksheet!BY3</f>
        <v>4Q19</v>
      </c>
      <c r="Z2" s="581" t="str">
        <f>Worksheet!BZ3</f>
        <v>1Q20</v>
      </c>
      <c r="AA2" s="581" t="str">
        <f>Worksheet!CA3</f>
        <v>2Q20</v>
      </c>
      <c r="AB2" s="581" t="str">
        <f>Worksheet!CB3</f>
        <v>3Q20</v>
      </c>
      <c r="AC2" s="581" t="str">
        <f>Worksheet!CC3</f>
        <v>4Q20</v>
      </c>
      <c r="AD2" s="581" t="str">
        <f>Worksheet!CD3</f>
        <v>1Q21</v>
      </c>
      <c r="AE2" s="581" t="str">
        <f>Worksheet!CE3</f>
        <v>2Q21</v>
      </c>
      <c r="AF2" s="581" t="str">
        <f>Worksheet!CF3</f>
        <v>3Q21</v>
      </c>
      <c r="AG2" s="581" t="str">
        <f>Worksheet!CG3</f>
        <v>4Q21</v>
      </c>
      <c r="AH2" s="581" t="str">
        <f>Worksheet!CH3</f>
        <v>1Q22</v>
      </c>
      <c r="AI2" s="581" t="str">
        <f>Worksheet!CI3</f>
        <v>2Q22</v>
      </c>
      <c r="AJ2" s="581" t="str">
        <f>Worksheet!CJ3</f>
        <v>3Q22</v>
      </c>
      <c r="AK2" s="581" t="str">
        <f>Worksheet!CK3</f>
        <v>4Q22</v>
      </c>
      <c r="AL2" s="581" t="str">
        <f>Worksheet!CL3</f>
        <v>1Q23</v>
      </c>
      <c r="AM2" s="581" t="str">
        <f>Worksheet!CM3</f>
        <v>2Q23</v>
      </c>
      <c r="AN2" s="581" t="str">
        <f>Worksheet!CN3</f>
        <v>3Q23</v>
      </c>
      <c r="AO2" s="581" t="str">
        <f>Worksheet!CO3</f>
        <v>4Q23</v>
      </c>
      <c r="AP2" s="581" t="str">
        <f>Worksheet!CP3</f>
        <v>1Q24</v>
      </c>
      <c r="AQ2" s="581" t="str">
        <f>Worksheet!CQ3</f>
        <v>2Q24</v>
      </c>
      <c r="AR2" s="581" t="str">
        <f>Worksheet!CR3</f>
        <v>3Q24</v>
      </c>
      <c r="AS2" s="581" t="str">
        <f>Worksheet!CS3</f>
        <v>4Q24</v>
      </c>
      <c r="AT2" s="581" t="str">
        <f>Worksheet!CT3</f>
        <v>1Q25</v>
      </c>
      <c r="AU2" s="581" t="str">
        <f>Worksheet!CU3</f>
        <v>2Q25</v>
      </c>
      <c r="AV2" s="581" t="str">
        <f>Worksheet!CV3</f>
        <v>3Q25</v>
      </c>
      <c r="AW2" s="581" t="str">
        <f>Worksheet!CW3</f>
        <v>4Q25</v>
      </c>
      <c r="AX2" s="581" t="str">
        <f>Worksheet!CX3</f>
        <v>1Q26</v>
      </c>
      <c r="AY2" s="581" t="str">
        <f>Worksheet!CY3</f>
        <v>2Q26E</v>
      </c>
      <c r="AZ2" s="581" t="str">
        <f>Worksheet!CZ3</f>
        <v>3Q26E</v>
      </c>
      <c r="BA2" s="581" t="str">
        <f>Worksheet!DA3</f>
        <v>4Q26E</v>
      </c>
      <c r="BB2" s="581" t="str">
        <f>Worksheet!DB3</f>
        <v>1Q27E</v>
      </c>
      <c r="BC2" s="581" t="str">
        <f>Worksheet!DC3</f>
        <v>2Q27E</v>
      </c>
      <c r="BD2" s="581" t="str">
        <f>Worksheet!DD3</f>
        <v>3Q27E</v>
      </c>
      <c r="BE2" s="581" t="str">
        <f>Worksheet!DE3</f>
        <v>4Q27E</v>
      </c>
      <c r="BF2" s="581" t="str">
        <f>Worksheet!DF3</f>
        <v>1Q28E</v>
      </c>
      <c r="BG2" s="581" t="str">
        <f>Worksheet!DG3</f>
        <v>2Q28E</v>
      </c>
      <c r="BH2" s="581" t="str">
        <f>Worksheet!DH3</f>
        <v>3Q28E</v>
      </c>
      <c r="BI2" s="581" t="str">
        <f>Worksheet!DI3</f>
        <v>4Q28E</v>
      </c>
      <c r="BJ2" s="581" t="str">
        <f>Worksheet!DJ3</f>
        <v>1Q29E</v>
      </c>
      <c r="BK2" s="581" t="str">
        <f>Worksheet!DK3</f>
        <v>2Q29E</v>
      </c>
      <c r="BL2" s="581" t="str">
        <f>Worksheet!DL3</f>
        <v>3Q29E</v>
      </c>
      <c r="BM2" s="581" t="str">
        <f>Worksheet!DM3</f>
        <v>4Q29E</v>
      </c>
      <c r="BN2" s="581" t="str">
        <f>Worksheet!DN3</f>
        <v>1Q30E</v>
      </c>
      <c r="BO2" s="581" t="str">
        <f>Worksheet!DO3</f>
        <v>2Q30E</v>
      </c>
      <c r="BP2" s="581" t="str">
        <f>Worksheet!DP3</f>
        <v>3Q30E</v>
      </c>
      <c r="BQ2" s="581" t="str">
        <f>Worksheet!DQ3</f>
        <v>4Q30E</v>
      </c>
      <c r="BR2" s="582"/>
      <c r="BS2" s="581">
        <v>2014</v>
      </c>
      <c r="BT2" s="581">
        <f>BS2+1</f>
        <v>2015</v>
      </c>
      <c r="BU2" s="581">
        <v>2016</v>
      </c>
      <c r="BV2" s="581">
        <v>2017</v>
      </c>
      <c r="BW2" s="581">
        <v>2018</v>
      </c>
      <c r="BX2" s="581">
        <v>2019</v>
      </c>
      <c r="BY2" s="581">
        <v>2020</v>
      </c>
      <c r="BZ2" s="581">
        <v>2021</v>
      </c>
      <c r="CA2" s="581">
        <v>2022</v>
      </c>
      <c r="CB2" s="581">
        <v>2023</v>
      </c>
      <c r="CC2" s="581">
        <v>2024</v>
      </c>
      <c r="CD2" s="581">
        <v>2025</v>
      </c>
      <c r="CE2" s="581" t="s">
        <v>217</v>
      </c>
      <c r="CF2" s="581" t="s">
        <v>218</v>
      </c>
      <c r="CG2" s="581" t="s">
        <v>219</v>
      </c>
      <c r="CH2" s="581" t="s">
        <v>220</v>
      </c>
      <c r="CI2" s="581" t="s">
        <v>221</v>
      </c>
    </row>
    <row r="3" spans="1:106" s="479" customFormat="1">
      <c r="A3" s="583" t="s">
        <v>611</v>
      </c>
      <c r="B3" s="581"/>
      <c r="C3" s="581"/>
      <c r="D3" s="581"/>
      <c r="E3" s="581"/>
      <c r="F3" s="581"/>
      <c r="G3" s="581"/>
      <c r="H3" s="581"/>
      <c r="I3" s="581"/>
      <c r="J3" s="581"/>
      <c r="K3" s="581"/>
      <c r="L3" s="581"/>
      <c r="M3" s="581"/>
      <c r="N3" s="586"/>
      <c r="O3" s="586"/>
      <c r="P3" s="586"/>
      <c r="Q3" s="586"/>
      <c r="R3" s="586"/>
      <c r="S3" s="586"/>
      <c r="T3" s="587"/>
      <c r="U3" s="587"/>
      <c r="V3" s="587"/>
      <c r="W3" s="588"/>
      <c r="X3" s="588"/>
      <c r="Y3" s="588"/>
      <c r="Z3" s="588"/>
      <c r="AA3" s="588"/>
      <c r="AB3" s="588"/>
      <c r="AC3" s="588"/>
      <c r="AD3" s="588"/>
      <c r="AE3" s="588"/>
      <c r="AF3" s="588"/>
      <c r="AG3" s="589"/>
      <c r="AH3" s="589"/>
      <c r="AI3" s="589"/>
      <c r="AJ3" s="589"/>
      <c r="AK3" s="589"/>
      <c r="AL3" s="589"/>
      <c r="AM3" s="589"/>
      <c r="AN3" s="589"/>
      <c r="AO3" s="589"/>
      <c r="AP3" s="589"/>
      <c r="AQ3" s="589"/>
      <c r="AR3" s="589"/>
      <c r="AS3" s="589"/>
      <c r="AT3" s="589"/>
      <c r="AU3" s="589"/>
      <c r="AV3" s="589"/>
      <c r="AW3" s="589"/>
      <c r="AX3" s="589"/>
      <c r="AY3" s="589"/>
      <c r="AZ3" s="589"/>
      <c r="BA3" s="589"/>
      <c r="BB3" s="589"/>
      <c r="BC3" s="589"/>
      <c r="BD3" s="589"/>
      <c r="BE3" s="589"/>
      <c r="BF3" s="589"/>
      <c r="BG3" s="589"/>
      <c r="BH3" s="589"/>
      <c r="BI3" s="589"/>
      <c r="BJ3" s="589"/>
      <c r="BK3" s="589"/>
      <c r="BL3" s="589"/>
      <c r="BM3" s="589"/>
      <c r="BN3" s="589"/>
      <c r="BO3" s="589"/>
      <c r="BP3" s="589"/>
      <c r="BQ3" s="589"/>
      <c r="BR3" s="582"/>
      <c r="BS3" s="581">
        <f t="shared" ref="BS3:CI3" si="0">BS2</f>
        <v>2014</v>
      </c>
      <c r="BT3" s="581">
        <f t="shared" si="0"/>
        <v>2015</v>
      </c>
      <c r="BU3" s="581">
        <f t="shared" si="0"/>
        <v>2016</v>
      </c>
      <c r="BV3" s="581">
        <f t="shared" si="0"/>
        <v>2017</v>
      </c>
      <c r="BW3" s="581">
        <f t="shared" si="0"/>
        <v>2018</v>
      </c>
      <c r="BX3" s="581">
        <f t="shared" si="0"/>
        <v>2019</v>
      </c>
      <c r="BY3" s="581">
        <f t="shared" si="0"/>
        <v>2020</v>
      </c>
      <c r="BZ3" s="581">
        <f t="shared" si="0"/>
        <v>2021</v>
      </c>
      <c r="CA3" s="581">
        <f t="shared" si="0"/>
        <v>2022</v>
      </c>
      <c r="CB3" s="581">
        <f t="shared" si="0"/>
        <v>2023</v>
      </c>
      <c r="CC3" s="581">
        <f t="shared" si="0"/>
        <v>2024</v>
      </c>
      <c r="CD3" s="581">
        <f t="shared" si="0"/>
        <v>2025</v>
      </c>
      <c r="CE3" s="581" t="str">
        <f t="shared" si="0"/>
        <v>2026E</v>
      </c>
      <c r="CF3" s="581" t="str">
        <f t="shared" si="0"/>
        <v>2027E</v>
      </c>
      <c r="CG3" s="581" t="str">
        <f t="shared" si="0"/>
        <v>2028E</v>
      </c>
      <c r="CH3" s="581" t="str">
        <f t="shared" si="0"/>
        <v>2029E</v>
      </c>
      <c r="CI3" s="581" t="str">
        <f t="shared" si="0"/>
        <v>2030E</v>
      </c>
    </row>
    <row r="4" spans="1:106" s="482" customFormat="1">
      <c r="A4" s="590" t="s">
        <v>612</v>
      </c>
      <c r="B4" s="590"/>
      <c r="C4" s="590"/>
      <c r="D4" s="590"/>
      <c r="E4" s="590"/>
      <c r="F4" s="590"/>
      <c r="G4" s="590"/>
      <c r="H4" s="590"/>
      <c r="I4" s="590"/>
      <c r="J4" s="590"/>
      <c r="K4" s="590"/>
      <c r="L4" s="590"/>
      <c r="M4" s="590"/>
      <c r="N4" s="590"/>
      <c r="O4" s="590"/>
      <c r="P4" s="590"/>
      <c r="Q4" s="590"/>
      <c r="R4" s="590"/>
      <c r="S4" s="590"/>
      <c r="T4" s="591"/>
      <c r="U4" s="591"/>
      <c r="V4" s="591"/>
      <c r="W4" s="590"/>
      <c r="X4" s="590"/>
      <c r="Y4" s="590"/>
      <c r="Z4" s="590"/>
      <c r="AA4" s="590"/>
      <c r="AB4" s="590"/>
      <c r="AC4" s="590"/>
      <c r="AD4" s="590"/>
      <c r="AE4" s="590"/>
      <c r="AF4" s="590"/>
      <c r="AG4" s="592"/>
      <c r="AH4" s="592"/>
      <c r="AI4" s="592"/>
      <c r="AJ4" s="592"/>
      <c r="AK4" s="592"/>
      <c r="AL4" s="592"/>
      <c r="AM4" s="592"/>
      <c r="AN4" s="592"/>
      <c r="AO4" s="592"/>
      <c r="AP4" s="592"/>
      <c r="AQ4" s="592"/>
      <c r="AR4" s="592"/>
      <c r="AS4" s="592"/>
      <c r="AT4" s="592"/>
      <c r="AU4" s="592"/>
      <c r="AV4" s="592"/>
      <c r="AW4" s="592"/>
      <c r="AX4" s="592"/>
      <c r="AY4" s="592"/>
      <c r="AZ4" s="592"/>
      <c r="BA4" s="592"/>
      <c r="BB4" s="592"/>
      <c r="BC4" s="592"/>
      <c r="BD4" s="592"/>
      <c r="BE4" s="592"/>
      <c r="BF4" s="592"/>
      <c r="BG4" s="592"/>
      <c r="BH4" s="592"/>
      <c r="BI4" s="592"/>
      <c r="BJ4" s="592"/>
      <c r="BK4" s="592"/>
      <c r="BL4" s="592"/>
      <c r="BM4" s="592"/>
      <c r="BN4" s="592"/>
      <c r="BO4" s="592"/>
      <c r="BP4" s="592"/>
      <c r="BQ4" s="592"/>
      <c r="BS4" s="593"/>
      <c r="BT4" s="593"/>
      <c r="BU4" s="593"/>
      <c r="BV4" s="593"/>
      <c r="BW4" s="593"/>
      <c r="BX4" s="593"/>
      <c r="BY4" s="593"/>
      <c r="BZ4" s="593"/>
      <c r="CA4" s="593"/>
      <c r="CB4" s="593"/>
      <c r="CC4" s="593"/>
      <c r="CD4" s="593"/>
      <c r="CE4" s="593"/>
      <c r="CF4" s="593"/>
      <c r="CG4" s="593"/>
      <c r="CH4" s="593"/>
      <c r="CI4" s="593"/>
      <c r="CL4" s="483"/>
      <c r="CM4" s="483"/>
      <c r="CN4" s="483"/>
      <c r="CO4" s="483"/>
      <c r="CP4" s="483"/>
      <c r="CQ4" s="483"/>
      <c r="CR4" s="483"/>
    </row>
    <row r="5" spans="1:106" s="484" customFormat="1">
      <c r="A5" s="485" t="s">
        <v>222</v>
      </c>
      <c r="B5" s="485">
        <v>34.875801721500004</v>
      </c>
      <c r="C5" s="485">
        <v>40.102841736249999</v>
      </c>
      <c r="D5" s="485">
        <v>51.981015929999998</v>
      </c>
      <c r="E5" s="485">
        <v>56.054626929000001</v>
      </c>
      <c r="F5" s="485">
        <v>76.699823151000004</v>
      </c>
      <c r="G5" s="485">
        <v>70.696658056499999</v>
      </c>
      <c r="H5" s="485">
        <v>79.052332671000002</v>
      </c>
      <c r="I5" s="485">
        <v>92.878306710000004</v>
      </c>
      <c r="J5" s="485">
        <v>112.06887110400001</v>
      </c>
      <c r="K5" s="485">
        <v>117.1259243999</v>
      </c>
      <c r="L5" s="485">
        <v>124.34427951950001</v>
      </c>
      <c r="M5" s="485">
        <v>124.227158467</v>
      </c>
      <c r="N5" s="485">
        <v>129.53943878749999</v>
      </c>
      <c r="O5" s="485">
        <v>132.76608332650005</v>
      </c>
      <c r="P5" s="485">
        <v>133.41667168838055</v>
      </c>
      <c r="Q5" s="485">
        <v>120.12330160023505</v>
      </c>
      <c r="R5" s="485">
        <v>126.05654792097455</v>
      </c>
      <c r="S5" s="485">
        <v>131.58308831356419</v>
      </c>
      <c r="T5" s="485">
        <v>117.90490046112845</v>
      </c>
      <c r="U5" s="485">
        <v>99.872095552957788</v>
      </c>
      <c r="V5" s="485">
        <v>102.40898771311804</v>
      </c>
      <c r="W5" s="485">
        <v>121.46308029655093</v>
      </c>
      <c r="X5" s="485">
        <v>66.353409385786918</v>
      </c>
      <c r="Y5" s="485">
        <v>52.888257619869108</v>
      </c>
      <c r="Z5" s="485">
        <v>51.476672947572098</v>
      </c>
      <c r="AA5" s="485">
        <v>28.093422987781061</v>
      </c>
      <c r="AB5" s="485">
        <v>45.128412230319313</v>
      </c>
      <c r="AC5" s="485">
        <v>42.66992421732045</v>
      </c>
      <c r="AD5" s="485">
        <v>37.298781469115092</v>
      </c>
      <c r="AE5" s="485">
        <v>23.99436455</v>
      </c>
      <c r="AF5" s="485">
        <v>25.614817867854811</v>
      </c>
      <c r="AG5" s="485">
        <f>AF5*(1+AG6)</f>
        <v>19.211113400891108</v>
      </c>
      <c r="AH5" s="485">
        <f t="shared" ref="AH5:BQ5" si="1">AG5*(1+AH6)</f>
        <v>16.32944639075744</v>
      </c>
      <c r="AI5" s="485">
        <f t="shared" si="1"/>
        <v>13.880029432143823</v>
      </c>
      <c r="AJ5" s="485">
        <f t="shared" si="1"/>
        <v>13.880029432143823</v>
      </c>
      <c r="AK5" s="485">
        <f t="shared" si="1"/>
        <v>13.880029432143823</v>
      </c>
      <c r="AL5" s="485">
        <f t="shared" si="1"/>
        <v>13.880029432143823</v>
      </c>
      <c r="AM5" s="485">
        <f t="shared" si="1"/>
        <v>13.186027960536631</v>
      </c>
      <c r="AN5" s="485">
        <f t="shared" si="1"/>
        <v>12.526726562509799</v>
      </c>
      <c r="AO5" s="485">
        <f t="shared" si="1"/>
        <v>12.526726562509799</v>
      </c>
      <c r="AP5" s="485">
        <f t="shared" si="1"/>
        <v>12.526726562509799</v>
      </c>
      <c r="AQ5" s="485">
        <f t="shared" si="1"/>
        <v>12.777261093759995</v>
      </c>
      <c r="AR5" s="485">
        <f t="shared" si="1"/>
        <v>12.777261093759995</v>
      </c>
      <c r="AS5" s="485">
        <f t="shared" si="1"/>
        <v>14.054987203135996</v>
      </c>
      <c r="AT5" s="485">
        <f t="shared" si="1"/>
        <v>13.633337587041915</v>
      </c>
      <c r="AU5" s="485">
        <f t="shared" si="1"/>
        <v>13.224337459430657</v>
      </c>
      <c r="AV5" s="485">
        <f t="shared" si="1"/>
        <v>12.959850710242044</v>
      </c>
      <c r="AW5" s="485">
        <f t="shared" si="1"/>
        <v>12.700653696037204</v>
      </c>
      <c r="AX5" s="485">
        <f t="shared" si="1"/>
        <v>12.319634085156087</v>
      </c>
      <c r="AY5" s="486">
        <f t="shared" si="1"/>
        <v>11.950045062601404</v>
      </c>
      <c r="AZ5" s="486">
        <f t="shared" si="1"/>
        <v>11.711044161349376</v>
      </c>
      <c r="BA5" s="486">
        <f t="shared" si="1"/>
        <v>11.476823278122389</v>
      </c>
      <c r="BB5" s="486">
        <f t="shared" si="1"/>
        <v>11.132518579778717</v>
      </c>
      <c r="BC5" s="486">
        <f t="shared" si="1"/>
        <v>10.798543022385354</v>
      </c>
      <c r="BD5" s="486">
        <f t="shared" si="1"/>
        <v>10.582572161937648</v>
      </c>
      <c r="BE5" s="486">
        <f t="shared" si="1"/>
        <v>10.370920718698894</v>
      </c>
      <c r="BF5" s="486">
        <f t="shared" si="1"/>
        <v>10.163502304324917</v>
      </c>
      <c r="BG5" s="486">
        <f t="shared" si="1"/>
        <v>9.9602322582384186</v>
      </c>
      <c r="BH5" s="486">
        <f t="shared" si="1"/>
        <v>9.7610276130736509</v>
      </c>
      <c r="BI5" s="486">
        <f t="shared" si="1"/>
        <v>9.5658070608121779</v>
      </c>
      <c r="BJ5" s="486">
        <f t="shared" si="1"/>
        <v>9.3744909195959334</v>
      </c>
      <c r="BK5" s="486">
        <f t="shared" si="1"/>
        <v>9.1870011012040145</v>
      </c>
      <c r="BL5" s="486">
        <f t="shared" si="1"/>
        <v>9.0032610791799339</v>
      </c>
      <c r="BM5" s="486">
        <f t="shared" si="1"/>
        <v>8.8231958575963354</v>
      </c>
      <c r="BN5" s="486">
        <f t="shared" si="1"/>
        <v>8.6467319404444094</v>
      </c>
      <c r="BO5" s="486">
        <f t="shared" si="1"/>
        <v>8.4737973016355213</v>
      </c>
      <c r="BP5" s="486">
        <f t="shared" si="1"/>
        <v>8.304321355602811</v>
      </c>
      <c r="BQ5" s="486">
        <f t="shared" si="1"/>
        <v>8.1382349284907551</v>
      </c>
      <c r="BR5" s="485"/>
      <c r="BS5" s="556">
        <f>SUM(B5:E5)</f>
        <v>183.01428631675</v>
      </c>
      <c r="BT5" s="556">
        <f>SUM(F5:I5)</f>
        <v>319.32712058850001</v>
      </c>
      <c r="BU5" s="556">
        <f>SUM(J5:M5)</f>
        <v>477.7662334904</v>
      </c>
      <c r="BV5" s="556">
        <f>SUM(N5:Q5)</f>
        <v>515.84549540261571</v>
      </c>
      <c r="BW5" s="556">
        <f>SUM(R5:U5)</f>
        <v>475.41663224862492</v>
      </c>
      <c r="BX5" s="556">
        <f>SUM(V5:Y5)</f>
        <v>343.11373501532501</v>
      </c>
      <c r="BY5" s="556">
        <f>SUM(Z5:AC5)</f>
        <v>167.36843238299292</v>
      </c>
      <c r="BZ5" s="556">
        <f>SUM(AD5:AG5)</f>
        <v>106.119077287861</v>
      </c>
      <c r="CA5" s="556">
        <f>+SUM(AH5:AK5)</f>
        <v>57.969534687188904</v>
      </c>
      <c r="CB5" s="556">
        <f>+SUM(AL5:AO5)</f>
        <v>52.119510517700057</v>
      </c>
      <c r="CC5" s="556">
        <f>+SUM(AP5:AS5)</f>
        <v>52.13623595316578</v>
      </c>
      <c r="CD5" s="556">
        <f>+SUM(AT5:AW5)</f>
        <v>52.518179452751824</v>
      </c>
      <c r="CE5" s="594">
        <f>SUM(AX5:BA5)</f>
        <v>47.45754658722926</v>
      </c>
      <c r="CF5" s="594">
        <f>SUM(BB5:BE5)</f>
        <v>42.88455448280061</v>
      </c>
      <c r="CG5" s="594">
        <f>SUM(BF5:BI5)</f>
        <v>39.450569236449162</v>
      </c>
      <c r="CH5" s="594">
        <f>SUM(BJ5:BM5)</f>
        <v>36.387948957576214</v>
      </c>
      <c r="CI5" s="594">
        <f>SUM(BN5:BQ5)</f>
        <v>33.563085526173495</v>
      </c>
      <c r="CK5" s="584"/>
      <c r="CL5" s="584"/>
      <c r="CM5" s="584"/>
      <c r="CN5" s="483"/>
      <c r="CO5" s="483"/>
      <c r="CP5" s="483"/>
      <c r="CQ5" s="483"/>
      <c r="CR5" s="483"/>
      <c r="CZ5" s="483"/>
      <c r="DA5" s="483"/>
      <c r="DB5" s="483"/>
    </row>
    <row r="6" spans="1:106" s="488" customFormat="1">
      <c r="A6" s="92" t="s">
        <v>223</v>
      </c>
      <c r="B6" s="498"/>
      <c r="C6" s="596">
        <f t="shared" ref="C6:AC6" si="2">C5/B5-1</f>
        <v>0.14987583816683037</v>
      </c>
      <c r="D6" s="596">
        <f t="shared" si="2"/>
        <v>0.2961928302206327</v>
      </c>
      <c r="E6" s="596">
        <f t="shared" si="2"/>
        <v>7.8367283249825448E-2</v>
      </c>
      <c r="F6" s="596">
        <f t="shared" si="2"/>
        <v>0.36830494382113454</v>
      </c>
      <c r="G6" s="596">
        <f t="shared" si="2"/>
        <v>-7.8268304252559928E-2</v>
      </c>
      <c r="H6" s="596">
        <f t="shared" si="2"/>
        <v>0.11819051768786926</v>
      </c>
      <c r="I6" s="596">
        <f t="shared" si="2"/>
        <v>0.17489647138612519</v>
      </c>
      <c r="J6" s="596">
        <f t="shared" si="2"/>
        <v>0.2066205239283696</v>
      </c>
      <c r="K6" s="596">
        <f t="shared" si="2"/>
        <v>4.512451357886027E-2</v>
      </c>
      <c r="L6" s="596">
        <f t="shared" si="2"/>
        <v>6.162901301811341E-2</v>
      </c>
      <c r="M6" s="596">
        <f t="shared" si="2"/>
        <v>-9.4190945456118502E-4</v>
      </c>
      <c r="N6" s="596">
        <f t="shared" si="2"/>
        <v>4.2762632471474937E-2</v>
      </c>
      <c r="O6" s="596">
        <f t="shared" si="2"/>
        <v>2.4908588219940686E-2</v>
      </c>
      <c r="P6" s="596">
        <f t="shared" si="2"/>
        <v>4.9002602590946243E-3</v>
      </c>
      <c r="Q6" s="596">
        <f t="shared" si="2"/>
        <v>-9.9637998159590069E-2</v>
      </c>
      <c r="R6" s="596">
        <f t="shared" si="2"/>
        <v>4.9392967406815647E-2</v>
      </c>
      <c r="S6" s="596">
        <f t="shared" si="2"/>
        <v>4.3841755813067707E-2</v>
      </c>
      <c r="T6" s="596">
        <f t="shared" si="2"/>
        <v>-0.10395095621893635</v>
      </c>
      <c r="U6" s="596">
        <f t="shared" si="2"/>
        <v>-0.15294364218657575</v>
      </c>
      <c r="V6" s="596">
        <f t="shared" si="2"/>
        <v>2.5401411136056984E-2</v>
      </c>
      <c r="W6" s="596">
        <f t="shared" si="2"/>
        <v>0.18605879238656087</v>
      </c>
      <c r="X6" s="596">
        <f t="shared" si="2"/>
        <v>-0.45371540698798585</v>
      </c>
      <c r="Y6" s="596">
        <f t="shared" si="2"/>
        <v>-0.20293081984121952</v>
      </c>
      <c r="Z6" s="596">
        <f t="shared" si="2"/>
        <v>-2.6689944721618231E-2</v>
      </c>
      <c r="AA6" s="596">
        <f t="shared" si="2"/>
        <v>-0.45424944194832451</v>
      </c>
      <c r="AB6" s="596">
        <f t="shared" si="2"/>
        <v>0.60636930038562564</v>
      </c>
      <c r="AC6" s="596">
        <f t="shared" si="2"/>
        <v>-5.4477609370602642E-2</v>
      </c>
      <c r="AD6" s="596">
        <f>AD5/AC5-1</f>
        <v>-0.1258765476322341</v>
      </c>
      <c r="AE6" s="596">
        <f>AE5/AD5-1</f>
        <v>-0.35669843343626895</v>
      </c>
      <c r="AF6" s="596">
        <f>AF5/AE5-1</f>
        <v>6.7534746105823107E-2</v>
      </c>
      <c r="AG6" s="596">
        <v>-0.25</v>
      </c>
      <c r="AH6" s="596">
        <v>-0.15</v>
      </c>
      <c r="AI6" s="596">
        <v>-0.15</v>
      </c>
      <c r="AJ6" s="596">
        <v>0</v>
      </c>
      <c r="AK6" s="596">
        <v>0</v>
      </c>
      <c r="AL6" s="596">
        <v>0</v>
      </c>
      <c r="AM6" s="596">
        <v>-0.05</v>
      </c>
      <c r="AN6" s="596">
        <v>-0.05</v>
      </c>
      <c r="AO6" s="596">
        <v>0</v>
      </c>
      <c r="AP6" s="596">
        <v>0</v>
      </c>
      <c r="AQ6" s="596">
        <v>0.02</v>
      </c>
      <c r="AR6" s="596">
        <v>0</v>
      </c>
      <c r="AS6" s="596">
        <v>0.1</v>
      </c>
      <c r="AT6" s="597">
        <v>-0.03</v>
      </c>
      <c r="AU6" s="597">
        <v>-0.03</v>
      </c>
      <c r="AV6" s="597">
        <v>-0.02</v>
      </c>
      <c r="AW6" s="597">
        <v>-0.02</v>
      </c>
      <c r="AX6" s="597">
        <v>-0.03</v>
      </c>
      <c r="AY6" s="766">
        <v>-0.03</v>
      </c>
      <c r="AZ6" s="766">
        <v>-0.02</v>
      </c>
      <c r="BA6" s="766">
        <v>-0.02</v>
      </c>
      <c r="BB6" s="766">
        <v>-0.03</v>
      </c>
      <c r="BC6" s="766">
        <v>-0.03</v>
      </c>
      <c r="BD6" s="766">
        <v>-0.02</v>
      </c>
      <c r="BE6" s="766">
        <v>-0.02</v>
      </c>
      <c r="BF6" s="766">
        <v>-0.02</v>
      </c>
      <c r="BG6" s="766">
        <v>-0.02</v>
      </c>
      <c r="BH6" s="766">
        <v>-0.02</v>
      </c>
      <c r="BI6" s="766">
        <v>-0.02</v>
      </c>
      <c r="BJ6" s="766">
        <v>-0.02</v>
      </c>
      <c r="BK6" s="766">
        <v>-0.02</v>
      </c>
      <c r="BL6" s="766">
        <v>-0.02</v>
      </c>
      <c r="BM6" s="766">
        <v>-0.02</v>
      </c>
      <c r="BN6" s="766">
        <v>-0.02</v>
      </c>
      <c r="BO6" s="766">
        <v>-0.02</v>
      </c>
      <c r="BP6" s="766">
        <v>-0.02</v>
      </c>
      <c r="BQ6" s="766">
        <v>-0.02</v>
      </c>
      <c r="BR6" s="498"/>
      <c r="BS6" s="599"/>
      <c r="BT6" s="599"/>
      <c r="BU6" s="483"/>
      <c r="BV6" s="483"/>
      <c r="BW6" s="483"/>
      <c r="BX6" s="483"/>
      <c r="BY6" s="483"/>
      <c r="BZ6" s="483"/>
      <c r="CA6" s="483"/>
      <c r="CB6" s="483"/>
      <c r="CC6" s="483"/>
      <c r="CD6" s="483"/>
      <c r="CE6" s="767"/>
      <c r="CF6" s="767"/>
      <c r="CG6" s="767"/>
      <c r="CH6" s="767"/>
      <c r="CI6" s="767"/>
      <c r="CK6" s="768"/>
      <c r="CL6" s="768"/>
      <c r="CM6" s="768"/>
      <c r="CZ6" s="483"/>
      <c r="DA6" s="483"/>
      <c r="DB6" s="483"/>
    </row>
    <row r="7" spans="1:106" s="787" customFormat="1">
      <c r="A7" s="784" t="s">
        <v>225</v>
      </c>
      <c r="B7" s="596"/>
      <c r="C7" s="596"/>
      <c r="D7" s="596"/>
      <c r="E7" s="596"/>
      <c r="F7" s="596">
        <f t="shared" ref="F7:BA7" si="3">F5/B5-1</f>
        <v>1.1992275263945147</v>
      </c>
      <c r="G7" s="596">
        <f t="shared" si="3"/>
        <v>0.76288400012798729</v>
      </c>
      <c r="H7" s="596">
        <f t="shared" si="3"/>
        <v>0.52079237499812381</v>
      </c>
      <c r="I7" s="596">
        <f t="shared" si="3"/>
        <v>0.65692489270585397</v>
      </c>
      <c r="J7" s="596">
        <f t="shared" si="3"/>
        <v>0.46113597789356664</v>
      </c>
      <c r="K7" s="596">
        <f t="shared" si="3"/>
        <v>0.65673919559668925</v>
      </c>
      <c r="L7" s="596">
        <f t="shared" si="3"/>
        <v>0.57293624764997175</v>
      </c>
      <c r="M7" s="596">
        <f t="shared" si="3"/>
        <v>0.33752609050983828</v>
      </c>
      <c r="N7" s="596">
        <f t="shared" si="3"/>
        <v>0.1558913506613917</v>
      </c>
      <c r="O7" s="596">
        <f t="shared" si="3"/>
        <v>0.13353285369343393</v>
      </c>
      <c r="P7" s="596">
        <f t="shared" si="3"/>
        <v>7.2961878133346536E-2</v>
      </c>
      <c r="Q7" s="596">
        <f t="shared" si="3"/>
        <v>-3.3035102125877791E-2</v>
      </c>
      <c r="R7" s="596">
        <f t="shared" si="3"/>
        <v>-2.6886721905896693E-2</v>
      </c>
      <c r="S7" s="596">
        <f t="shared" si="3"/>
        <v>-8.9103706556337148E-3</v>
      </c>
      <c r="T7" s="596">
        <f t="shared" si="3"/>
        <v>-0.11626561381686029</v>
      </c>
      <c r="U7" s="596">
        <f t="shared" si="3"/>
        <v>-0.16858682518294721</v>
      </c>
      <c r="V7" s="596">
        <f t="shared" si="3"/>
        <v>-0.18759485800516518</v>
      </c>
      <c r="W7" s="596">
        <f t="shared" si="3"/>
        <v>-7.6909640491923614E-2</v>
      </c>
      <c r="X7" s="596">
        <f t="shared" si="3"/>
        <v>-0.43722941857143005</v>
      </c>
      <c r="Y7" s="596">
        <f t="shared" si="3"/>
        <v>-0.47044009313067048</v>
      </c>
      <c r="Z7" s="596">
        <f t="shared" si="3"/>
        <v>-0.49734223433810765</v>
      </c>
      <c r="AA7" s="596">
        <f t="shared" si="3"/>
        <v>-0.76870812991740989</v>
      </c>
      <c r="AB7" s="596">
        <f t="shared" si="3"/>
        <v>-0.31987801910920433</v>
      </c>
      <c r="AC7" s="596">
        <f t="shared" si="3"/>
        <v>-0.1932060888825694</v>
      </c>
      <c r="AD7" s="596">
        <f t="shared" si="3"/>
        <v>-0.27542361746838007</v>
      </c>
      <c r="AE7" s="596">
        <f t="shared" si="3"/>
        <v>-0.14590811662800585</v>
      </c>
      <c r="AF7" s="596">
        <f t="shared" si="3"/>
        <v>-0.43240152706623225</v>
      </c>
      <c r="AG7" s="596">
        <f t="shared" si="3"/>
        <v>-0.54977390390834135</v>
      </c>
      <c r="AH7" s="596">
        <f t="shared" si="3"/>
        <v>-0.56219893123642972</v>
      </c>
      <c r="AI7" s="596">
        <f t="shared" si="3"/>
        <v>-0.42152960945390727</v>
      </c>
      <c r="AJ7" s="596">
        <f t="shared" si="3"/>
        <v>-0.45812500000000012</v>
      </c>
      <c r="AK7" s="596">
        <f t="shared" si="3"/>
        <v>-0.27750000000000008</v>
      </c>
      <c r="AL7" s="596">
        <f t="shared" si="3"/>
        <v>-0.15000000000000002</v>
      </c>
      <c r="AM7" s="596">
        <f t="shared" si="3"/>
        <v>-5.0000000000000044E-2</v>
      </c>
      <c r="AN7" s="596">
        <f t="shared" si="3"/>
        <v>-9.7500000000000142E-2</v>
      </c>
      <c r="AO7" s="596">
        <f t="shared" si="3"/>
        <v>-9.7500000000000142E-2</v>
      </c>
      <c r="AP7" s="596">
        <f t="shared" si="3"/>
        <v>-9.7500000000000142E-2</v>
      </c>
      <c r="AQ7" s="596">
        <f t="shared" si="3"/>
        <v>-3.1000000000000028E-2</v>
      </c>
      <c r="AR7" s="596">
        <f t="shared" si="3"/>
        <v>2.0000000000000018E-2</v>
      </c>
      <c r="AS7" s="596">
        <f t="shared" si="3"/>
        <v>0.12200000000000011</v>
      </c>
      <c r="AT7" s="596">
        <f t="shared" si="3"/>
        <v>8.8340000000000085E-2</v>
      </c>
      <c r="AU7" s="596">
        <f t="shared" si="3"/>
        <v>3.4990000000000077E-2</v>
      </c>
      <c r="AV7" s="596">
        <f t="shared" si="3"/>
        <v>1.4290200000000031E-2</v>
      </c>
      <c r="AW7" s="596">
        <f t="shared" si="3"/>
        <v>-9.635964000000008E-2</v>
      </c>
      <c r="AX7" s="596">
        <f t="shared" si="3"/>
        <v>-9.6359639999999969E-2</v>
      </c>
      <c r="AY7" s="785">
        <f t="shared" si="3"/>
        <v>-9.6359639999999969E-2</v>
      </c>
      <c r="AZ7" s="785">
        <f t="shared" si="3"/>
        <v>-9.635964000000008E-2</v>
      </c>
      <c r="BA7" s="785">
        <f t="shared" si="3"/>
        <v>-9.635964000000008E-2</v>
      </c>
      <c r="BB7" s="785">
        <f>BB5/AX5-1</f>
        <v>-9.635964000000008E-2</v>
      </c>
      <c r="BC7" s="785">
        <f>BC5/AY5-1</f>
        <v>-9.635964000000008E-2</v>
      </c>
      <c r="BD7" s="785">
        <f>BD5/AZ5-1</f>
        <v>-9.6359639999999969E-2</v>
      </c>
      <c r="BE7" s="785">
        <f>BE5/BA5-1</f>
        <v>-9.635964000000008E-2</v>
      </c>
      <c r="BF7" s="785">
        <f t="shared" ref="BF7:BQ7" si="4">BF5/BB5-1</f>
        <v>-8.7043760000000026E-2</v>
      </c>
      <c r="BG7" s="785">
        <f t="shared" si="4"/>
        <v>-7.7631840000000008E-2</v>
      </c>
      <c r="BH7" s="785">
        <f t="shared" si="4"/>
        <v>-7.7631840000000008E-2</v>
      </c>
      <c r="BI7" s="785">
        <f t="shared" si="4"/>
        <v>-7.7631839999999896E-2</v>
      </c>
      <c r="BJ7" s="785">
        <f t="shared" si="4"/>
        <v>-7.7631840000000008E-2</v>
      </c>
      <c r="BK7" s="785">
        <f t="shared" si="4"/>
        <v>-7.7631840000000008E-2</v>
      </c>
      <c r="BL7" s="785">
        <f t="shared" si="4"/>
        <v>-7.7631840000000119E-2</v>
      </c>
      <c r="BM7" s="785">
        <f t="shared" si="4"/>
        <v>-7.7631840000000119E-2</v>
      </c>
      <c r="BN7" s="785">
        <f t="shared" si="4"/>
        <v>-7.7631840000000008E-2</v>
      </c>
      <c r="BO7" s="785">
        <f t="shared" si="4"/>
        <v>-7.7631839999999896E-2</v>
      </c>
      <c r="BP7" s="785">
        <f t="shared" si="4"/>
        <v>-7.7631839999999896E-2</v>
      </c>
      <c r="BQ7" s="785">
        <f t="shared" si="4"/>
        <v>-7.7631839999999896E-2</v>
      </c>
      <c r="BR7" s="596"/>
      <c r="BS7" s="600"/>
      <c r="BT7" s="600">
        <f t="shared" ref="BT7:CF7" si="5">BT5/BS5-1</f>
        <v>0.74482072965510482</v>
      </c>
      <c r="BU7" s="600">
        <f t="shared" si="5"/>
        <v>0.49616553899307569</v>
      </c>
      <c r="BV7" s="600">
        <f t="shared" si="5"/>
        <v>7.9702706560112802E-2</v>
      </c>
      <c r="BW7" s="599">
        <f t="shared" si="5"/>
        <v>-7.8373977313567877E-2</v>
      </c>
      <c r="BX7" s="599">
        <f t="shared" si="5"/>
        <v>-0.27828832282861848</v>
      </c>
      <c r="BY7" s="599">
        <f t="shared" si="5"/>
        <v>-0.51220713337075385</v>
      </c>
      <c r="BZ7" s="599">
        <f t="shared" si="5"/>
        <v>-0.36595524151754999</v>
      </c>
      <c r="CA7" s="599">
        <f t="shared" si="5"/>
        <v>-0.45373125955534421</v>
      </c>
      <c r="CB7" s="599">
        <f t="shared" si="5"/>
        <v>-0.10091549295774638</v>
      </c>
      <c r="CC7" s="599">
        <f t="shared" si="5"/>
        <v>3.2090545938734394E-4</v>
      </c>
      <c r="CD7" s="599">
        <f t="shared" si="5"/>
        <v>7.3258740797694788E-3</v>
      </c>
      <c r="CE7" s="786">
        <f t="shared" si="5"/>
        <v>-9.6359639999999969E-2</v>
      </c>
      <c r="CF7" s="786">
        <f t="shared" si="5"/>
        <v>-9.6359640000000191E-2</v>
      </c>
      <c r="CG7" s="786">
        <f>CG5/CF5-1</f>
        <v>-8.007510600882406E-2</v>
      </c>
      <c r="CH7" s="786">
        <f>CH5/CG5-1</f>
        <v>-7.7631840000000119E-2</v>
      </c>
      <c r="CI7" s="786">
        <f>CI5/CH5-1</f>
        <v>-7.7631839999999896E-2</v>
      </c>
      <c r="CK7" s="768"/>
      <c r="CL7" s="768"/>
      <c r="CM7" s="768"/>
      <c r="CZ7" s="788"/>
      <c r="DA7" s="788"/>
      <c r="DB7" s="788"/>
    </row>
    <row r="8" spans="1:106" s="488" customFormat="1">
      <c r="A8" s="92" t="s">
        <v>613</v>
      </c>
      <c r="B8" s="488">
        <f t="shared" ref="B8:AC8" si="6">B5/B17</f>
        <v>1</v>
      </c>
      <c r="C8" s="488">
        <f t="shared" si="6"/>
        <v>1</v>
      </c>
      <c r="D8" s="488">
        <f t="shared" si="6"/>
        <v>1</v>
      </c>
      <c r="E8" s="488">
        <f t="shared" si="6"/>
        <v>1</v>
      </c>
      <c r="F8" s="488">
        <f t="shared" si="6"/>
        <v>1</v>
      </c>
      <c r="G8" s="488">
        <f t="shared" si="6"/>
        <v>1</v>
      </c>
      <c r="H8" s="488">
        <f t="shared" si="6"/>
        <v>1</v>
      </c>
      <c r="I8" s="488">
        <f t="shared" si="6"/>
        <v>1</v>
      </c>
      <c r="J8" s="488">
        <f t="shared" si="6"/>
        <v>0.99291212898494519</v>
      </c>
      <c r="K8" s="488">
        <f t="shared" si="6"/>
        <v>0.98652358355525815</v>
      </c>
      <c r="L8" s="488">
        <f t="shared" si="6"/>
        <v>0.98106423414848665</v>
      </c>
      <c r="M8" s="488">
        <f t="shared" si="6"/>
        <v>0.97488761392392886</v>
      </c>
      <c r="N8" s="488">
        <f t="shared" si="6"/>
        <v>0.92819997438333601</v>
      </c>
      <c r="O8" s="488">
        <f t="shared" si="6"/>
        <v>0.93776932585843609</v>
      </c>
      <c r="P8" s="488">
        <f t="shared" si="6"/>
        <v>0.92733236216110548</v>
      </c>
      <c r="Q8" s="488">
        <f t="shared" si="6"/>
        <v>0.90926659010321531</v>
      </c>
      <c r="R8" s="488">
        <f t="shared" si="6"/>
        <v>0.87025497560300558</v>
      </c>
      <c r="S8" s="488">
        <f t="shared" si="6"/>
        <v>0.81485760208587665</v>
      </c>
      <c r="T8" s="488">
        <f t="shared" si="6"/>
        <v>0.68386036324369337</v>
      </c>
      <c r="U8" s="488">
        <f t="shared" si="6"/>
        <v>0.61116307597244046</v>
      </c>
      <c r="V8" s="488">
        <f t="shared" si="6"/>
        <v>0.61528857301594864</v>
      </c>
      <c r="W8" s="488">
        <f t="shared" si="6"/>
        <v>0.58048263099653863</v>
      </c>
      <c r="X8" s="488">
        <f t="shared" si="6"/>
        <v>0.41069513062749485</v>
      </c>
      <c r="Y8" s="488">
        <f t="shared" si="6"/>
        <v>0.32468035495737252</v>
      </c>
      <c r="Z8" s="488">
        <f t="shared" si="6"/>
        <v>0.32456010795357843</v>
      </c>
      <c r="AA8" s="488">
        <f t="shared" si="6"/>
        <v>0.24885380522379461</v>
      </c>
      <c r="AB8" s="488">
        <f t="shared" si="6"/>
        <v>0.35563595741300619</v>
      </c>
      <c r="AC8" s="488">
        <f t="shared" si="6"/>
        <v>0.293736280259556</v>
      </c>
      <c r="AD8" s="488">
        <f>AD5/AD$17</f>
        <v>0.24115647575961099</v>
      </c>
      <c r="AE8" s="488">
        <f t="shared" ref="AE8:BQ8" si="7">AE5/AE17</f>
        <v>0.15724643033487037</v>
      </c>
      <c r="AF8" s="488">
        <f t="shared" si="7"/>
        <v>0.18884425085921003</v>
      </c>
      <c r="AG8" s="488">
        <f t="shared" si="7"/>
        <v>0.15389179163151553</v>
      </c>
      <c r="AH8" s="488">
        <f t="shared" si="7"/>
        <v>0.11850351147426826</v>
      </c>
      <c r="AI8" s="488">
        <f t="shared" si="7"/>
        <v>6.2983647430095949E-2</v>
      </c>
      <c r="AJ8" s="488">
        <f t="shared" si="7"/>
        <v>5.5222052498114856E-2</v>
      </c>
      <c r="AK8" s="488">
        <f t="shared" si="7"/>
        <v>4.7195913932844197E-2</v>
      </c>
      <c r="AL8" s="488">
        <f t="shared" si="7"/>
        <v>4.6838887664416219E-2</v>
      </c>
      <c r="AM8" s="488">
        <f t="shared" si="7"/>
        <v>5.2062457086230432E-2</v>
      </c>
      <c r="AN8" s="488">
        <f t="shared" si="7"/>
        <v>4.7991993842619908E-2</v>
      </c>
      <c r="AO8" s="488">
        <f t="shared" si="7"/>
        <v>4.4595566904075352E-2</v>
      </c>
      <c r="AP8" s="488">
        <f t="shared" si="7"/>
        <v>3.8051708181115515E-2</v>
      </c>
      <c r="AQ8" s="488">
        <f t="shared" si="7"/>
        <v>3.6936995103629737E-2</v>
      </c>
      <c r="AR8" s="488">
        <f t="shared" si="7"/>
        <v>2.8455362202281214E-2</v>
      </c>
      <c r="AS8" s="488">
        <f t="shared" si="7"/>
        <v>2.4645982537646129E-2</v>
      </c>
      <c r="AT8" s="488">
        <f t="shared" si="7"/>
        <v>2.4041624420007585E-2</v>
      </c>
      <c r="AU8" s="488">
        <f t="shared" si="7"/>
        <v>2.2565835211763172E-2</v>
      </c>
      <c r="AV8" s="488">
        <f t="shared" si="7"/>
        <v>2.1910248712261982E-2</v>
      </c>
      <c r="AW8" s="488">
        <f t="shared" si="7"/>
        <v>2.1028762275246898E-2</v>
      </c>
      <c r="AX8" s="488">
        <f t="shared" si="7"/>
        <v>1.7795878225803159E-2</v>
      </c>
      <c r="AY8" s="489">
        <f t="shared" si="7"/>
        <v>1.5725802690990002E-2</v>
      </c>
      <c r="AZ8" s="489">
        <f t="shared" si="7"/>
        <v>1.3909660280783658E-2</v>
      </c>
      <c r="BA8" s="489">
        <f t="shared" si="7"/>
        <v>1.2411075578700224E-2</v>
      </c>
      <c r="BB8" s="489">
        <f t="shared" si="7"/>
        <v>1.0488848113861438E-2</v>
      </c>
      <c r="BC8" s="489">
        <f t="shared" si="7"/>
        <v>9.1780721685938878E-3</v>
      </c>
      <c r="BD8" s="489">
        <f t="shared" si="7"/>
        <v>8.1118823537284189E-3</v>
      </c>
      <c r="BE8" s="489">
        <f t="shared" si="7"/>
        <v>7.5751867984209425E-3</v>
      </c>
      <c r="BF8" s="489">
        <f t="shared" si="7"/>
        <v>7.0737466753549149E-3</v>
      </c>
      <c r="BG8" s="489">
        <f t="shared" si="7"/>
        <v>6.6052785014538836E-3</v>
      </c>
      <c r="BH8" s="489">
        <f t="shared" si="7"/>
        <v>6.1676425344661294E-3</v>
      </c>
      <c r="BI8" s="489">
        <f t="shared" si="7"/>
        <v>5.7588342609108233E-3</v>
      </c>
      <c r="BJ8" s="489">
        <f t="shared" si="7"/>
        <v>5.3769763178794011E-3</v>
      </c>
      <c r="BK8" s="489">
        <f t="shared" si="7"/>
        <v>5.0203108361857448E-3</v>
      </c>
      <c r="BL8" s="489">
        <f t="shared" si="7"/>
        <v>4.687192191223287E-3</v>
      </c>
      <c r="BM8" s="489">
        <f t="shared" si="7"/>
        <v>4.3760801470546307E-3</v>
      </c>
      <c r="BN8" s="489">
        <f t="shared" si="7"/>
        <v>4.0855333786848948E-3</v>
      </c>
      <c r="BO8" s="489">
        <f t="shared" si="7"/>
        <v>3.8142033571144742E-3</v>
      </c>
      <c r="BP8" s="489">
        <f t="shared" si="7"/>
        <v>3.5608285815955107E-3</v>
      </c>
      <c r="BQ8" s="489">
        <f t="shared" si="7"/>
        <v>3.3242291434988727E-3</v>
      </c>
      <c r="BS8" s="598">
        <f t="shared" ref="BS8:CI8" si="8">BS5/BS17</f>
        <v>1</v>
      </c>
      <c r="BT8" s="598">
        <f t="shared" si="8"/>
        <v>1</v>
      </c>
      <c r="BU8" s="598">
        <f t="shared" si="8"/>
        <v>0.98353117312721139</v>
      </c>
      <c r="BV8" s="598">
        <f t="shared" si="8"/>
        <v>0.92591801422897502</v>
      </c>
      <c r="BW8" s="600">
        <f t="shared" si="8"/>
        <v>0.74034682701220855</v>
      </c>
      <c r="BX8" s="600">
        <f t="shared" si="8"/>
        <v>0.49006268800799385</v>
      </c>
      <c r="BY8" s="600">
        <f t="shared" si="8"/>
        <v>0.30785679477580763</v>
      </c>
      <c r="BZ8" s="600">
        <f t="shared" si="8"/>
        <v>0.18691746815839858</v>
      </c>
      <c r="CA8" s="600">
        <f t="shared" si="8"/>
        <v>6.4152873839211325E-2</v>
      </c>
      <c r="CB8" s="600">
        <f t="shared" si="8"/>
        <v>4.7749387257890026E-2</v>
      </c>
      <c r="CC8" s="600">
        <f t="shared" si="8"/>
        <v>3.0769254137063825E-2</v>
      </c>
      <c r="CD8" s="600">
        <f t="shared" si="8"/>
        <v>2.2361779869550825E-2</v>
      </c>
      <c r="CE8" s="601">
        <f t="shared" si="8"/>
        <v>1.4743700965369613E-2</v>
      </c>
      <c r="CF8" s="601">
        <f t="shared" si="8"/>
        <v>8.7313378791610431E-3</v>
      </c>
      <c r="CG8" s="601">
        <f t="shared" si="8"/>
        <v>6.3749248643214743E-3</v>
      </c>
      <c r="CH8" s="601">
        <f t="shared" si="8"/>
        <v>4.8449620552470547E-3</v>
      </c>
      <c r="CI8" s="601">
        <f t="shared" si="8"/>
        <v>3.6808255017509741E-3</v>
      </c>
      <c r="CK8" s="584"/>
      <c r="CL8" s="584"/>
      <c r="CM8" s="584"/>
      <c r="CZ8" s="602" t="s">
        <v>614</v>
      </c>
      <c r="DA8" s="602"/>
      <c r="DB8" s="484"/>
    </row>
    <row r="9" spans="1:106" s="787" customFormat="1">
      <c r="A9" s="784"/>
      <c r="AJ9" s="793"/>
      <c r="AK9" s="793"/>
      <c r="AL9" s="793"/>
      <c r="AM9" s="793"/>
      <c r="AN9" s="793"/>
      <c r="AO9" s="793"/>
      <c r="AP9" s="793"/>
      <c r="AQ9" s="793"/>
      <c r="AR9" s="793"/>
      <c r="AS9" s="793"/>
      <c r="AT9" s="793"/>
      <c r="AU9" s="793"/>
      <c r="AV9" s="793"/>
      <c r="AW9" s="793"/>
      <c r="AX9" s="793"/>
      <c r="AY9" s="793"/>
      <c r="AZ9" s="793"/>
      <c r="BA9" s="793"/>
      <c r="BB9" s="793"/>
      <c r="BC9" s="793"/>
      <c r="BD9" s="793"/>
      <c r="BE9" s="793"/>
      <c r="BF9" s="793"/>
      <c r="BG9" s="793"/>
      <c r="BH9" s="793"/>
      <c r="BI9" s="793"/>
      <c r="BJ9" s="793"/>
      <c r="BK9" s="793"/>
      <c r="BL9" s="793"/>
      <c r="BM9" s="793"/>
      <c r="BN9" s="793"/>
      <c r="BO9" s="793"/>
      <c r="BP9" s="793"/>
      <c r="BQ9" s="793"/>
      <c r="BS9" s="794"/>
      <c r="BT9" s="600"/>
      <c r="BU9" s="600"/>
      <c r="BV9" s="600"/>
      <c r="BW9" s="599"/>
      <c r="BX9" s="599"/>
      <c r="BY9" s="599"/>
      <c r="BZ9" s="599"/>
      <c r="CA9" s="599"/>
      <c r="CB9" s="599"/>
      <c r="CC9" s="599"/>
      <c r="CD9" s="599"/>
      <c r="CE9" s="795"/>
      <c r="CF9" s="795"/>
      <c r="CG9" s="795"/>
      <c r="CH9" s="795"/>
      <c r="CI9" s="795"/>
      <c r="CK9" s="768"/>
      <c r="CL9" s="768"/>
      <c r="CM9" s="768"/>
    </row>
    <row r="10" spans="1:106" s="482" customFormat="1">
      <c r="A10" s="590" t="s">
        <v>615</v>
      </c>
      <c r="B10" s="590"/>
      <c r="C10" s="590"/>
      <c r="D10" s="590"/>
      <c r="E10" s="590"/>
      <c r="F10" s="590"/>
      <c r="G10" s="590"/>
      <c r="H10" s="590"/>
      <c r="I10" s="590"/>
      <c r="J10" s="603"/>
      <c r="K10" s="603"/>
      <c r="L10" s="603"/>
      <c r="M10" s="603"/>
      <c r="N10" s="603"/>
      <c r="O10" s="603"/>
      <c r="P10" s="603"/>
      <c r="Q10" s="603"/>
      <c r="R10" s="603"/>
      <c r="S10" s="603"/>
      <c r="T10" s="603"/>
      <c r="U10" s="603"/>
      <c r="V10" s="603"/>
      <c r="W10" s="603"/>
      <c r="X10" s="603"/>
      <c r="Y10" s="603"/>
      <c r="Z10" s="603"/>
      <c r="AA10" s="603"/>
      <c r="AB10" s="603"/>
      <c r="AC10" s="603"/>
      <c r="AD10" s="603"/>
      <c r="AE10" s="603"/>
      <c r="AF10" s="603"/>
      <c r="AG10" s="603"/>
      <c r="AH10" s="603"/>
      <c r="AI10" s="603"/>
      <c r="AJ10" s="603"/>
      <c r="AK10" s="603"/>
      <c r="AL10" s="603"/>
      <c r="AM10" s="603"/>
      <c r="AN10" s="603"/>
      <c r="AO10" s="603"/>
      <c r="AP10" s="603"/>
      <c r="AQ10" s="603"/>
      <c r="AR10" s="603"/>
      <c r="AS10" s="603"/>
      <c r="AT10" s="603"/>
      <c r="AU10" s="603"/>
      <c r="AV10" s="603"/>
      <c r="AW10" s="603"/>
      <c r="AX10" s="603"/>
      <c r="AY10" s="603"/>
      <c r="AZ10" s="603"/>
      <c r="BA10" s="603"/>
      <c r="BB10" s="603"/>
      <c r="BC10" s="603"/>
      <c r="BD10" s="603"/>
      <c r="BE10" s="603"/>
      <c r="BF10" s="603"/>
      <c r="BG10" s="603"/>
      <c r="BH10" s="603"/>
      <c r="BI10" s="603"/>
      <c r="BJ10" s="603"/>
      <c r="BK10" s="603"/>
      <c r="BL10" s="603"/>
      <c r="BM10" s="603"/>
      <c r="BN10" s="603"/>
      <c r="BO10" s="603"/>
      <c r="BP10" s="603"/>
      <c r="BQ10" s="603"/>
      <c r="BS10" s="593"/>
      <c r="BT10" s="593"/>
      <c r="BU10" s="593"/>
      <c r="BV10" s="593"/>
      <c r="BW10" s="593"/>
      <c r="BX10" s="593"/>
      <c r="BY10" s="593"/>
      <c r="BZ10" s="593"/>
      <c r="CA10" s="593"/>
      <c r="CB10" s="593"/>
      <c r="CC10" s="593"/>
      <c r="CD10" s="593"/>
      <c r="CE10" s="604"/>
      <c r="CF10" s="604"/>
      <c r="CG10" s="604"/>
      <c r="CH10" s="604"/>
      <c r="CI10" s="604"/>
      <c r="CK10" s="584"/>
      <c r="CL10" s="584"/>
      <c r="CM10" s="584"/>
      <c r="CN10" s="483"/>
      <c r="CO10" s="483"/>
      <c r="CP10" s="483"/>
      <c r="CQ10" s="483"/>
      <c r="CR10" s="483"/>
    </row>
    <row r="11" spans="1:106" s="484" customFormat="1">
      <c r="A11" s="485" t="s">
        <v>222</v>
      </c>
      <c r="B11" s="485"/>
      <c r="C11" s="485"/>
      <c r="D11" s="485"/>
      <c r="E11" s="485"/>
      <c r="F11" s="485"/>
      <c r="G11" s="485"/>
      <c r="H11" s="485"/>
      <c r="I11" s="485"/>
      <c r="J11" s="556">
        <v>0.8</v>
      </c>
      <c r="K11" s="556">
        <v>1.6</v>
      </c>
      <c r="L11" s="556">
        <v>2.4</v>
      </c>
      <c r="M11" s="556">
        <v>3.2</v>
      </c>
      <c r="N11" s="556">
        <v>10.0204</v>
      </c>
      <c r="O11" s="556">
        <v>8.8103999999999996</v>
      </c>
      <c r="P11" s="556">
        <v>10.454800000000001</v>
      </c>
      <c r="Q11" s="556">
        <v>11.986800000000001</v>
      </c>
      <c r="R11" s="556">
        <v>18.793583885085052</v>
      </c>
      <c r="S11" s="556">
        <v>29.896767770170108</v>
      </c>
      <c r="T11" s="556">
        <v>54.505882204912808</v>
      </c>
      <c r="U11" s="556">
        <v>63.541074318353907</v>
      </c>
      <c r="V11" s="556">
        <v>64.031593510651163</v>
      </c>
      <c r="W11" s="556">
        <v>87.781906221013287</v>
      </c>
      <c r="X11" s="556">
        <v>95.210252896759627</v>
      </c>
      <c r="Y11" s="556">
        <v>110.00505209950963</v>
      </c>
      <c r="Z11" s="556">
        <v>107.12776329119933</v>
      </c>
      <c r="AA11" s="556">
        <v>84.797850515216425</v>
      </c>
      <c r="AB11" s="556">
        <v>81.766552380671669</v>
      </c>
      <c r="AC11" s="556">
        <v>102.59617699297526</v>
      </c>
      <c r="AD11" s="556">
        <v>117.3675253411369</v>
      </c>
      <c r="AE11" s="556">
        <v>128.59647327634588</v>
      </c>
      <c r="AF11" s="556">
        <v>110.02509571866761</v>
      </c>
      <c r="AG11" s="556">
        <f>AF11*(1+AG12)</f>
        <v>105.6240918899209</v>
      </c>
      <c r="AH11" s="556">
        <f t="shared" ref="AH11:BQ11" si="9">AG11*(1+AH12)</f>
        <v>121.46770567340903</v>
      </c>
      <c r="AI11" s="556">
        <f t="shared" si="9"/>
        <v>206.49509964479535</v>
      </c>
      <c r="AJ11" s="556">
        <f t="shared" si="9"/>
        <v>237.46936459151462</v>
      </c>
      <c r="AK11" s="556">
        <f t="shared" si="9"/>
        <v>280.21385021798721</v>
      </c>
      <c r="AL11" s="556">
        <f t="shared" si="9"/>
        <v>282.45556101973114</v>
      </c>
      <c r="AM11" s="556">
        <f t="shared" si="9"/>
        <v>240.08722686677146</v>
      </c>
      <c r="AN11" s="556">
        <f t="shared" si="9"/>
        <v>248.49027980710844</v>
      </c>
      <c r="AO11" s="556">
        <f t="shared" si="9"/>
        <v>268.36950219167716</v>
      </c>
      <c r="AP11" s="556">
        <f t="shared" si="9"/>
        <v>316.67601258617901</v>
      </c>
      <c r="AQ11" s="556">
        <f t="shared" si="9"/>
        <v>333.14316524066032</v>
      </c>
      <c r="AR11" s="556">
        <f t="shared" si="9"/>
        <v>436.25097488264464</v>
      </c>
      <c r="AS11" s="556">
        <f t="shared" si="9"/>
        <v>556.21999297537184</v>
      </c>
      <c r="AT11" s="556">
        <f t="shared" si="9"/>
        <v>553.43889301049501</v>
      </c>
      <c r="AU11" s="556">
        <f t="shared" si="9"/>
        <v>572.80925426586225</v>
      </c>
      <c r="AV11" s="556">
        <f t="shared" si="9"/>
        <v>578.53734680852085</v>
      </c>
      <c r="AW11" s="556">
        <f t="shared" si="9"/>
        <v>591.26516843830836</v>
      </c>
      <c r="AX11" s="556">
        <f t="shared" si="9"/>
        <v>679.95494370405459</v>
      </c>
      <c r="AY11" s="594">
        <f t="shared" si="9"/>
        <v>747.95043807446007</v>
      </c>
      <c r="AZ11" s="594">
        <f t="shared" si="9"/>
        <v>830.22498626265076</v>
      </c>
      <c r="BA11" s="594">
        <f t="shared" si="9"/>
        <v>913.24748488891589</v>
      </c>
      <c r="BB11" s="594">
        <f t="shared" si="9"/>
        <v>1050.2346076222532</v>
      </c>
      <c r="BC11" s="594">
        <f t="shared" si="9"/>
        <v>1165.7604144607012</v>
      </c>
      <c r="BD11" s="594">
        <f t="shared" si="9"/>
        <v>1293.9940600513785</v>
      </c>
      <c r="BE11" s="594">
        <f t="shared" si="9"/>
        <v>1358.6937630539476</v>
      </c>
      <c r="BF11" s="594">
        <f t="shared" si="9"/>
        <v>1426.628451206645</v>
      </c>
      <c r="BG11" s="594">
        <f t="shared" si="9"/>
        <v>1497.9598737669774</v>
      </c>
      <c r="BH11" s="594">
        <f t="shared" si="9"/>
        <v>1572.8578674553262</v>
      </c>
      <c r="BI11" s="594">
        <f t="shared" si="9"/>
        <v>1651.5007608280926</v>
      </c>
      <c r="BJ11" s="594">
        <f t="shared" si="9"/>
        <v>1734.0757988694972</v>
      </c>
      <c r="BK11" s="594">
        <f t="shared" si="9"/>
        <v>1820.7795888129722</v>
      </c>
      <c r="BL11" s="594">
        <f t="shared" si="9"/>
        <v>1911.8185682536209</v>
      </c>
      <c r="BM11" s="594">
        <f t="shared" si="9"/>
        <v>2007.4094966663019</v>
      </c>
      <c r="BN11" s="594">
        <f t="shared" si="9"/>
        <v>2107.7799714996172</v>
      </c>
      <c r="BO11" s="594">
        <f t="shared" si="9"/>
        <v>2213.1689700745983</v>
      </c>
      <c r="BP11" s="594">
        <f t="shared" si="9"/>
        <v>2323.8274185783284</v>
      </c>
      <c r="BQ11" s="594">
        <f t="shared" si="9"/>
        <v>2440.0187895072449</v>
      </c>
      <c r="BR11" s="485"/>
      <c r="BS11" s="556"/>
      <c r="BT11" s="556"/>
      <c r="BU11" s="556">
        <f>SUM(J11:M11)</f>
        <v>8</v>
      </c>
      <c r="BV11" s="556">
        <f>SUM(N11:Q11)</f>
        <v>41.272400000000005</v>
      </c>
      <c r="BW11" s="556">
        <f>SUM(R11:U11)</f>
        <v>166.73730817852186</v>
      </c>
      <c r="BX11" s="556">
        <f>SUM(V11:Y11)</f>
        <v>357.02880472793368</v>
      </c>
      <c r="BY11" s="556">
        <f>SUM(Z11:AC11)</f>
        <v>376.28834318006267</v>
      </c>
      <c r="BZ11" s="556">
        <f>SUM(AD11:AG11)</f>
        <v>461.61318622607132</v>
      </c>
      <c r="CA11" s="556">
        <f>SUM(AH11:AK11)</f>
        <v>845.64602012770615</v>
      </c>
      <c r="CB11" s="556">
        <f>SUM(AL11:AO11)</f>
        <v>1039.4025698852881</v>
      </c>
      <c r="CC11" s="556">
        <f>+SUM(AP11:AS11)</f>
        <v>1642.2901456848558</v>
      </c>
      <c r="CD11" s="556">
        <f>+SUM(AT11:AW11)</f>
        <v>2296.0506625231865</v>
      </c>
      <c r="CE11" s="594">
        <f>SUM(AX11:BA11)</f>
        <v>3171.3778529300816</v>
      </c>
      <c r="CF11" s="594">
        <f>SUM(BB11:BE11)</f>
        <v>4868.6828451882802</v>
      </c>
      <c r="CG11" s="594">
        <f>SUM(BF11:BI11)</f>
        <v>6148.946953257042</v>
      </c>
      <c r="CH11" s="594">
        <f>SUM(BJ11:BM11)</f>
        <v>7474.0834526023918</v>
      </c>
      <c r="CI11" s="594">
        <f>SUM(BN11:BQ11)</f>
        <v>9084.7951496597889</v>
      </c>
      <c r="CK11" s="584"/>
      <c r="CL11" s="584"/>
      <c r="CM11" s="584"/>
      <c r="CN11" s="483"/>
      <c r="CO11" s="483"/>
      <c r="CP11" s="483"/>
      <c r="CQ11" s="483"/>
      <c r="CR11" s="483"/>
    </row>
    <row r="12" spans="1:106" s="484" customFormat="1" ht="12" customHeight="1">
      <c r="A12" s="501" t="s">
        <v>223</v>
      </c>
      <c r="B12" s="485"/>
      <c r="C12" s="487"/>
      <c r="D12" s="487"/>
      <c r="E12" s="487"/>
      <c r="F12" s="487"/>
      <c r="G12" s="487"/>
      <c r="H12" s="487"/>
      <c r="I12" s="487"/>
      <c r="J12" s="487"/>
      <c r="K12" s="596">
        <f t="shared" ref="K12:AC12" si="10">K11/J11-1</f>
        <v>1</v>
      </c>
      <c r="L12" s="596">
        <f t="shared" si="10"/>
        <v>0.49999999999999978</v>
      </c>
      <c r="M12" s="596">
        <f t="shared" si="10"/>
        <v>0.33333333333333348</v>
      </c>
      <c r="N12" s="596">
        <f t="shared" si="10"/>
        <v>2.1313749999999998</v>
      </c>
      <c r="O12" s="596">
        <f t="shared" si="10"/>
        <v>-0.12075366252844211</v>
      </c>
      <c r="P12" s="596">
        <f t="shared" si="10"/>
        <v>0.18664305820394089</v>
      </c>
      <c r="Q12" s="596">
        <f t="shared" si="10"/>
        <v>0.14653556261238854</v>
      </c>
      <c r="R12" s="596">
        <f t="shared" si="10"/>
        <v>0.56785663271974607</v>
      </c>
      <c r="S12" s="596">
        <f t="shared" si="10"/>
        <v>0.59079651613957229</v>
      </c>
      <c r="T12" s="596">
        <f t="shared" si="10"/>
        <v>0.82313628763898583</v>
      </c>
      <c r="U12" s="596">
        <f t="shared" si="10"/>
        <v>0.16576545040540092</v>
      </c>
      <c r="V12" s="596">
        <f t="shared" si="10"/>
        <v>7.7197182697865685E-3</v>
      </c>
      <c r="W12" s="596">
        <f t="shared" si="10"/>
        <v>0.37091553416379441</v>
      </c>
      <c r="X12" s="596">
        <f t="shared" si="10"/>
        <v>8.4622754227318575E-2</v>
      </c>
      <c r="Y12" s="596">
        <f t="shared" si="10"/>
        <v>0.15539081929330245</v>
      </c>
      <c r="Z12" s="596">
        <f t="shared" si="10"/>
        <v>-2.6155969688624214E-2</v>
      </c>
      <c r="AA12" s="596">
        <f t="shared" si="10"/>
        <v>-0.20844188369064298</v>
      </c>
      <c r="AB12" s="596">
        <f t="shared" si="10"/>
        <v>-3.5747346378795397E-2</v>
      </c>
      <c r="AC12" s="596">
        <f t="shared" si="10"/>
        <v>0.25474505168481798</v>
      </c>
      <c r="AD12" s="596">
        <f>AD11/AC11-1</f>
        <v>0.14397562152021548</v>
      </c>
      <c r="AE12" s="596">
        <f>AE11/AD11-1</f>
        <v>9.5673380712179679E-2</v>
      </c>
      <c r="AF12" s="596">
        <f>AF11/AE11-1</f>
        <v>-0.14441591658403818</v>
      </c>
      <c r="AG12" s="596">
        <v>-0.04</v>
      </c>
      <c r="AH12" s="596">
        <v>0.15</v>
      </c>
      <c r="AI12" s="596">
        <v>0.7</v>
      </c>
      <c r="AJ12" s="596">
        <v>0.15</v>
      </c>
      <c r="AK12" s="596">
        <v>0.18</v>
      </c>
      <c r="AL12" s="596">
        <v>8.0000000000000002E-3</v>
      </c>
      <c r="AM12" s="596">
        <v>-0.15</v>
      </c>
      <c r="AN12" s="596">
        <v>3.5000000000000003E-2</v>
      </c>
      <c r="AO12" s="596">
        <v>0.08</v>
      </c>
      <c r="AP12" s="596">
        <v>0.18</v>
      </c>
      <c r="AQ12" s="596">
        <v>5.1999999999999998E-2</v>
      </c>
      <c r="AR12" s="596">
        <v>0.3095</v>
      </c>
      <c r="AS12" s="596">
        <v>0.27500000000000002</v>
      </c>
      <c r="AT12" s="597">
        <v>-5.0000000000000001E-3</v>
      </c>
      <c r="AU12" s="597">
        <v>3.5000000000000003E-2</v>
      </c>
      <c r="AV12" s="597">
        <v>0.01</v>
      </c>
      <c r="AW12" s="597">
        <v>2.1999999999999999E-2</v>
      </c>
      <c r="AX12" s="597">
        <v>0.15</v>
      </c>
      <c r="AY12" s="766">
        <v>0.1</v>
      </c>
      <c r="AZ12" s="766">
        <v>0.11</v>
      </c>
      <c r="BA12" s="766">
        <v>0.1</v>
      </c>
      <c r="BB12" s="766">
        <v>0.15</v>
      </c>
      <c r="BC12" s="766">
        <v>0.11</v>
      </c>
      <c r="BD12" s="766">
        <v>0.11</v>
      </c>
      <c r="BE12" s="766">
        <v>0.05</v>
      </c>
      <c r="BF12" s="766">
        <v>0.05</v>
      </c>
      <c r="BG12" s="766">
        <v>0.05</v>
      </c>
      <c r="BH12" s="766">
        <v>0.05</v>
      </c>
      <c r="BI12" s="766">
        <v>0.05</v>
      </c>
      <c r="BJ12" s="766">
        <v>0.05</v>
      </c>
      <c r="BK12" s="766">
        <v>0.05</v>
      </c>
      <c r="BL12" s="766">
        <v>0.05</v>
      </c>
      <c r="BM12" s="766">
        <v>0.05</v>
      </c>
      <c r="BN12" s="766">
        <v>0.05</v>
      </c>
      <c r="BO12" s="766">
        <v>0.05</v>
      </c>
      <c r="BP12" s="766">
        <v>0.05</v>
      </c>
      <c r="BQ12" s="766">
        <v>0.05</v>
      </c>
      <c r="BR12" s="485"/>
      <c r="BS12" s="556"/>
      <c r="BT12" s="556"/>
      <c r="BU12" s="483"/>
      <c r="BV12" s="483"/>
      <c r="BW12" s="483"/>
      <c r="BX12" s="483"/>
      <c r="BY12" s="483"/>
      <c r="BZ12" s="483"/>
      <c r="CA12" s="483"/>
      <c r="CB12" s="483"/>
      <c r="CC12" s="483"/>
      <c r="CD12" s="483"/>
      <c r="CE12" s="767"/>
      <c r="CF12" s="767"/>
      <c r="CG12" s="767"/>
      <c r="CH12" s="767"/>
      <c r="CI12" s="767"/>
      <c r="CK12" s="768"/>
      <c r="CL12" s="768"/>
      <c r="CM12" s="768"/>
      <c r="CN12" s="483"/>
      <c r="CO12" s="483"/>
      <c r="CP12" s="483"/>
      <c r="CQ12" s="483"/>
      <c r="CR12" s="483"/>
    </row>
    <row r="13" spans="1:106" s="790" customFormat="1">
      <c r="A13" s="789" t="s">
        <v>225</v>
      </c>
      <c r="F13" s="791"/>
      <c r="G13" s="791"/>
      <c r="H13" s="791"/>
      <c r="I13" s="791"/>
      <c r="J13" s="791"/>
      <c r="K13" s="596"/>
      <c r="L13" s="596"/>
      <c r="M13" s="596"/>
      <c r="N13" s="596">
        <f t="shared" ref="N13:BA13" si="11">N11/J11-1</f>
        <v>11.525499999999999</v>
      </c>
      <c r="O13" s="596">
        <f t="shared" si="11"/>
        <v>4.5064999999999991</v>
      </c>
      <c r="P13" s="596">
        <f t="shared" si="11"/>
        <v>3.3561666666666667</v>
      </c>
      <c r="Q13" s="596">
        <f t="shared" si="11"/>
        <v>2.7458749999999998</v>
      </c>
      <c r="R13" s="596">
        <f t="shared" si="11"/>
        <v>0.87553230261117831</v>
      </c>
      <c r="S13" s="596">
        <f t="shared" si="11"/>
        <v>2.3933496515674779</v>
      </c>
      <c r="T13" s="596">
        <f t="shared" si="11"/>
        <v>4.2134791870636272</v>
      </c>
      <c r="U13" s="596">
        <f t="shared" si="11"/>
        <v>4.3009205391225267</v>
      </c>
      <c r="V13" s="596">
        <f t="shared" si="11"/>
        <v>2.4070986088751205</v>
      </c>
      <c r="W13" s="596">
        <f t="shared" si="11"/>
        <v>1.9361671099642694</v>
      </c>
      <c r="X13" s="596">
        <f t="shared" si="11"/>
        <v>0.74678858584143759</v>
      </c>
      <c r="Y13" s="596">
        <f t="shared" si="11"/>
        <v>0.73124318843527258</v>
      </c>
      <c r="Z13" s="596">
        <f t="shared" si="11"/>
        <v>0.67304540489656017</v>
      </c>
      <c r="AA13" s="596">
        <f t="shared" si="11"/>
        <v>-3.399397249683489E-2</v>
      </c>
      <c r="AB13" s="596">
        <f t="shared" si="11"/>
        <v>-0.14120013451351199</v>
      </c>
      <c r="AC13" s="596">
        <f t="shared" si="11"/>
        <v>-6.7350316782108899E-2</v>
      </c>
      <c r="AD13" s="596">
        <f t="shared" si="11"/>
        <v>9.5584578034205725E-2</v>
      </c>
      <c r="AE13" s="596">
        <f t="shared" si="11"/>
        <v>0.51650628518313768</v>
      </c>
      <c r="AF13" s="596">
        <f t="shared" si="11"/>
        <v>0.34560027927355574</v>
      </c>
      <c r="AG13" s="596">
        <f t="shared" si="11"/>
        <v>2.9512940790697995E-2</v>
      </c>
      <c r="AH13" s="596">
        <f t="shared" si="11"/>
        <v>3.4934538496527612E-2</v>
      </c>
      <c r="AI13" s="596">
        <f t="shared" si="11"/>
        <v>0.60576020775507677</v>
      </c>
      <c r="AJ13" s="596">
        <f t="shared" si="11"/>
        <v>1.1583199999999994</v>
      </c>
      <c r="AK13" s="596">
        <f t="shared" si="11"/>
        <v>1.6529349999999989</v>
      </c>
      <c r="AL13" s="596">
        <f t="shared" si="11"/>
        <v>1.3253551999999997</v>
      </c>
      <c r="AM13" s="596">
        <f t="shared" si="11"/>
        <v>0.16267759999999987</v>
      </c>
      <c r="AN13" s="596">
        <f t="shared" si="11"/>
        <v>4.6409839999999924E-2</v>
      </c>
      <c r="AO13" s="596">
        <f t="shared" si="11"/>
        <v>-4.2268959999999911E-2</v>
      </c>
      <c r="AP13" s="596">
        <f t="shared" si="11"/>
        <v>0.12115339999999986</v>
      </c>
      <c r="AQ13" s="596">
        <f t="shared" si="11"/>
        <v>0.38759220800000005</v>
      </c>
      <c r="AR13" s="596">
        <f t="shared" si="11"/>
        <v>0.75560579360000002</v>
      </c>
      <c r="AS13" s="596">
        <f t="shared" si="11"/>
        <v>1.0725901729999991</v>
      </c>
      <c r="AT13" s="596">
        <f t="shared" si="11"/>
        <v>0.74765018824999974</v>
      </c>
      <c r="AU13" s="596">
        <f t="shared" si="11"/>
        <v>0.71940869281249942</v>
      </c>
      <c r="AV13" s="596">
        <f t="shared" si="11"/>
        <v>0.32615714374999971</v>
      </c>
      <c r="AW13" s="596">
        <f t="shared" si="11"/>
        <v>6.3005961500000041E-2</v>
      </c>
      <c r="AX13" s="596">
        <f t="shared" si="11"/>
        <v>0.22859985499999991</v>
      </c>
      <c r="AY13" s="785">
        <f t="shared" si="11"/>
        <v>0.30575830000000015</v>
      </c>
      <c r="AZ13" s="785">
        <f t="shared" si="11"/>
        <v>0.43504130000000019</v>
      </c>
      <c r="BA13" s="785">
        <f t="shared" si="11"/>
        <v>0.54456500000000019</v>
      </c>
      <c r="BB13" s="785">
        <f>BB11/AX11-1</f>
        <v>0.54456500000000019</v>
      </c>
      <c r="BC13" s="785">
        <f>BC11/AY11-1</f>
        <v>0.55860650000000045</v>
      </c>
      <c r="BD13" s="785">
        <f>BD11/AZ11-1</f>
        <v>0.55860650000000045</v>
      </c>
      <c r="BE13" s="785">
        <f>BE11/BA11-1</f>
        <v>0.48776075000000052</v>
      </c>
      <c r="BF13" s="785">
        <f t="shared" ref="BF13:BQ13" si="12">BF11/BB11-1</f>
        <v>0.35839025000000047</v>
      </c>
      <c r="BG13" s="785">
        <f t="shared" si="12"/>
        <v>0.2849637500000004</v>
      </c>
      <c r="BH13" s="785">
        <f t="shared" si="12"/>
        <v>0.21550625000000023</v>
      </c>
      <c r="BI13" s="785">
        <f t="shared" si="12"/>
        <v>0.21550625000000023</v>
      </c>
      <c r="BJ13" s="785">
        <f t="shared" si="12"/>
        <v>0.21550625000000023</v>
      </c>
      <c r="BK13" s="785">
        <f t="shared" si="12"/>
        <v>0.21550625000000001</v>
      </c>
      <c r="BL13" s="785">
        <f t="shared" si="12"/>
        <v>0.21550625000000023</v>
      </c>
      <c r="BM13" s="785">
        <f t="shared" si="12"/>
        <v>0.21550625000000023</v>
      </c>
      <c r="BN13" s="785">
        <f t="shared" si="12"/>
        <v>0.21550625000000023</v>
      </c>
      <c r="BO13" s="785">
        <f t="shared" si="12"/>
        <v>0.21550625000000023</v>
      </c>
      <c r="BP13" s="785">
        <f t="shared" si="12"/>
        <v>0.21550625000000023</v>
      </c>
      <c r="BQ13" s="785">
        <f t="shared" si="12"/>
        <v>0.21550625000000045</v>
      </c>
      <c r="BS13" s="792"/>
      <c r="BT13" s="792"/>
      <c r="BU13" s="606"/>
      <c r="BV13" s="168">
        <f t="shared" ref="BV13:CF13" si="13">BV11/BU11-1</f>
        <v>4.1590500000000006</v>
      </c>
      <c r="BW13" s="168">
        <f t="shared" si="13"/>
        <v>3.039922761422206</v>
      </c>
      <c r="BX13" s="168">
        <f t="shared" si="13"/>
        <v>1.1412652550781917</v>
      </c>
      <c r="BY13" s="168">
        <f t="shared" si="13"/>
        <v>5.3943934486757605E-2</v>
      </c>
      <c r="BZ13" s="168">
        <f t="shared" si="13"/>
        <v>0.22675388327184698</v>
      </c>
      <c r="CA13" s="168">
        <f t="shared" si="13"/>
        <v>0.83193644670617761</v>
      </c>
      <c r="CB13" s="168">
        <f t="shared" si="13"/>
        <v>0.22912252307214986</v>
      </c>
      <c r="CC13" s="168">
        <f t="shared" si="13"/>
        <v>0.58003279313240896</v>
      </c>
      <c r="CD13" s="168">
        <f t="shared" si="13"/>
        <v>0.39807857250808998</v>
      </c>
      <c r="CE13" s="786">
        <f t="shared" si="13"/>
        <v>0.38123165341873455</v>
      </c>
      <c r="CF13" s="786">
        <f t="shared" si="13"/>
        <v>0.5351948178265904</v>
      </c>
      <c r="CG13" s="786">
        <f>CG11/CF11-1</f>
        <v>0.26295902788863046</v>
      </c>
      <c r="CH13" s="786">
        <f>CH11/CG11-1</f>
        <v>0.21550625000000001</v>
      </c>
      <c r="CI13" s="786">
        <f>CI11/CH11-1</f>
        <v>0.21550625000000045</v>
      </c>
      <c r="CK13" s="768"/>
      <c r="CL13" s="768"/>
      <c r="CM13" s="768"/>
    </row>
    <row r="14" spans="1:106">
      <c r="A14" s="502" t="s">
        <v>613</v>
      </c>
      <c r="J14" s="488">
        <f t="shared" ref="J14:AO14" si="14">J11/J$17</f>
        <v>7.0878710150548184E-3</v>
      </c>
      <c r="K14" s="488">
        <f t="shared" si="14"/>
        <v>1.3476416444741936E-2</v>
      </c>
      <c r="L14" s="488">
        <f t="shared" si="14"/>
        <v>1.8935765851513259E-2</v>
      </c>
      <c r="M14" s="488">
        <f t="shared" si="14"/>
        <v>2.5112386076071129E-2</v>
      </c>
      <c r="N14" s="488">
        <f t="shared" si="14"/>
        <v>7.1800025616664029E-2</v>
      </c>
      <c r="O14" s="488">
        <f t="shared" si="14"/>
        <v>6.2230674141564045E-2</v>
      </c>
      <c r="P14" s="488">
        <f t="shared" si="14"/>
        <v>7.2667637838894489E-2</v>
      </c>
      <c r="Q14" s="488">
        <f t="shared" si="14"/>
        <v>9.0733409896784703E-2</v>
      </c>
      <c r="R14" s="488">
        <f t="shared" si="14"/>
        <v>0.12974502439699437</v>
      </c>
      <c r="S14" s="488">
        <f t="shared" si="14"/>
        <v>0.18514239791412335</v>
      </c>
      <c r="T14" s="488">
        <f t="shared" si="14"/>
        <v>0.31613963675630663</v>
      </c>
      <c r="U14" s="488">
        <f t="shared" si="14"/>
        <v>0.38883692402755948</v>
      </c>
      <c r="V14" s="488">
        <f t="shared" si="14"/>
        <v>0.38471142698405142</v>
      </c>
      <c r="W14" s="488">
        <f t="shared" si="14"/>
        <v>0.41951736900346143</v>
      </c>
      <c r="X14" s="488">
        <f t="shared" si="14"/>
        <v>0.58930486937250515</v>
      </c>
      <c r="Y14" s="488">
        <f t="shared" si="14"/>
        <v>0.67531964504262743</v>
      </c>
      <c r="Z14" s="488">
        <f t="shared" si="14"/>
        <v>0.67543989204642163</v>
      </c>
      <c r="AA14" s="488">
        <f t="shared" si="14"/>
        <v>0.75114619477620548</v>
      </c>
      <c r="AB14" s="488">
        <f t="shared" si="14"/>
        <v>0.64436404258699387</v>
      </c>
      <c r="AC14" s="488">
        <f t="shared" si="14"/>
        <v>0.706263719740444</v>
      </c>
      <c r="AD14" s="488">
        <f t="shared" si="14"/>
        <v>0.75884352424038892</v>
      </c>
      <c r="AE14" s="488">
        <f t="shared" si="14"/>
        <v>0.8427535696651296</v>
      </c>
      <c r="AF14" s="488">
        <f t="shared" si="14"/>
        <v>0.81115574914079003</v>
      </c>
      <c r="AG14" s="488">
        <f t="shared" si="14"/>
        <v>0.84610820836848444</v>
      </c>
      <c r="AH14" s="488">
        <f t="shared" si="14"/>
        <v>0.88149648852573159</v>
      </c>
      <c r="AI14" s="488">
        <f t="shared" si="14"/>
        <v>0.93701635256990401</v>
      </c>
      <c r="AJ14" s="488">
        <f t="shared" si="14"/>
        <v>0.94477794750188515</v>
      </c>
      <c r="AK14" s="595">
        <f t="shared" si="14"/>
        <v>0.95280408606715583</v>
      </c>
      <c r="AL14" s="595">
        <f t="shared" si="14"/>
        <v>0.95316111233558376</v>
      </c>
      <c r="AM14" s="595">
        <f t="shared" si="14"/>
        <v>0.94793754291376964</v>
      </c>
      <c r="AN14" s="595">
        <f t="shared" si="14"/>
        <v>0.95200800615738013</v>
      </c>
      <c r="AO14" s="595">
        <f t="shared" si="14"/>
        <v>0.95540443309592471</v>
      </c>
      <c r="AP14" s="595">
        <f t="shared" ref="AP14:BQ14" si="15">AP11/AP$17</f>
        <v>0.96194829181888453</v>
      </c>
      <c r="AQ14" s="595">
        <f t="shared" si="15"/>
        <v>0.96306300489637031</v>
      </c>
      <c r="AR14" s="595">
        <f t="shared" si="15"/>
        <v>0.97154463779771882</v>
      </c>
      <c r="AS14" s="595">
        <f t="shared" si="15"/>
        <v>0.97535401746235395</v>
      </c>
      <c r="AT14" s="595">
        <f t="shared" si="15"/>
        <v>0.97595837557999254</v>
      </c>
      <c r="AU14" s="595">
        <f t="shared" si="15"/>
        <v>0.97743416478823686</v>
      </c>
      <c r="AV14" s="595">
        <f t="shared" si="15"/>
        <v>0.97808975128773812</v>
      </c>
      <c r="AW14" s="595">
        <f t="shared" si="15"/>
        <v>0.97897123772475314</v>
      </c>
      <c r="AX14" s="595">
        <f t="shared" si="15"/>
        <v>0.98220412177419691</v>
      </c>
      <c r="AY14" s="503">
        <f t="shared" si="15"/>
        <v>0.98427419730901</v>
      </c>
      <c r="AZ14" s="503">
        <f t="shared" si="15"/>
        <v>0.98609033971921634</v>
      </c>
      <c r="BA14" s="503">
        <f t="shared" si="15"/>
        <v>0.98758892442129975</v>
      </c>
      <c r="BB14" s="503">
        <f t="shared" si="15"/>
        <v>0.98951115188613858</v>
      </c>
      <c r="BC14" s="503">
        <f t="shared" si="15"/>
        <v>0.99082192783140621</v>
      </c>
      <c r="BD14" s="503">
        <f t="shared" si="15"/>
        <v>0.99188811764627161</v>
      </c>
      <c r="BE14" s="503">
        <f t="shared" si="15"/>
        <v>0.99242481320157905</v>
      </c>
      <c r="BF14" s="503">
        <f t="shared" si="15"/>
        <v>0.99292625332464501</v>
      </c>
      <c r="BG14" s="503">
        <f t="shared" si="15"/>
        <v>0.99339472149854613</v>
      </c>
      <c r="BH14" s="503">
        <f t="shared" si="15"/>
        <v>0.99383235746553389</v>
      </c>
      <c r="BI14" s="503">
        <f t="shared" si="15"/>
        <v>0.99424116573908916</v>
      </c>
      <c r="BJ14" s="503">
        <f t="shared" si="15"/>
        <v>0.99462302368212063</v>
      </c>
      <c r="BK14" s="503">
        <f t="shared" si="15"/>
        <v>0.9949796891638143</v>
      </c>
      <c r="BL14" s="503">
        <f t="shared" si="15"/>
        <v>0.99531280780877673</v>
      </c>
      <c r="BM14" s="503">
        <f t="shared" si="15"/>
        <v>0.9956239198529454</v>
      </c>
      <c r="BN14" s="503">
        <f t="shared" si="15"/>
        <v>0.995914466621315</v>
      </c>
      <c r="BO14" s="503">
        <f t="shared" si="15"/>
        <v>0.99618579664288553</v>
      </c>
      <c r="BP14" s="503">
        <f t="shared" si="15"/>
        <v>0.99643917141840443</v>
      </c>
      <c r="BQ14" s="503">
        <f t="shared" si="15"/>
        <v>0.99667577085650105</v>
      </c>
      <c r="BS14" s="605"/>
      <c r="BT14" s="605"/>
      <c r="BU14" s="605">
        <f t="shared" ref="BU14:CI14" si="16">BU11/BU17</f>
        <v>1.6468826872788597E-2</v>
      </c>
      <c r="BV14" s="606">
        <f t="shared" si="16"/>
        <v>7.4081985771025066E-2</v>
      </c>
      <c r="BW14" s="606">
        <f t="shared" si="16"/>
        <v>0.25965317298779139</v>
      </c>
      <c r="BX14" s="606">
        <f t="shared" si="16"/>
        <v>0.5099373119920062</v>
      </c>
      <c r="BY14" s="606">
        <f t="shared" si="16"/>
        <v>0.69214320522419237</v>
      </c>
      <c r="BZ14" s="606">
        <f t="shared" si="16"/>
        <v>0.8130825318416014</v>
      </c>
      <c r="CA14" s="606">
        <f t="shared" si="16"/>
        <v>0.93584712616078869</v>
      </c>
      <c r="CB14" s="606">
        <f t="shared" si="16"/>
        <v>0.95225061274210998</v>
      </c>
      <c r="CC14" s="606">
        <f t="shared" si="16"/>
        <v>0.96923074586293623</v>
      </c>
      <c r="CD14" s="606">
        <f t="shared" si="16"/>
        <v>0.97763822013044932</v>
      </c>
      <c r="CE14" s="607">
        <f t="shared" si="16"/>
        <v>0.9852562990346303</v>
      </c>
      <c r="CF14" s="607">
        <f t="shared" si="16"/>
        <v>0.99126866212083908</v>
      </c>
      <c r="CG14" s="607">
        <f t="shared" si="16"/>
        <v>0.99362507513567866</v>
      </c>
      <c r="CH14" s="607">
        <f t="shared" si="16"/>
        <v>0.99515503794475291</v>
      </c>
      <c r="CI14" s="607">
        <f t="shared" si="16"/>
        <v>0.99631917449824903</v>
      </c>
      <c r="CK14" s="584"/>
      <c r="CL14" s="584"/>
      <c r="CM14" s="584"/>
    </row>
    <row r="15" spans="1:106" s="37" customFormat="1">
      <c r="AK15" s="483"/>
    </row>
    <row r="16" spans="1:106">
      <c r="A16" s="608"/>
      <c r="B16" s="608"/>
      <c r="C16" s="608"/>
      <c r="D16" s="608"/>
      <c r="E16" s="608"/>
      <c r="F16" s="608"/>
      <c r="G16" s="608"/>
      <c r="H16" s="608"/>
      <c r="I16" s="608"/>
      <c r="J16" s="608"/>
      <c r="K16" s="608"/>
      <c r="L16" s="608"/>
      <c r="M16" s="608"/>
      <c r="N16" s="608"/>
      <c r="O16" s="608"/>
      <c r="P16" s="608"/>
      <c r="Q16" s="608"/>
      <c r="R16" s="608"/>
      <c r="S16" s="608"/>
      <c r="T16" s="609"/>
      <c r="U16" s="609"/>
      <c r="V16" s="609"/>
      <c r="W16" s="608"/>
      <c r="X16" s="608"/>
      <c r="Y16" s="608"/>
      <c r="Z16" s="608"/>
      <c r="AA16" s="608"/>
      <c r="AB16" s="608"/>
      <c r="AC16" s="608"/>
      <c r="AD16" s="608"/>
      <c r="AE16" s="608"/>
      <c r="AF16" s="608"/>
      <c r="AG16" s="610"/>
      <c r="AH16" s="610"/>
      <c r="AI16" s="610"/>
      <c r="AJ16" s="610"/>
      <c r="AK16" s="611"/>
      <c r="AL16" s="610"/>
      <c r="AM16" s="610"/>
      <c r="AN16" s="610"/>
      <c r="AO16" s="610"/>
      <c r="AP16" s="610"/>
      <c r="AQ16" s="610"/>
      <c r="AR16" s="610"/>
      <c r="AS16" s="610"/>
      <c r="AT16" s="610"/>
      <c r="AU16" s="610"/>
      <c r="AV16" s="610"/>
      <c r="AW16" s="610"/>
      <c r="AX16" s="610"/>
      <c r="AY16" s="610"/>
      <c r="AZ16" s="610"/>
      <c r="BA16" s="610"/>
      <c r="BB16" s="610"/>
      <c r="BC16" s="610"/>
      <c r="BD16" s="610"/>
      <c r="BE16" s="610"/>
      <c r="BF16" s="610"/>
      <c r="BG16" s="610"/>
      <c r="BH16" s="610"/>
      <c r="BI16" s="610"/>
      <c r="BJ16" s="610"/>
      <c r="BK16" s="610"/>
      <c r="BL16" s="610"/>
      <c r="BM16" s="610"/>
      <c r="BN16" s="610"/>
      <c r="BO16" s="610"/>
      <c r="BP16" s="610"/>
      <c r="BQ16" s="610"/>
      <c r="BS16" s="612"/>
      <c r="BT16" s="612"/>
      <c r="BU16" s="612"/>
      <c r="BV16" s="612"/>
      <c r="BW16" s="612"/>
      <c r="BX16" s="612"/>
      <c r="BY16" s="612"/>
      <c r="BZ16" s="612"/>
      <c r="CA16" s="612"/>
      <c r="CB16" s="612"/>
      <c r="CC16" s="612"/>
      <c r="CD16" s="612"/>
      <c r="CE16" s="612"/>
      <c r="CF16" s="612"/>
      <c r="CG16" s="612"/>
      <c r="CH16" s="612"/>
      <c r="CI16" s="612"/>
      <c r="CK16" s="584"/>
      <c r="CL16" s="584"/>
      <c r="CM16" s="584"/>
    </row>
    <row r="17" spans="1:104" s="482" customFormat="1">
      <c r="A17" s="485" t="s">
        <v>616</v>
      </c>
      <c r="B17" s="556">
        <f t="shared" ref="B17:AG17" si="17">B5+B11</f>
        <v>34.875801721500004</v>
      </c>
      <c r="C17" s="556">
        <f t="shared" si="17"/>
        <v>40.102841736249999</v>
      </c>
      <c r="D17" s="556">
        <f t="shared" si="17"/>
        <v>51.981015929999998</v>
      </c>
      <c r="E17" s="556">
        <f t="shared" si="17"/>
        <v>56.054626929000001</v>
      </c>
      <c r="F17" s="556">
        <f t="shared" si="17"/>
        <v>76.699823151000004</v>
      </c>
      <c r="G17" s="556">
        <f t="shared" si="17"/>
        <v>70.696658056499999</v>
      </c>
      <c r="H17" s="556">
        <f t="shared" si="17"/>
        <v>79.052332671000002</v>
      </c>
      <c r="I17" s="556">
        <f t="shared" si="17"/>
        <v>92.878306710000004</v>
      </c>
      <c r="J17" s="556">
        <f t="shared" si="17"/>
        <v>112.86887110400001</v>
      </c>
      <c r="K17" s="556">
        <f t="shared" si="17"/>
        <v>118.72592439989999</v>
      </c>
      <c r="L17" s="556">
        <f t="shared" si="17"/>
        <v>126.74427951950001</v>
      </c>
      <c r="M17" s="556">
        <f t="shared" si="17"/>
        <v>127.427158467</v>
      </c>
      <c r="N17" s="556">
        <f t="shared" si="17"/>
        <v>139.55983878749998</v>
      </c>
      <c r="O17" s="556">
        <f t="shared" si="17"/>
        <v>141.57648332650004</v>
      </c>
      <c r="P17" s="556">
        <f t="shared" si="17"/>
        <v>143.87147168838055</v>
      </c>
      <c r="Q17" s="556">
        <f t="shared" si="17"/>
        <v>132.11010160023505</v>
      </c>
      <c r="R17" s="556">
        <f t="shared" si="17"/>
        <v>144.85013180605961</v>
      </c>
      <c r="S17" s="556">
        <f t="shared" si="17"/>
        <v>161.47985608373429</v>
      </c>
      <c r="T17" s="556">
        <f t="shared" si="17"/>
        <v>172.41078266604126</v>
      </c>
      <c r="U17" s="556">
        <f t="shared" si="17"/>
        <v>163.41316987131171</v>
      </c>
      <c r="V17" s="556">
        <f t="shared" si="17"/>
        <v>166.44058122376919</v>
      </c>
      <c r="W17" s="556">
        <f t="shared" si="17"/>
        <v>209.2449865175642</v>
      </c>
      <c r="X17" s="556">
        <f t="shared" si="17"/>
        <v>161.56366228254655</v>
      </c>
      <c r="Y17" s="556">
        <f t="shared" si="17"/>
        <v>162.89330971937875</v>
      </c>
      <c r="Z17" s="556">
        <f t="shared" si="17"/>
        <v>158.60443623877143</v>
      </c>
      <c r="AA17" s="556">
        <f t="shared" si="17"/>
        <v>112.89127350299748</v>
      </c>
      <c r="AB17" s="556">
        <f t="shared" si="17"/>
        <v>126.89496461099098</v>
      </c>
      <c r="AC17" s="556">
        <f t="shared" si="17"/>
        <v>145.26610121029572</v>
      </c>
      <c r="AD17" s="556">
        <f t="shared" si="17"/>
        <v>154.666306810252</v>
      </c>
      <c r="AE17" s="556">
        <f t="shared" si="17"/>
        <v>152.59083782634588</v>
      </c>
      <c r="AF17" s="556">
        <f t="shared" si="17"/>
        <v>135.63991358652243</v>
      </c>
      <c r="AG17" s="556">
        <f t="shared" si="17"/>
        <v>124.83520529081201</v>
      </c>
      <c r="AH17" s="556">
        <f t="shared" ref="AH17:BQ17" si="18">AH5+AH11</f>
        <v>137.79715206416648</v>
      </c>
      <c r="AI17" s="556">
        <f t="shared" si="18"/>
        <v>220.37512907693917</v>
      </c>
      <c r="AJ17" s="556">
        <f t="shared" si="18"/>
        <v>251.34939402365845</v>
      </c>
      <c r="AK17" s="556">
        <f t="shared" si="18"/>
        <v>294.09387965013104</v>
      </c>
      <c r="AL17" s="556">
        <f t="shared" si="18"/>
        <v>296.33559045187496</v>
      </c>
      <c r="AM17" s="556">
        <f t="shared" si="18"/>
        <v>253.27325482730808</v>
      </c>
      <c r="AN17" s="556">
        <f t="shared" si="18"/>
        <v>261.01700636961823</v>
      </c>
      <c r="AO17" s="556">
        <f t="shared" si="18"/>
        <v>280.89622875418695</v>
      </c>
      <c r="AP17" s="556">
        <f t="shared" si="18"/>
        <v>329.20273914868881</v>
      </c>
      <c r="AQ17" s="556">
        <f t="shared" si="18"/>
        <v>345.92042633442031</v>
      </c>
      <c r="AR17" s="556">
        <f t="shared" si="18"/>
        <v>449.02823597640463</v>
      </c>
      <c r="AS17" s="556">
        <f t="shared" si="18"/>
        <v>570.2749801785078</v>
      </c>
      <c r="AT17" s="556">
        <f t="shared" si="18"/>
        <v>567.07223059753687</v>
      </c>
      <c r="AU17" s="556">
        <f t="shared" si="18"/>
        <v>586.03359172529292</v>
      </c>
      <c r="AV17" s="556">
        <f t="shared" si="18"/>
        <v>591.49719751876285</v>
      </c>
      <c r="AW17" s="556">
        <f t="shared" si="18"/>
        <v>603.96582213434556</v>
      </c>
      <c r="AX17" s="556">
        <f t="shared" si="18"/>
        <v>692.27457778921064</v>
      </c>
      <c r="AY17" s="594">
        <f t="shared" si="18"/>
        <v>759.90048313706143</v>
      </c>
      <c r="AZ17" s="594">
        <f t="shared" si="18"/>
        <v>841.93603042400014</v>
      </c>
      <c r="BA17" s="594">
        <f t="shared" si="18"/>
        <v>924.72430816703832</v>
      </c>
      <c r="BB17" s="594">
        <f t="shared" si="18"/>
        <v>1061.3671262020318</v>
      </c>
      <c r="BC17" s="594">
        <f t="shared" si="18"/>
        <v>1176.5589574830865</v>
      </c>
      <c r="BD17" s="594">
        <f t="shared" si="18"/>
        <v>1304.5766322133161</v>
      </c>
      <c r="BE17" s="594">
        <f t="shared" si="18"/>
        <v>1369.0646837726465</v>
      </c>
      <c r="BF17" s="594">
        <f t="shared" si="18"/>
        <v>1436.79195351097</v>
      </c>
      <c r="BG17" s="594">
        <f t="shared" si="18"/>
        <v>1507.9201060252158</v>
      </c>
      <c r="BH17" s="594">
        <f t="shared" si="18"/>
        <v>1582.6188950683998</v>
      </c>
      <c r="BI17" s="594">
        <f t="shared" si="18"/>
        <v>1661.0665678889047</v>
      </c>
      <c r="BJ17" s="594">
        <f t="shared" si="18"/>
        <v>1743.4502897890932</v>
      </c>
      <c r="BK17" s="594">
        <f t="shared" si="18"/>
        <v>1829.9665899141762</v>
      </c>
      <c r="BL17" s="594">
        <f t="shared" si="18"/>
        <v>1920.8218293328009</v>
      </c>
      <c r="BM17" s="594">
        <f t="shared" si="18"/>
        <v>2016.2326925238983</v>
      </c>
      <c r="BN17" s="594">
        <f t="shared" si="18"/>
        <v>2116.4267034400618</v>
      </c>
      <c r="BO17" s="594">
        <f t="shared" si="18"/>
        <v>2221.6427673762337</v>
      </c>
      <c r="BP17" s="594">
        <f t="shared" si="18"/>
        <v>2332.1317399339314</v>
      </c>
      <c r="BQ17" s="594">
        <f t="shared" si="18"/>
        <v>2448.1570244357358</v>
      </c>
      <c r="BS17" s="556">
        <f t="shared" ref="BS17:CB17" si="19">BS5+BS11</f>
        <v>183.01428631675</v>
      </c>
      <c r="BT17" s="556">
        <f t="shared" si="19"/>
        <v>319.32712058850001</v>
      </c>
      <c r="BU17" s="556">
        <f t="shared" si="19"/>
        <v>485.7662334904</v>
      </c>
      <c r="BV17" s="556">
        <f t="shared" si="19"/>
        <v>557.11789540261566</v>
      </c>
      <c r="BW17" s="556">
        <f t="shared" si="19"/>
        <v>642.15394042714684</v>
      </c>
      <c r="BX17" s="556">
        <f t="shared" si="19"/>
        <v>700.14253974325868</v>
      </c>
      <c r="BY17" s="556">
        <f t="shared" si="19"/>
        <v>543.65677556305559</v>
      </c>
      <c r="BZ17" s="556">
        <f t="shared" si="19"/>
        <v>567.73226351393237</v>
      </c>
      <c r="CA17" s="556">
        <f t="shared" si="19"/>
        <v>903.61555481489506</v>
      </c>
      <c r="CB17" s="556">
        <f t="shared" si="19"/>
        <v>1091.5220804029882</v>
      </c>
      <c r="CC17" s="556">
        <f>+SUM(AP17:AS17)</f>
        <v>1694.4263816380214</v>
      </c>
      <c r="CD17" s="556">
        <f>+SUM(AT17:AW17)</f>
        <v>2348.5688419759381</v>
      </c>
      <c r="CE17" s="594">
        <f>SUM(AX17:BA17)</f>
        <v>3218.8353995173111</v>
      </c>
      <c r="CF17" s="594">
        <f>SUM(BB17:BE17)</f>
        <v>4911.5673996710802</v>
      </c>
      <c r="CG17" s="594">
        <f>SUM(BF17:BI17)</f>
        <v>6188.3975224934902</v>
      </c>
      <c r="CH17" s="594">
        <f>SUM(BJ17:BM17)</f>
        <v>7510.4714015599684</v>
      </c>
      <c r="CI17" s="594">
        <f>SUM(BN17:BQ17)</f>
        <v>9118.3582351859623</v>
      </c>
      <c r="CK17" s="584"/>
      <c r="CL17" s="584"/>
      <c r="CM17" s="584"/>
    </row>
    <row r="18" spans="1:104" s="482" customFormat="1">
      <c r="A18" s="502" t="s">
        <v>223</v>
      </c>
      <c r="B18" s="485"/>
      <c r="C18" s="488">
        <f t="shared" ref="C18:BA18" si="20">C17/B17-1</f>
        <v>0.14987583816683037</v>
      </c>
      <c r="D18" s="488">
        <f t="shared" si="20"/>
        <v>0.2961928302206327</v>
      </c>
      <c r="E18" s="488">
        <f t="shared" si="20"/>
        <v>7.8367283249825448E-2</v>
      </c>
      <c r="F18" s="488">
        <f t="shared" si="20"/>
        <v>0.36830494382113454</v>
      </c>
      <c r="G18" s="488">
        <f t="shared" si="20"/>
        <v>-7.8268304252559928E-2</v>
      </c>
      <c r="H18" s="488">
        <f t="shared" si="20"/>
        <v>0.11819051768786926</v>
      </c>
      <c r="I18" s="488">
        <f t="shared" si="20"/>
        <v>0.17489647138612519</v>
      </c>
      <c r="J18" s="488">
        <f t="shared" si="20"/>
        <v>0.21523394538638452</v>
      </c>
      <c r="K18" s="488">
        <f t="shared" si="20"/>
        <v>5.1892547862051108E-2</v>
      </c>
      <c r="L18" s="488">
        <f t="shared" si="20"/>
        <v>6.753668299597404E-2</v>
      </c>
      <c r="M18" s="488">
        <f t="shared" si="20"/>
        <v>5.3878482728282329E-3</v>
      </c>
      <c r="N18" s="488">
        <f t="shared" si="20"/>
        <v>9.5212672608108173E-2</v>
      </c>
      <c r="O18" s="488">
        <f t="shared" si="20"/>
        <v>1.4450034884825991E-2</v>
      </c>
      <c r="P18" s="488">
        <f t="shared" si="20"/>
        <v>1.6210237095576563E-2</v>
      </c>
      <c r="Q18" s="488">
        <f t="shared" si="20"/>
        <v>-8.1749146999900879E-2</v>
      </c>
      <c r="R18" s="488">
        <f t="shared" si="20"/>
        <v>9.6434943668243234E-2</v>
      </c>
      <c r="S18" s="488">
        <f t="shared" si="20"/>
        <v>0.11480641453568219</v>
      </c>
      <c r="T18" s="488">
        <f t="shared" si="20"/>
        <v>6.7692199184514967E-2</v>
      </c>
      <c r="U18" s="488">
        <f t="shared" si="20"/>
        <v>-5.2187065423616064E-2</v>
      </c>
      <c r="V18" s="488">
        <f t="shared" si="20"/>
        <v>1.8526116070336052E-2</v>
      </c>
      <c r="W18" s="488">
        <f t="shared" si="20"/>
        <v>0.25717529330330269</v>
      </c>
      <c r="X18" s="488">
        <f t="shared" si="20"/>
        <v>-0.22787319796077998</v>
      </c>
      <c r="Y18" s="488">
        <f t="shared" si="20"/>
        <v>8.2298669022919935E-3</v>
      </c>
      <c r="Z18" s="488">
        <f t="shared" si="20"/>
        <v>-2.6329340891875108E-2</v>
      </c>
      <c r="AA18" s="488">
        <f t="shared" si="20"/>
        <v>-0.28822121133456169</v>
      </c>
      <c r="AB18" s="488">
        <f t="shared" si="20"/>
        <v>0.12404582456607405</v>
      </c>
      <c r="AC18" s="488">
        <f t="shared" si="20"/>
        <v>0.14477435456657606</v>
      </c>
      <c r="AD18" s="488">
        <f t="shared" si="20"/>
        <v>6.4710249133402398E-2</v>
      </c>
      <c r="AE18" s="488">
        <f t="shared" si="20"/>
        <v>-1.3419011720842033E-2</v>
      </c>
      <c r="AF18" s="488">
        <f t="shared" si="20"/>
        <v>-0.11108743146894728</v>
      </c>
      <c r="AG18" s="488">
        <f t="shared" si="20"/>
        <v>-7.9657292680434089E-2</v>
      </c>
      <c r="AH18" s="488">
        <f t="shared" si="20"/>
        <v>0.10383246251054534</v>
      </c>
      <c r="AI18" s="488">
        <f t="shared" si="20"/>
        <v>0.59927201524687179</v>
      </c>
      <c r="AJ18" s="488">
        <f t="shared" si="20"/>
        <v>0.14055245288548557</v>
      </c>
      <c r="AK18" s="488">
        <f t="shared" si="20"/>
        <v>0.17006003055033925</v>
      </c>
      <c r="AL18" s="488">
        <f t="shared" si="20"/>
        <v>7.6224326885372395E-3</v>
      </c>
      <c r="AM18" s="488">
        <f t="shared" si="20"/>
        <v>-0.14531611123355848</v>
      </c>
      <c r="AN18" s="488">
        <f t="shared" si="20"/>
        <v>3.0574691147670308E-2</v>
      </c>
      <c r="AO18" s="488">
        <f t="shared" si="20"/>
        <v>7.6160640492590526E-2</v>
      </c>
      <c r="AP18" s="488">
        <f t="shared" si="20"/>
        <v>0.17197279795726628</v>
      </c>
      <c r="AQ18" s="488">
        <f t="shared" si="20"/>
        <v>5.078234533820436E-2</v>
      </c>
      <c r="AR18" s="488">
        <f t="shared" si="20"/>
        <v>0.29806800001542655</v>
      </c>
      <c r="AS18" s="488">
        <f t="shared" si="20"/>
        <v>0.27002031161460049</v>
      </c>
      <c r="AT18" s="488">
        <f t="shared" si="20"/>
        <v>-5.6161495634411418E-3</v>
      </c>
      <c r="AU18" s="488">
        <f t="shared" si="20"/>
        <v>3.3437294412699492E-2</v>
      </c>
      <c r="AV18" s="488">
        <f t="shared" si="20"/>
        <v>9.3230249436468959E-3</v>
      </c>
      <c r="AW18" s="488">
        <f t="shared" si="20"/>
        <v>2.1079769554085193E-2</v>
      </c>
      <c r="AX18" s="488">
        <f t="shared" si="20"/>
        <v>0.14621482279045539</v>
      </c>
      <c r="AY18" s="489">
        <f t="shared" si="20"/>
        <v>9.7686535830645571E-2</v>
      </c>
      <c r="AZ18" s="489">
        <f t="shared" si="20"/>
        <v>0.10795564565017157</v>
      </c>
      <c r="BA18" s="489">
        <f t="shared" si="20"/>
        <v>9.833084076630616E-2</v>
      </c>
      <c r="BB18" s="489">
        <f>BB17/BA17-1</f>
        <v>0.1477660063958337</v>
      </c>
      <c r="BC18" s="489">
        <f>BC17/BB17-1</f>
        <v>0.10853156126405961</v>
      </c>
      <c r="BD18" s="489">
        <f>BD17/BC17-1</f>
        <v>0.10880685061808304</v>
      </c>
      <c r="BE18" s="489">
        <f>BE17/BD17-1</f>
        <v>4.9432168235239216E-2</v>
      </c>
      <c r="BF18" s="489">
        <f t="shared" ref="BF18:BQ18" si="21">BF17/BE17-1</f>
        <v>4.9469736924110608E-2</v>
      </c>
      <c r="BG18" s="489">
        <f t="shared" si="21"/>
        <v>4.9504837732725182E-2</v>
      </c>
      <c r="BH18" s="489">
        <f t="shared" si="21"/>
        <v>4.9537630504898233E-2</v>
      </c>
      <c r="BI18" s="489">
        <f t="shared" si="21"/>
        <v>4.9568265022587488E-2</v>
      </c>
      <c r="BJ18" s="489">
        <f t="shared" si="21"/>
        <v>4.9596881601736253E-2</v>
      </c>
      <c r="BK18" s="489">
        <f t="shared" si="21"/>
        <v>4.9623611657748423E-2</v>
      </c>
      <c r="BL18" s="489">
        <f t="shared" si="21"/>
        <v>4.9648578241467067E-2</v>
      </c>
      <c r="BM18" s="489">
        <f t="shared" si="21"/>
        <v>4.9671896546614303E-2</v>
      </c>
      <c r="BN18" s="489">
        <f t="shared" si="21"/>
        <v>4.9693674389706288E-2</v>
      </c>
      <c r="BO18" s="489">
        <f t="shared" si="21"/>
        <v>4.9714012663492069E-2</v>
      </c>
      <c r="BP18" s="489">
        <f t="shared" si="21"/>
        <v>4.9733005765002281E-2</v>
      </c>
      <c r="BQ18" s="489">
        <f t="shared" si="21"/>
        <v>4.9750741999288417E-2</v>
      </c>
      <c r="BS18" s="556"/>
      <c r="BT18" s="605"/>
      <c r="BU18" s="483"/>
      <c r="BV18" s="483"/>
      <c r="BW18" s="483"/>
      <c r="BX18" s="483"/>
      <c r="BY18" s="483"/>
      <c r="BZ18" s="483"/>
      <c r="CA18" s="483"/>
      <c r="CB18" s="483"/>
      <c r="CC18" s="483"/>
      <c r="CD18" s="483"/>
      <c r="CE18" s="613"/>
      <c r="CF18" s="613"/>
      <c r="CG18" s="613"/>
      <c r="CH18" s="613"/>
      <c r="CI18" s="613"/>
      <c r="CK18" s="584"/>
      <c r="CL18" s="584"/>
      <c r="CM18" s="584"/>
    </row>
    <row r="19" spans="1:104" s="796" customFormat="1">
      <c r="A19" s="789" t="s">
        <v>225</v>
      </c>
      <c r="B19" s="790"/>
      <c r="C19" s="787"/>
      <c r="D19" s="787"/>
      <c r="E19" s="787"/>
      <c r="F19" s="787"/>
      <c r="G19" s="787">
        <f t="shared" ref="G19:BA19" si="22">G17/C17-1</f>
        <v>0.76288400012798729</v>
      </c>
      <c r="H19" s="787">
        <f t="shared" si="22"/>
        <v>0.52079237499812381</v>
      </c>
      <c r="I19" s="787">
        <f t="shared" si="22"/>
        <v>0.65692489270585397</v>
      </c>
      <c r="J19" s="787">
        <f t="shared" si="22"/>
        <v>0.47156624966127358</v>
      </c>
      <c r="K19" s="787">
        <f t="shared" si="22"/>
        <v>0.67937109990426325</v>
      </c>
      <c r="L19" s="787">
        <f t="shared" si="22"/>
        <v>0.60329588308272131</v>
      </c>
      <c r="M19" s="787">
        <f t="shared" si="22"/>
        <v>0.37197977634189794</v>
      </c>
      <c r="N19" s="787">
        <f t="shared" si="22"/>
        <v>0.23647767025955546</v>
      </c>
      <c r="O19" s="787">
        <f t="shared" si="22"/>
        <v>0.1924647800562358</v>
      </c>
      <c r="P19" s="787">
        <f t="shared" si="22"/>
        <v>0.13513187525158066</v>
      </c>
      <c r="Q19" s="787">
        <f t="shared" si="22"/>
        <v>3.6749961229401551E-2</v>
      </c>
      <c r="R19" s="787">
        <f t="shared" si="22"/>
        <v>3.7906987171394402E-2</v>
      </c>
      <c r="S19" s="787">
        <f t="shared" si="22"/>
        <v>0.14058388999063931</v>
      </c>
      <c r="T19" s="787">
        <f t="shared" si="22"/>
        <v>0.19836671330835931</v>
      </c>
      <c r="U19" s="787">
        <f t="shared" si="22"/>
        <v>0.23694681853927935</v>
      </c>
      <c r="V19" s="787">
        <f t="shared" si="22"/>
        <v>0.14905370915793936</v>
      </c>
      <c r="W19" s="787">
        <f t="shared" si="22"/>
        <v>0.29579621627270725</v>
      </c>
      <c r="X19" s="787">
        <f t="shared" si="22"/>
        <v>-6.2914396743419032E-2</v>
      </c>
      <c r="Y19" s="787">
        <f t="shared" si="22"/>
        <v>-3.1812622712255045E-3</v>
      </c>
      <c r="Z19" s="787">
        <f t="shared" si="22"/>
        <v>-4.7080735523643336E-2</v>
      </c>
      <c r="AA19" s="787">
        <f t="shared" si="22"/>
        <v>-0.46048277962673534</v>
      </c>
      <c r="AB19" s="787">
        <f t="shared" si="22"/>
        <v>-0.21458227166778432</v>
      </c>
      <c r="AC19" s="787">
        <f t="shared" si="22"/>
        <v>-0.10821321354112068</v>
      </c>
      <c r="AD19" s="787">
        <f t="shared" si="22"/>
        <v>-2.4829881949775756E-2</v>
      </c>
      <c r="AE19" s="787">
        <f t="shared" si="22"/>
        <v>0.35166194065739109</v>
      </c>
      <c r="AF19" s="787">
        <f t="shared" si="22"/>
        <v>6.8914862006856925E-2</v>
      </c>
      <c r="AG19" s="787">
        <f t="shared" si="22"/>
        <v>-0.14064462217449303</v>
      </c>
      <c r="AH19" s="787">
        <f t="shared" si="22"/>
        <v>-0.10906806462238061</v>
      </c>
      <c r="AI19" s="787">
        <f t="shared" si="22"/>
        <v>0.44422255107960273</v>
      </c>
      <c r="AJ19" s="787">
        <f t="shared" si="22"/>
        <v>0.85306365491988378</v>
      </c>
      <c r="AK19" s="787">
        <f t="shared" si="22"/>
        <v>1.3558568992218145</v>
      </c>
      <c r="AL19" s="787">
        <f t="shared" si="22"/>
        <v>1.150520428128178</v>
      </c>
      <c r="AM19" s="787">
        <f t="shared" si="22"/>
        <v>0.14928238902532076</v>
      </c>
      <c r="AN19" s="787">
        <f t="shared" si="22"/>
        <v>3.8462843260524515E-2</v>
      </c>
      <c r="AO19" s="787">
        <f t="shared" si="22"/>
        <v>-4.4875639410261403E-2</v>
      </c>
      <c r="AP19" s="787">
        <f t="shared" si="22"/>
        <v>0.11091191795995714</v>
      </c>
      <c r="AQ19" s="787">
        <f t="shared" si="22"/>
        <v>0.36579926913436966</v>
      </c>
      <c r="AR19" s="787">
        <f t="shared" si="22"/>
        <v>0.72030260488295328</v>
      </c>
      <c r="AS19" s="787">
        <f t="shared" si="22"/>
        <v>1.0301980653416209</v>
      </c>
      <c r="AT19" s="787">
        <f t="shared" si="22"/>
        <v>0.72256230936587418</v>
      </c>
      <c r="AU19" s="787">
        <f t="shared" si="22"/>
        <v>0.69412832290725146</v>
      </c>
      <c r="AV19" s="787">
        <f t="shared" si="22"/>
        <v>0.31728285690667479</v>
      </c>
      <c r="AW19" s="787">
        <f t="shared" si="22"/>
        <v>5.9078239668329591E-2</v>
      </c>
      <c r="AX19" s="787">
        <f t="shared" si="22"/>
        <v>0.2207873008694945</v>
      </c>
      <c r="AY19" s="793">
        <f t="shared" si="22"/>
        <v>0.29668417283026627</v>
      </c>
      <c r="AZ19" s="793">
        <f t="shared" si="22"/>
        <v>0.42339817323867046</v>
      </c>
      <c r="BA19" s="793">
        <f t="shared" si="22"/>
        <v>0.53108714810909219</v>
      </c>
      <c r="BB19" s="793">
        <f>BB17/AX17-1</f>
        <v>0.53315918315464339</v>
      </c>
      <c r="BC19" s="793">
        <f>BC17/AY17-1</f>
        <v>0.54830663171308092</v>
      </c>
      <c r="BD19" s="793">
        <f>BD17/AZ17-1</f>
        <v>0.54949614349718412</v>
      </c>
      <c r="BE19" s="793">
        <f>BE17/BA17-1</f>
        <v>0.48051118769265067</v>
      </c>
      <c r="BF19" s="793">
        <f t="shared" ref="BF19:BQ19" si="23">BF17/BB17-1</f>
        <v>0.35371816032436243</v>
      </c>
      <c r="BG19" s="793">
        <f t="shared" si="23"/>
        <v>0.28163582150696653</v>
      </c>
      <c r="BH19" s="793">
        <f t="shared" si="23"/>
        <v>0.21312834830052352</v>
      </c>
      <c r="BI19" s="793">
        <f t="shared" si="23"/>
        <v>0.21328567421051781</v>
      </c>
      <c r="BJ19" s="793">
        <f t="shared" si="23"/>
        <v>0.21343266541044281</v>
      </c>
      <c r="BK19" s="793">
        <f t="shared" si="23"/>
        <v>0.21356999127616594</v>
      </c>
      <c r="BL19" s="793">
        <f t="shared" si="23"/>
        <v>0.21369827904764427</v>
      </c>
      <c r="BM19" s="793">
        <f t="shared" si="23"/>
        <v>0.21381811632413017</v>
      </c>
      <c r="BN19" s="793">
        <f t="shared" si="23"/>
        <v>0.21393005343220195</v>
      </c>
      <c r="BO19" s="793">
        <f t="shared" si="23"/>
        <v>0.21403460567027444</v>
      </c>
      <c r="BP19" s="793">
        <f t="shared" si="23"/>
        <v>0.21413225543360226</v>
      </c>
      <c r="BQ19" s="793">
        <f t="shared" si="23"/>
        <v>0.21422345422400579</v>
      </c>
      <c r="BS19" s="797"/>
      <c r="BT19" s="606">
        <f t="shared" ref="BT19:CF19" si="24">BT17/BS17-1</f>
        <v>0.74482072965510482</v>
      </c>
      <c r="BU19" s="606">
        <f t="shared" si="24"/>
        <v>0.5212182184687697</v>
      </c>
      <c r="BV19" s="606">
        <f t="shared" si="24"/>
        <v>0.14688477088975294</v>
      </c>
      <c r="BW19" s="599">
        <f t="shared" si="24"/>
        <v>0.15263563731528973</v>
      </c>
      <c r="BX19" s="599">
        <f t="shared" si="24"/>
        <v>9.0303267901056694E-2</v>
      </c>
      <c r="BY19" s="599">
        <f t="shared" si="24"/>
        <v>-0.22350557964609064</v>
      </c>
      <c r="BZ19" s="599">
        <f t="shared" si="24"/>
        <v>4.4284351879809059E-2</v>
      </c>
      <c r="CA19" s="599">
        <f t="shared" si="24"/>
        <v>0.59162269415875812</v>
      </c>
      <c r="CB19" s="599">
        <f t="shared" si="24"/>
        <v>0.20794963586764026</v>
      </c>
      <c r="CC19" s="599">
        <f t="shared" si="24"/>
        <v>0.55235190570990733</v>
      </c>
      <c r="CD19" s="599">
        <f t="shared" si="24"/>
        <v>0.38605540342540556</v>
      </c>
      <c r="CE19" s="795">
        <f t="shared" si="24"/>
        <v>0.37055186204769086</v>
      </c>
      <c r="CF19" s="795">
        <f t="shared" si="24"/>
        <v>0.52588336775704869</v>
      </c>
      <c r="CG19" s="795">
        <f>CG17/CF17-1</f>
        <v>0.25996388096148637</v>
      </c>
      <c r="CH19" s="795">
        <f>CH17/CG17-1</f>
        <v>0.21363751670137954</v>
      </c>
      <c r="CI19" s="795">
        <f>CI17/CH17-1</f>
        <v>0.21408600707700276</v>
      </c>
      <c r="CK19" s="768"/>
      <c r="CL19" s="768"/>
      <c r="CM19" s="768"/>
    </row>
    <row r="20" spans="1:104" s="37" customFormat="1">
      <c r="AK20" s="483"/>
    </row>
    <row r="21" spans="1:104">
      <c r="A21" s="614"/>
      <c r="B21" s="615"/>
      <c r="C21" s="615"/>
      <c r="D21" s="615"/>
      <c r="E21" s="615"/>
      <c r="F21" s="615"/>
      <c r="G21" s="615"/>
      <c r="H21" s="615"/>
      <c r="I21" s="615"/>
      <c r="J21" s="615"/>
      <c r="K21" s="615"/>
      <c r="L21" s="615"/>
      <c r="M21" s="615"/>
      <c r="N21" s="615"/>
      <c r="O21" s="615"/>
      <c r="P21" s="615"/>
      <c r="Q21" s="615"/>
      <c r="R21" s="615"/>
      <c r="S21" s="615"/>
      <c r="T21" s="615"/>
      <c r="U21" s="615"/>
      <c r="V21" s="615"/>
      <c r="W21" s="616"/>
      <c r="X21" s="616"/>
      <c r="Y21" s="616"/>
      <c r="Z21" s="616"/>
      <c r="AA21" s="616"/>
      <c r="AB21" s="616"/>
      <c r="AC21" s="616"/>
      <c r="AD21" s="616"/>
      <c r="AE21" s="616"/>
      <c r="AF21" s="616"/>
      <c r="AG21" s="616"/>
      <c r="AH21" s="616"/>
      <c r="AI21" s="616"/>
      <c r="AJ21" s="616"/>
      <c r="AK21" s="615"/>
      <c r="AL21" s="616"/>
      <c r="AM21" s="616"/>
      <c r="AN21" s="616"/>
      <c r="AO21" s="616"/>
      <c r="AP21" s="616"/>
      <c r="AQ21" s="616"/>
      <c r="AR21" s="616"/>
      <c r="AS21" s="616"/>
      <c r="AT21" s="616"/>
      <c r="AU21" s="616"/>
      <c r="AV21" s="616"/>
      <c r="AW21" s="616"/>
      <c r="AX21" s="616"/>
      <c r="AY21" s="616"/>
      <c r="AZ21" s="616"/>
      <c r="BA21" s="616"/>
      <c r="BB21" s="616"/>
      <c r="BC21" s="616"/>
      <c r="BD21" s="616"/>
      <c r="BE21" s="616"/>
      <c r="BF21" s="616"/>
      <c r="BG21" s="616"/>
      <c r="BH21" s="616"/>
      <c r="BI21" s="616"/>
      <c r="BJ21" s="616"/>
      <c r="BK21" s="616"/>
      <c r="BL21" s="616"/>
      <c r="BM21" s="616"/>
      <c r="BN21" s="616"/>
      <c r="BO21" s="616"/>
      <c r="BP21" s="616"/>
      <c r="BQ21" s="616"/>
      <c r="BR21" s="487"/>
      <c r="BS21" s="617"/>
      <c r="BT21" s="617"/>
      <c r="BU21" s="617"/>
      <c r="BV21" s="617"/>
      <c r="BW21" s="617"/>
      <c r="BX21" s="617"/>
      <c r="BY21" s="617"/>
      <c r="BZ21" s="617"/>
      <c r="CA21" s="617"/>
      <c r="CB21" s="617"/>
      <c r="CC21" s="617"/>
      <c r="CD21" s="617"/>
      <c r="CE21" s="618"/>
      <c r="CF21" s="618"/>
      <c r="CG21" s="618"/>
      <c r="CH21" s="618"/>
      <c r="CI21" s="618"/>
      <c r="CK21" s="584"/>
      <c r="CL21" s="584"/>
      <c r="CM21" s="584"/>
      <c r="CZ21" s="585"/>
    </row>
  </sheetData>
  <pageMargins left="0.7" right="0.7" top="0.75" bottom="0.75" header="0.3" footer="0.3"/>
  <pageSetup scale="10" orientation="landscape" r:id="rId1"/>
  <customProperties>
    <customPr name="Qube.Worksheet.Visibility" r:id="rId2"/>
  </customProperties>
</worksheet>
</file>

<file path=docMetadata/LabelInfo.xml><?xml version="1.0" encoding="utf-8"?>
<clbl:labelList xmlns:clbl="http://schemas.microsoft.com/office/2020/mipLabelMetadata">
  <clbl:label id="{38ade803-c9f2-458b-bd92-85e1ed493d50}" enabled="1" method="Privileged" siteId="{38651f6f-836b-4bdf-9615-4e255c290fea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Cover</vt:lpstr>
      <vt:lpstr>Worksheet</vt:lpstr>
      <vt:lpstr>NVDA</vt:lpstr>
      <vt:lpstr>Datacenter</vt:lpstr>
      <vt:lpstr>Gaming</vt:lpstr>
      <vt:lpstr>Automotive</vt:lpstr>
      <vt:lpstr>Automotive!Print_Area</vt:lpstr>
      <vt:lpstr>NVDA!Print_Area</vt:lpstr>
      <vt:lpstr>Worksheet!Print_Area</vt:lpstr>
      <vt:lpstr>NVDA!Print_Titles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Makkar, Anmol [GIR]</dc:creator>
  <cp:lastModifiedBy>Makkar, Anmol [GIR]</cp:lastModifiedBy>
  <dcterms:created xsi:type="dcterms:W3CDTF">2026-05-21T12:13:24Z</dcterms:created>
  <dcterms:modified xsi:type="dcterms:W3CDTF">2026-05-21T14:19:49Z</dcterms:modified>
</cp:coreProperties>
</file>